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" sheetId="1" r:id="rId4"/>
    <sheet name="Member Vote" sheetId="2" r:id="rId5"/>
    <sheet name="Member Novote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<sst xmlns="http://schemas.openxmlformats.org/spreadsheetml/2006/main" uniqueCount="21920">
  <si>
    <t>กลุ่มเขต</t>
  </si>
  <si>
    <t>จำนวนผู้มีสิทธิทั้งหมด</t>
  </si>
  <si>
    <t>จำนวนผู้มาลงคะแนน</t>
  </si>
  <si>
    <t>จำนวนผู้ไม่มาลงคะแนน</t>
  </si>
  <si>
    <t>จำนวนผู้มาลงคะแนนคิดเป็นร้อยละ</t>
  </si>
  <si>
    <t>จำนวนผู้ไม่ออกเสียง</t>
  </si>
  <si>
    <t>จำนวนผู้ไม่ออกเสียง คิดเป็นร้อยละ</t>
  </si>
  <si>
    <t>กรรมการดำเนินการ</t>
  </si>
  <si>
    <t>15,379</t>
  </si>
  <si>
    <t>12,546</t>
  </si>
  <si>
    <t>2,833</t>
  </si>
  <si>
    <t>81.58%</t>
  </si>
  <si>
    <t>1.04%</t>
  </si>
  <si>
    <t>ลำดับที่</t>
  </si>
  <si>
    <t>เลขสมาชิก</t>
  </si>
  <si>
    <t>ชื่อ</t>
  </si>
  <si>
    <t>สกุล</t>
  </si>
  <si>
    <t>เลขบัตรประจำตัวประชาชน</t>
  </si>
  <si>
    <t>รหัสกลุ่ม</t>
  </si>
  <si>
    <t>Mr Admin</t>
  </si>
  <si>
    <t>Admin</t>
  </si>
  <si>
    <t>มาลงคะแนน</t>
  </si>
  <si>
    <t>นาง สมฤทธิ์</t>
  </si>
  <si>
    <t>อุทัยฉาย</t>
  </si>
  <si>
    <t>นาง เบญจวรรณ</t>
  </si>
  <si>
    <t>ลวดทอง</t>
  </si>
  <si>
    <t>นาย นคร</t>
  </si>
  <si>
    <t>แสงปลั่ง</t>
  </si>
  <si>
    <t>นาย สุธี</t>
  </si>
  <si>
    <t>พบฤกษ์</t>
  </si>
  <si>
    <t>นาย ระเบียบ</t>
  </si>
  <si>
    <t>มาลากาญจน์</t>
  </si>
  <si>
    <t>นาย มงคล</t>
  </si>
  <si>
    <t>จันทร์เพ็ญ</t>
  </si>
  <si>
    <t>นางสาว กันยา</t>
  </si>
  <si>
    <t>โอศิริ</t>
  </si>
  <si>
    <t>นาย ธวัชชัย</t>
  </si>
  <si>
    <t>ชมเดช</t>
  </si>
  <si>
    <t>นางสาว นิสา</t>
  </si>
  <si>
    <t>เคาวางกูร</t>
  </si>
  <si>
    <t>นาง ศิวลี</t>
  </si>
  <si>
    <t>ตรีรัตน์</t>
  </si>
  <si>
    <t>นาง พิไลวรรณ</t>
  </si>
  <si>
    <t>ขันติธรรม</t>
  </si>
  <si>
    <t>นาย ประเสริฐ</t>
  </si>
  <si>
    <t>สิงคะปะ</t>
  </si>
  <si>
    <t>นาย สมชาย</t>
  </si>
  <si>
    <t>สุคนธสิงห์</t>
  </si>
  <si>
    <t>นาย สุรินทร์</t>
  </si>
  <si>
    <t>ไชยแสงราช</t>
  </si>
  <si>
    <t>นาย ปริญญา</t>
  </si>
  <si>
    <t>หรูวรรธนะ</t>
  </si>
  <si>
    <t>นาง ประภาจิตร</t>
  </si>
  <si>
    <t>อติเรก</t>
  </si>
  <si>
    <t>นาง อัปษร</t>
  </si>
  <si>
    <t>ศรีผดุง</t>
  </si>
  <si>
    <t>นาย อภิชาติ</t>
  </si>
  <si>
    <t>อติเวทิน</t>
  </si>
  <si>
    <t>นาง อุบลรัตน์</t>
  </si>
  <si>
    <t>คงยิ่ง</t>
  </si>
  <si>
    <t>นาย ทศพล</t>
  </si>
  <si>
    <t>เชี่ยวเชิงงาน</t>
  </si>
  <si>
    <t>นาง สุปราณี</t>
  </si>
  <si>
    <t>จันทรทัต  ณ อยุธยา</t>
  </si>
  <si>
    <t>นางสาว ปาลิดา</t>
  </si>
  <si>
    <t>มณีโชติ</t>
  </si>
  <si>
    <t>นาง ไสว</t>
  </si>
  <si>
    <t>สำเร็จกิจเจริญ</t>
  </si>
  <si>
    <t>นาง วันเพ็ญ</t>
  </si>
  <si>
    <t>ชวนเกษม</t>
  </si>
  <si>
    <t>นาง สงวนศรี</t>
  </si>
  <si>
    <t>แสนโภคทรัพย์</t>
  </si>
  <si>
    <t>นาง เหมวรรณ</t>
  </si>
  <si>
    <t>วงค์สุวรรณ</t>
  </si>
  <si>
    <t>นาย ก้องเกียรติ</t>
  </si>
  <si>
    <t>สุขเกษม</t>
  </si>
  <si>
    <t>นาย เกรียงไกร</t>
  </si>
  <si>
    <t>คะนองเดชชาติ</t>
  </si>
  <si>
    <t>นาง รัตนาภรณ์</t>
  </si>
  <si>
    <t>สุขสุทธิ์</t>
  </si>
  <si>
    <t>นาง สนธยา</t>
  </si>
  <si>
    <t>เชื้อเกี้ยน</t>
  </si>
  <si>
    <t>นาย คณิต</t>
  </si>
  <si>
    <t>วรรณบวร</t>
  </si>
  <si>
    <t>นาง มาลัย</t>
  </si>
  <si>
    <t>อุดมสิน</t>
  </si>
  <si>
    <t>นาย อุดม</t>
  </si>
  <si>
    <t>โกมลภิส</t>
  </si>
  <si>
    <t>นาย สมพงศ์</t>
  </si>
  <si>
    <t>คีรีเพชร</t>
  </si>
  <si>
    <t>นาย ศิริชัย</t>
  </si>
  <si>
    <t>บุลวัธนา</t>
  </si>
  <si>
    <t>นาย ปรารภ</t>
  </si>
  <si>
    <t>ช่างเจริญ</t>
  </si>
  <si>
    <t>นาย ทองดี</t>
  </si>
  <si>
    <t>ปลูกงาม</t>
  </si>
  <si>
    <t>นางสาว น้ำทิพย์</t>
  </si>
  <si>
    <t>เมืองภักดี</t>
  </si>
  <si>
    <t>นาย สมบูรณ์</t>
  </si>
  <si>
    <t>นวลแก้ว</t>
  </si>
  <si>
    <t>นางสาว สมใจ</t>
  </si>
  <si>
    <t>บัวรุ่ง</t>
  </si>
  <si>
    <t>นางสาว อรทัย</t>
  </si>
  <si>
    <t>บุรเกษกุล</t>
  </si>
  <si>
    <t>นาย สำราญ</t>
  </si>
  <si>
    <t>ศรีภักดี</t>
  </si>
  <si>
    <t>นาย อาคม</t>
  </si>
  <si>
    <t>ระเบียบโลก</t>
  </si>
  <si>
    <t>นาย ศักดิ์ศิลป์</t>
  </si>
  <si>
    <t>โชติสกุล</t>
  </si>
  <si>
    <t>นาง ยุพดี</t>
  </si>
  <si>
    <t>นาคีสังข์</t>
  </si>
  <si>
    <t>นาง เสาวลักษณ์</t>
  </si>
  <si>
    <t>ศิริวัฒนาธนะดี</t>
  </si>
  <si>
    <t>นาง มัทนา</t>
  </si>
  <si>
    <t>บุญนพ</t>
  </si>
  <si>
    <t>นางสาว เปรมฤดี</t>
  </si>
  <si>
    <t>พรหมสุภร</t>
  </si>
  <si>
    <t>นาง น้ำทิพย์</t>
  </si>
  <si>
    <t>ชนะภัย</t>
  </si>
  <si>
    <t>นาง สุมิตรา</t>
  </si>
  <si>
    <t>มูณีกุล</t>
  </si>
  <si>
    <t>นาง นวยนารถ</t>
  </si>
  <si>
    <t>ดีอ่วม</t>
  </si>
  <si>
    <t>นาง สุระพี</t>
  </si>
  <si>
    <t>สุคนธ์ผ่อง</t>
  </si>
  <si>
    <t>นาย สวัสดิ์</t>
  </si>
  <si>
    <t>นนทแก้ว</t>
  </si>
  <si>
    <t>นาง ไพบูลย์</t>
  </si>
  <si>
    <t>พงษ์สกุล</t>
  </si>
  <si>
    <t>นาย สมศักดิ์</t>
  </si>
  <si>
    <t>แก้วประดิษฐ์</t>
  </si>
  <si>
    <t>นางสาว ศิริพร</t>
  </si>
  <si>
    <t>สินธุวารี</t>
  </si>
  <si>
    <t>นาย พัฒนา</t>
  </si>
  <si>
    <t>นรมาศ</t>
  </si>
  <si>
    <t>นาย วรกิจ</t>
  </si>
  <si>
    <t>สวัสดิพละ</t>
  </si>
  <si>
    <t>นาง สุคนธ์ทิพย์</t>
  </si>
  <si>
    <t>วิจิตรประเสริฐ</t>
  </si>
  <si>
    <t>นาย สุจินต์</t>
  </si>
  <si>
    <t>สุขวิวัฒน์</t>
  </si>
  <si>
    <t>นาง วรัญญา</t>
  </si>
  <si>
    <t>แย้มสิงห์</t>
  </si>
  <si>
    <t>นาย กมล</t>
  </si>
  <si>
    <t>เกษมศุข</t>
  </si>
  <si>
    <t>นาง สุวรพัชร</t>
  </si>
  <si>
    <t>นรเดชานนท์</t>
  </si>
  <si>
    <t>นาย ชาติชาย</t>
  </si>
  <si>
    <t>ชุมสาย ณ อยุธยา</t>
  </si>
  <si>
    <t>นาย สุรสีห์</t>
  </si>
  <si>
    <t>จันทร</t>
  </si>
  <si>
    <t>นาง อัมพวัน</t>
  </si>
  <si>
    <t>แก้วบัวทอง</t>
  </si>
  <si>
    <t>นาย บรรจง</t>
  </si>
  <si>
    <t>ศิโรรัตนเศรษฐ์</t>
  </si>
  <si>
    <t>นาง นภาพร</t>
  </si>
  <si>
    <t>วัฒนโสภณ</t>
  </si>
  <si>
    <t>นาง ผาสุข</t>
  </si>
  <si>
    <t>รังสิมันตศิริ</t>
  </si>
  <si>
    <t>นาย สมพงษ์</t>
  </si>
  <si>
    <t>แก้วจันทึก</t>
  </si>
  <si>
    <t>นาง ฉวีวรรณ</t>
  </si>
  <si>
    <t>มหะเสนีย์</t>
  </si>
  <si>
    <t>อิสระกาญจน์กุล</t>
  </si>
  <si>
    <t>นาง พูลพิศมัย</t>
  </si>
  <si>
    <t>บุญเพิ่ม</t>
  </si>
  <si>
    <t>นาย เอกชัย</t>
  </si>
  <si>
    <t>โอเจริญ</t>
  </si>
  <si>
    <t>นาง ธัญภัส</t>
  </si>
  <si>
    <t>อินทรา</t>
  </si>
  <si>
    <t>นาง สุภา</t>
  </si>
  <si>
    <t>สุรพญานนท์</t>
  </si>
  <si>
    <t>นาย สุทิน</t>
  </si>
  <si>
    <t>ทองแก้ว</t>
  </si>
  <si>
    <t>นาง กัลยาณี</t>
  </si>
  <si>
    <t>พรหมสุภา</t>
  </si>
  <si>
    <t>วรรณศรี</t>
  </si>
  <si>
    <t>นาง วิไลวรรณ</t>
  </si>
  <si>
    <t>กองวิเชียร</t>
  </si>
  <si>
    <t>วิระวงศ์พรหม</t>
  </si>
  <si>
    <t>นางสาว วรรณา</t>
  </si>
  <si>
    <t>สมทอง</t>
  </si>
  <si>
    <t>นาย เสริมพงศ์</t>
  </si>
  <si>
    <t>ธวัชสิน</t>
  </si>
  <si>
    <t>นางสาว อารมณ์</t>
  </si>
  <si>
    <t>พิทยาธุรวิวัฒน์</t>
  </si>
  <si>
    <t>นาง กอบแก้ว</t>
  </si>
  <si>
    <t>ศรีวรนารถ</t>
  </si>
  <si>
    <t>นาย ศิลป์ชัย</t>
  </si>
  <si>
    <t>ยุกติรัตน์</t>
  </si>
  <si>
    <t>นาง สุกัญญา</t>
  </si>
  <si>
    <t>อธิปอนันต์</t>
  </si>
  <si>
    <t>นางสาว อุษา</t>
  </si>
  <si>
    <t>เลาหะรัตน์</t>
  </si>
  <si>
    <t>นาง พัฑฒิดา</t>
  </si>
  <si>
    <t>กุฎีรัตน์</t>
  </si>
  <si>
    <t>นาย เจริญ</t>
  </si>
  <si>
    <t>จีนเจียม</t>
  </si>
  <si>
    <t>นางสาว ศิริณี</t>
  </si>
  <si>
    <t>พจน์คำขำ</t>
  </si>
  <si>
    <t>นาง กฤตยา</t>
  </si>
  <si>
    <t>สงวนสิน</t>
  </si>
  <si>
    <t>นาง พิจิตรา</t>
  </si>
  <si>
    <t>เพชรทอง</t>
  </si>
  <si>
    <t>นาง สรันญ</t>
  </si>
  <si>
    <t>เมธีวรรณกิจ</t>
  </si>
  <si>
    <t>นางสาว อาภรณ์</t>
  </si>
  <si>
    <t>โสพรรณากร</t>
  </si>
  <si>
    <t>นาง อิงอร</t>
  </si>
  <si>
    <t>มีสกุล</t>
  </si>
  <si>
    <t>นางสาว อารีวรรณ</t>
  </si>
  <si>
    <t>เดชดำรงค์ศักดิ์</t>
  </si>
  <si>
    <t>นาง วิภาดา</t>
  </si>
  <si>
    <t>เรืองไพศาล</t>
  </si>
  <si>
    <t>นาย บำรุง</t>
  </si>
  <si>
    <t>ศรีทองใส</t>
  </si>
  <si>
    <t>นาง ศรีวรรณ</t>
  </si>
  <si>
    <t>เปรมทวี</t>
  </si>
  <si>
    <t>นาย อภิชิต</t>
  </si>
  <si>
    <t>ตานะเศรษฐ์</t>
  </si>
  <si>
    <t>นาง คนึงนิตย์</t>
  </si>
  <si>
    <t>ทองลิ่ม</t>
  </si>
  <si>
    <t>นาย พสิษฐ์</t>
  </si>
  <si>
    <t>หิญชีระนันทน์</t>
  </si>
  <si>
    <t>นาง อัมภา</t>
  </si>
  <si>
    <t>ชูประทุม</t>
  </si>
  <si>
    <t>นาง บุศรินทร์</t>
  </si>
  <si>
    <t>ทองกร</t>
  </si>
  <si>
    <t>นาย เชาวลิต</t>
  </si>
  <si>
    <t>ชูศักดิ์</t>
  </si>
  <si>
    <t>นาย เสริมศักดิ์</t>
  </si>
  <si>
    <t>บุญสิทธิ์</t>
  </si>
  <si>
    <t>นาย คเณตร์</t>
  </si>
  <si>
    <t>ทองเนียม</t>
  </si>
  <si>
    <t>นาง สมพร</t>
  </si>
  <si>
    <t>มาทอง</t>
  </si>
  <si>
    <t>นาง สมถวิล</t>
  </si>
  <si>
    <t>ยุติธรรม</t>
  </si>
  <si>
    <t>นาย ณรงค์</t>
  </si>
  <si>
    <t>ฤทธิ์คำรณ</t>
  </si>
  <si>
    <t>นาย พันธุ์ชาย</t>
  </si>
  <si>
    <t>สุวรรณพัฒน์</t>
  </si>
  <si>
    <t>นาง จุฑาพร</t>
  </si>
  <si>
    <t>ศรีวิพัฒน์</t>
  </si>
  <si>
    <t>มรว. จิตต์ปราณี</t>
  </si>
  <si>
    <t>สุนทรนันท</t>
  </si>
  <si>
    <t>นาย พีระ</t>
  </si>
  <si>
    <t>นิยมะจันทร์</t>
  </si>
  <si>
    <t>ผลเกิด</t>
  </si>
  <si>
    <t>นาง อรอนงค์</t>
  </si>
  <si>
    <t>ธรรมกุล</t>
  </si>
  <si>
    <t>นาง สำราญ</t>
  </si>
  <si>
    <t>สุขบุญส่ง</t>
  </si>
  <si>
    <t>นาย นเรสน์</t>
  </si>
  <si>
    <t>แดงอ่อน</t>
  </si>
  <si>
    <t>นาง เพทาย</t>
  </si>
  <si>
    <t>พงษ์นาค</t>
  </si>
  <si>
    <t>นาย ประวิช</t>
  </si>
  <si>
    <t>จรดำ</t>
  </si>
  <si>
    <t>นาง จินตนา</t>
  </si>
  <si>
    <t>วิสารทพงศ์</t>
  </si>
  <si>
    <t>นางสาว อรษา</t>
  </si>
  <si>
    <t>โพธิเวส</t>
  </si>
  <si>
    <t>นาง สุนันทา</t>
  </si>
  <si>
    <t>สุวรรณวร</t>
  </si>
  <si>
    <t>นางสาว อารีนา</t>
  </si>
  <si>
    <t>พิชัยวัตต์</t>
  </si>
  <si>
    <t>นาง ราชินี</t>
  </si>
  <si>
    <t>ม่วงไพรวัน</t>
  </si>
  <si>
    <t>นาง นิดา</t>
  </si>
  <si>
    <t>สักกทัตติยกุล</t>
  </si>
  <si>
    <t>สิริกอแก้ว</t>
  </si>
  <si>
    <t>นาง ลาวัลย์</t>
  </si>
  <si>
    <t>อานันธิโก</t>
  </si>
  <si>
    <t>นาง สุวัฒนา</t>
  </si>
  <si>
    <t>เพ่งพินิจ</t>
  </si>
  <si>
    <t>นาง เพ็ญธิรัตน์</t>
  </si>
  <si>
    <t>อัครผลสุวรรณ</t>
  </si>
  <si>
    <t>นางสาว พรรณี</t>
  </si>
  <si>
    <t>ศุภนิมิตกุล</t>
  </si>
  <si>
    <t>นาง เกษฎาพรรษ</t>
  </si>
  <si>
    <t>สงวนศักดิ์</t>
  </si>
  <si>
    <t>นาง พัทมนัส</t>
  </si>
  <si>
    <t>สบายสูงเนิน</t>
  </si>
  <si>
    <t>นาย ทองสืบ</t>
  </si>
  <si>
    <t>ผิวทองอินทร์</t>
  </si>
  <si>
    <t>นางสาว พิทยา</t>
  </si>
  <si>
    <t>ติวา</t>
  </si>
  <si>
    <t>นาย นิติพันธุ์</t>
  </si>
  <si>
    <t>ขำทอง</t>
  </si>
  <si>
    <t>นาง ธัญญลักษ์</t>
  </si>
  <si>
    <t>แก้วนุ่น</t>
  </si>
  <si>
    <t>นาง ภีรนุช</t>
  </si>
  <si>
    <t>หอมชื่น</t>
  </si>
  <si>
    <t>นาง ชูทิพย์</t>
  </si>
  <si>
    <t>ชนะเสนีย์</t>
  </si>
  <si>
    <t>นาย อภินันท์</t>
  </si>
  <si>
    <t>สุขกาย</t>
  </si>
  <si>
    <t>นาง ทองศรี</t>
  </si>
  <si>
    <t>อิ่มยิ้ม</t>
  </si>
  <si>
    <t>นาง นราพร</t>
  </si>
  <si>
    <t>หุตะเสวี</t>
  </si>
  <si>
    <t>นางสาว โศภาพัณณ์</t>
  </si>
  <si>
    <t>บถพิบูลย์</t>
  </si>
  <si>
    <t>นางสาว มาลี</t>
  </si>
  <si>
    <t>ธรรมคำภีร์</t>
  </si>
  <si>
    <t>นาย ชวลิต</t>
  </si>
  <si>
    <t>หุ่นแก้ว</t>
  </si>
  <si>
    <t>นาย ณัฐภูมิ</t>
  </si>
  <si>
    <t>สุขมล</t>
  </si>
  <si>
    <t>นาย สมเกียรติ</t>
  </si>
  <si>
    <t>นางสาว ดาราวรรณ</t>
  </si>
  <si>
    <t>วัฒนกุล</t>
  </si>
  <si>
    <t>นาง วนิดา</t>
  </si>
  <si>
    <t>บุญซ้าย</t>
  </si>
  <si>
    <t>นาง วารี</t>
  </si>
  <si>
    <t>เจริญผล</t>
  </si>
  <si>
    <t>สิทธิรัตน์</t>
  </si>
  <si>
    <t>นางสาว ทิพย์สุดา</t>
  </si>
  <si>
    <t>โสภณพินิจ</t>
  </si>
  <si>
    <t>นาง ชุติกาญจน์</t>
  </si>
  <si>
    <t>นางสาว สุมาลี</t>
  </si>
  <si>
    <t>สุนทรนฤรังษี</t>
  </si>
  <si>
    <t>นาง ประภาศิริ</t>
  </si>
  <si>
    <t>ใช้ยิ้มแย้ม</t>
  </si>
  <si>
    <t>นาย ธงชัย</t>
  </si>
  <si>
    <t>สุทธิพงศ์เกียรติ์</t>
  </si>
  <si>
    <t>นาง ลักษณา</t>
  </si>
  <si>
    <t>ดิษยบุตร</t>
  </si>
  <si>
    <t>นาง ศุภลักษณ์</t>
  </si>
  <si>
    <t>กลับน่วม</t>
  </si>
  <si>
    <t>นาง อรพิณ</t>
  </si>
  <si>
    <t>แก้วประจำ</t>
  </si>
  <si>
    <t>นาย กิสณะ</t>
  </si>
  <si>
    <t>ตันเจริญ</t>
  </si>
  <si>
    <t>นาย เชิดชัย</t>
  </si>
  <si>
    <t>ผาสุก</t>
  </si>
  <si>
    <t>นาง เรณู</t>
  </si>
  <si>
    <t>ดอกไม้หอม</t>
  </si>
  <si>
    <t>ทองสุข</t>
  </si>
  <si>
    <t>นาง พรทิพย์</t>
  </si>
  <si>
    <t>นาง เนาวรัตน์</t>
  </si>
  <si>
    <t>มณีรัตน์</t>
  </si>
  <si>
    <t>นาง สุดา</t>
  </si>
  <si>
    <t>วัชรประภาพงศ์</t>
  </si>
  <si>
    <t>นางสาว ศันสนีย์</t>
  </si>
  <si>
    <t>กุลชล</t>
  </si>
  <si>
    <t>นาง ดุษฏีลาวัณณ์</t>
  </si>
  <si>
    <t>สุวรรณศิริพัฒน์</t>
  </si>
  <si>
    <t>นาย เพทาย</t>
  </si>
  <si>
    <t>สวนไพรินทร์</t>
  </si>
  <si>
    <t>นาย วิเชียร</t>
  </si>
  <si>
    <t>พรหมด้วง</t>
  </si>
  <si>
    <t>นาง จรวย</t>
  </si>
  <si>
    <t>ศรีสุกปลั่ง</t>
  </si>
  <si>
    <t>นาง นฤภร</t>
  </si>
  <si>
    <t>บุตรศรี</t>
  </si>
  <si>
    <t>นาง พิมล</t>
  </si>
  <si>
    <t>โพธิราช</t>
  </si>
  <si>
    <t>พฤทธิเทพ</t>
  </si>
  <si>
    <t>นาย วิษณุ</t>
  </si>
  <si>
    <t>อุทโยภาศ</t>
  </si>
  <si>
    <t>นาย นำพล</t>
  </si>
  <si>
    <t>ทองชิตร์</t>
  </si>
  <si>
    <t>นาง สุดใจ</t>
  </si>
  <si>
    <t>พงษ์เพียจันทร์</t>
  </si>
  <si>
    <t>นาย สมชัย</t>
  </si>
  <si>
    <t>นาย รัตน์</t>
  </si>
  <si>
    <t>ก่อสุข</t>
  </si>
  <si>
    <t>นาง อรุณี</t>
  </si>
  <si>
    <t>ปิ่นประยงค์</t>
  </si>
  <si>
    <t>นาย พรชัย</t>
  </si>
  <si>
    <t>นาง สุมล</t>
  </si>
  <si>
    <t>เอี่ยมปิยะ</t>
  </si>
  <si>
    <t>นาง สุวรรณี</t>
  </si>
  <si>
    <t>ศิริรัตนภิญโญ</t>
  </si>
  <si>
    <t>นางสาว นารถฤดี</t>
  </si>
  <si>
    <t>พันธ์ทอง</t>
  </si>
  <si>
    <t>นาย ประภาส</t>
  </si>
  <si>
    <t>แกล้วกล้า</t>
  </si>
  <si>
    <t>นาง ศิลปไสย์</t>
  </si>
  <si>
    <t>สีนวล</t>
  </si>
  <si>
    <t>นางสาว ผานิตย์</t>
  </si>
  <si>
    <t>เจริญบริบูรณ์</t>
  </si>
  <si>
    <t>นาง นารีลักษณ์</t>
  </si>
  <si>
    <t>ศุขกิจ</t>
  </si>
  <si>
    <t>นาง เกษมณี</t>
  </si>
  <si>
    <t>หมื่นวิเศษ</t>
  </si>
  <si>
    <t>นาย จรัญ</t>
  </si>
  <si>
    <t>หวานสนิท</t>
  </si>
  <si>
    <t>นาย วิโรจน์</t>
  </si>
  <si>
    <t>ลมัยพันธ์</t>
  </si>
  <si>
    <t>นาง สายช่อ</t>
  </si>
  <si>
    <t>สุขมาก</t>
  </si>
  <si>
    <t>นาง อารีย์พันธ์</t>
  </si>
  <si>
    <t>อุปนิสากร</t>
  </si>
  <si>
    <t>นาง สมศรี</t>
  </si>
  <si>
    <t>บุญเรือง</t>
  </si>
  <si>
    <t>นางสาว จุฑารัตน์</t>
  </si>
  <si>
    <t>มีวงศ์อุโฆษ</t>
  </si>
  <si>
    <t>นาง พิชฎา</t>
  </si>
  <si>
    <t>อารยานุรักษ์</t>
  </si>
  <si>
    <t>นาย พิชัย</t>
  </si>
  <si>
    <t>เอี่ยมพรชัย</t>
  </si>
  <si>
    <t>นางสาว ทัศนีย์</t>
  </si>
  <si>
    <t>ชิงดวง</t>
  </si>
  <si>
    <t>นาง ปียรัตน์</t>
  </si>
  <si>
    <t>ประมุขชัย</t>
  </si>
  <si>
    <t>นาย ประมวล</t>
  </si>
  <si>
    <t>หนูเจริญ</t>
  </si>
  <si>
    <t>นาย ประทีป</t>
  </si>
  <si>
    <t>จันทร์ดำรง</t>
  </si>
  <si>
    <t>นาง วิลาวัลย์</t>
  </si>
  <si>
    <t>วงษ์เกษม</t>
  </si>
  <si>
    <t>นาย กำภู</t>
  </si>
  <si>
    <t>สท้านไตรภพ</t>
  </si>
  <si>
    <t>นาง ศรีสุดา</t>
  </si>
  <si>
    <t>เตชะสาน</t>
  </si>
  <si>
    <t>นาย สุวรรณวาท</t>
  </si>
  <si>
    <t>แก้วคำแสน</t>
  </si>
  <si>
    <t>นาง สุนิสา</t>
  </si>
  <si>
    <t>ประไพตระกูล</t>
  </si>
  <si>
    <t>นาง นวลจันทร์</t>
  </si>
  <si>
    <t>สมัยกุล</t>
  </si>
  <si>
    <t>นาย สุวรรณ</t>
  </si>
  <si>
    <t>เบี้ยกระโทก</t>
  </si>
  <si>
    <t>นาง มนิดา</t>
  </si>
  <si>
    <t>สุขชวดมี</t>
  </si>
  <si>
    <t>นาง นวรัตน์</t>
  </si>
  <si>
    <t>นราภิรมย์สุข</t>
  </si>
  <si>
    <t>นาง อุบลวรรณ</t>
  </si>
  <si>
    <t>อารยพงศ์</t>
  </si>
  <si>
    <t>นาย ปราโมทย์</t>
  </si>
  <si>
    <t>สุทธาโรจน์</t>
  </si>
  <si>
    <t>นาย วิจิตร</t>
  </si>
  <si>
    <t>กมลวารินทร์</t>
  </si>
  <si>
    <t xml:space="preserve">นาง ฐานิตดา </t>
  </si>
  <si>
    <t>มั่นกิจอมร</t>
  </si>
  <si>
    <t>นาย โสภิต</t>
  </si>
  <si>
    <t>สูยะศรี</t>
  </si>
  <si>
    <t>ปาณะพล</t>
  </si>
  <si>
    <t>นาย วันชัย</t>
  </si>
  <si>
    <t>มุกดารัศมี</t>
  </si>
  <si>
    <t>นาย สำรวล</t>
  </si>
  <si>
    <t>นาย มนตรี</t>
  </si>
  <si>
    <t>วงศ์รักษ์พานิช</t>
  </si>
  <si>
    <t>นาย เกษม</t>
  </si>
  <si>
    <t>ศรีชมภู</t>
  </si>
  <si>
    <t>นาย รังสรรค์</t>
  </si>
  <si>
    <t>กองเงิน</t>
  </si>
  <si>
    <t>นางสาว อังคณา</t>
  </si>
  <si>
    <t>โชคมั่งมีพิศาล</t>
  </si>
  <si>
    <t>วุฒิวรรณ</t>
  </si>
  <si>
    <t>นาย ทนง</t>
  </si>
  <si>
    <t>พรประดับเกียรติ</t>
  </si>
  <si>
    <t>นาย ลือ</t>
  </si>
  <si>
    <t>จันทร์สุข</t>
  </si>
  <si>
    <t>นาย อำนาจ</t>
  </si>
  <si>
    <t>จันทร์ครุฑ</t>
  </si>
  <si>
    <t>นาง อรวรรณ</t>
  </si>
  <si>
    <t>วิชัยลักษณ์</t>
  </si>
  <si>
    <t>นาง อรสา</t>
  </si>
  <si>
    <t>ดิสถาพร</t>
  </si>
  <si>
    <t>นางสาว พรพิมล</t>
  </si>
  <si>
    <t>โตนิ่ม</t>
  </si>
  <si>
    <t>นาง ศิริรัตน์</t>
  </si>
  <si>
    <t>ขวัญกิจวัฒนะ</t>
  </si>
  <si>
    <t>นาย พิสิษฐ์</t>
  </si>
  <si>
    <t>เอื้ออำพน</t>
  </si>
  <si>
    <t>นาย นิพนธ์</t>
  </si>
  <si>
    <t>เดชะ</t>
  </si>
  <si>
    <t>นาง ออมทรัพย์</t>
  </si>
  <si>
    <t>ไวยากรณ์วิลาศ</t>
  </si>
  <si>
    <t>นาง อมรรัตน์</t>
  </si>
  <si>
    <t>สุพรรณชาติ</t>
  </si>
  <si>
    <t>นาง สิทธา</t>
  </si>
  <si>
    <t>จันทรประภา</t>
  </si>
  <si>
    <t>นาง อุรัตน์</t>
  </si>
  <si>
    <t>ศิริรัตน์</t>
  </si>
  <si>
    <t>นาง ชลินทร</t>
  </si>
  <si>
    <t>อนุตรพร</t>
  </si>
  <si>
    <t>นาย มาโนช</t>
  </si>
  <si>
    <t>ปิยาวรานนท์</t>
  </si>
  <si>
    <t>นาย ศุภนารถ</t>
  </si>
  <si>
    <t>เกตุเจริญ</t>
  </si>
  <si>
    <t>นาย เศวต</t>
  </si>
  <si>
    <t>งามสรรพ์</t>
  </si>
  <si>
    <t>นาย ปัญญา</t>
  </si>
  <si>
    <t>พันธุ์ศรีศักดิ์</t>
  </si>
  <si>
    <t>นาย ทรงกลด</t>
  </si>
  <si>
    <t>ซื่อสัตตบงกช</t>
  </si>
  <si>
    <t>นางสาว วรรจนา</t>
  </si>
  <si>
    <t>เจริญรัชเดช</t>
  </si>
  <si>
    <t>นาย ทวีศักดิ์</t>
  </si>
  <si>
    <t>ด้วงทอง</t>
  </si>
  <si>
    <t>นาง รุจิพร</t>
  </si>
  <si>
    <t>จารุพงศ์</t>
  </si>
  <si>
    <t>นาย กร</t>
  </si>
  <si>
    <t>ทัศนสุนทร</t>
  </si>
  <si>
    <t>นาง อัจฉรา</t>
  </si>
  <si>
    <t>นาง มลวิภา</t>
  </si>
  <si>
    <t>อรรฐาเมศร์</t>
  </si>
  <si>
    <t>กมลพันธ์</t>
  </si>
  <si>
    <t>นางสาว กุหลาบ</t>
  </si>
  <si>
    <t>หมายสุขกลาง</t>
  </si>
  <si>
    <t>นาย ชยพัทธ์</t>
  </si>
  <si>
    <t>โภคาวัฒนา</t>
  </si>
  <si>
    <t>นาง วรรณภา</t>
  </si>
  <si>
    <t>รุจิโรจน์</t>
  </si>
  <si>
    <t>นาง วิเรียม</t>
  </si>
  <si>
    <t>แก้วสด</t>
  </si>
  <si>
    <t>นางสาว ถนอมพรรณ</t>
  </si>
  <si>
    <t>สืบจากดี</t>
  </si>
  <si>
    <t>นาย มนัส</t>
  </si>
  <si>
    <t>โสตถิรัตนพันธุ์</t>
  </si>
  <si>
    <t>นาย สุทธิชัย</t>
  </si>
  <si>
    <t>สุทธิวราภิรักษ์</t>
  </si>
  <si>
    <t>นาง พรพรรณ</t>
  </si>
  <si>
    <t>สุทธิเรืองวงศ์</t>
  </si>
  <si>
    <t>นาย ประสิทธิ์</t>
  </si>
  <si>
    <t>สีแดง</t>
  </si>
  <si>
    <t>นางสาว สุรีรัตน์</t>
  </si>
  <si>
    <t>พิมเสน</t>
  </si>
  <si>
    <t>อัศวสุขี</t>
  </si>
  <si>
    <t>นาย สุวัฒน์</t>
  </si>
  <si>
    <t>มานิมนต์</t>
  </si>
  <si>
    <t>นางสาว ธมลวรรณ</t>
  </si>
  <si>
    <t>อิมราพร</t>
  </si>
  <si>
    <t>นาย ประเสริฐวัฒน์</t>
  </si>
  <si>
    <t>กองกันภัย</t>
  </si>
  <si>
    <t>นาย ภูริพัฒน์</t>
  </si>
  <si>
    <t>อุ่นใจ</t>
  </si>
  <si>
    <t>นาง อ้อมทิพย์</t>
  </si>
  <si>
    <t>บุญญะปฏิภาค</t>
  </si>
  <si>
    <t>นาง เอ็นดู</t>
  </si>
  <si>
    <t>อุทวนิช</t>
  </si>
  <si>
    <t>นางสาว เพลินพิศ</t>
  </si>
  <si>
    <t>คณาฤทธิ์</t>
  </si>
  <si>
    <t>นาย นิวัตร</t>
  </si>
  <si>
    <t>วรรณนิธิกุล</t>
  </si>
  <si>
    <t>จอมมะเริง</t>
  </si>
  <si>
    <t>นาง จิระนุช</t>
  </si>
  <si>
    <t>ชาญณรงค์กุล</t>
  </si>
  <si>
    <t>นางสาว ประภัสสร</t>
  </si>
  <si>
    <t>โลหะศิริกุล</t>
  </si>
  <si>
    <t>นาง ชาลิสา</t>
  </si>
  <si>
    <t>โกญจนาท</t>
  </si>
  <si>
    <t>เตี้ยเนตร</t>
  </si>
  <si>
    <t>สุระวดี</t>
  </si>
  <si>
    <t>นาง มาลินี</t>
  </si>
  <si>
    <t>พิทักษ์</t>
  </si>
  <si>
    <t>นางสาว แสนสุข</t>
  </si>
  <si>
    <t>รัตนผล</t>
  </si>
  <si>
    <t>นาง มาลี</t>
  </si>
  <si>
    <t>นาง จารุณี</t>
  </si>
  <si>
    <t>เหลืองกำเนิด</t>
  </si>
  <si>
    <t>นาย ไชยณรงค์</t>
  </si>
  <si>
    <t>ทองปุย</t>
  </si>
  <si>
    <t>นาง ลำพอง</t>
  </si>
  <si>
    <t>เกตุแก้ว</t>
  </si>
  <si>
    <t>นางสาว มณฑา</t>
  </si>
  <si>
    <t>ปอประสิทธิ์</t>
  </si>
  <si>
    <t>นาง บุษรา</t>
  </si>
  <si>
    <t>ปรานศิลป์</t>
  </si>
  <si>
    <t>โมฬี</t>
  </si>
  <si>
    <t>นาย บุญครอง</t>
  </si>
  <si>
    <t>นครศรี</t>
  </si>
  <si>
    <t>นาย ประโยชน์</t>
  </si>
  <si>
    <t>วีระประจักษ์</t>
  </si>
  <si>
    <t>นาย อนุรักษ์</t>
  </si>
  <si>
    <t>บุรุษพัฒน์</t>
  </si>
  <si>
    <t>นาง ไพรวรรณ</t>
  </si>
  <si>
    <t>สุวรรณธาดา</t>
  </si>
  <si>
    <t>นาง พิศมัย</t>
  </si>
  <si>
    <t>สัตยาวิบูล</t>
  </si>
  <si>
    <t>นาย นรินทร์</t>
  </si>
  <si>
    <t>สมบูรณ์สาร</t>
  </si>
  <si>
    <t>นางสาว ศรีประไพ</t>
  </si>
  <si>
    <t>ฉิมรอยลาภ</t>
  </si>
  <si>
    <t>นาย โอฬาร</t>
  </si>
  <si>
    <t>นางสาว บุปผา</t>
  </si>
  <si>
    <t>มงคลศิลป์</t>
  </si>
  <si>
    <t>นาย ชยวรรษ</t>
  </si>
  <si>
    <t>อ่อนสี</t>
  </si>
  <si>
    <t>นาง เกตุอร</t>
  </si>
  <si>
    <t>ทองเครือ</t>
  </si>
  <si>
    <t>นาย สุเทพ</t>
  </si>
  <si>
    <t>บัวสาย</t>
  </si>
  <si>
    <t>ฉัตรวิรุฬห์</t>
  </si>
  <si>
    <t>นาย สมนึก</t>
  </si>
  <si>
    <t>จันทร์ดา</t>
  </si>
  <si>
    <t>นาย ตระกูลศักดิ์</t>
  </si>
  <si>
    <t>ไวยนาค</t>
  </si>
  <si>
    <t>นางสาว ชดากร</t>
  </si>
  <si>
    <t>พานิชสกุล</t>
  </si>
  <si>
    <t>นางสาว จุรี</t>
  </si>
  <si>
    <t>ปัทมดิลก</t>
  </si>
  <si>
    <t>นาง นันทยา</t>
  </si>
  <si>
    <t xml:space="preserve">กัลยาศิริ </t>
  </si>
  <si>
    <t>นาย อธิ</t>
  </si>
  <si>
    <t>ปั้นเปล่ง</t>
  </si>
  <si>
    <t>นาย สุรัฐ</t>
  </si>
  <si>
    <t xml:space="preserve">ขาวลาภ </t>
  </si>
  <si>
    <t xml:space="preserve">นาย วุฒิชัย </t>
  </si>
  <si>
    <t xml:space="preserve">เมืองสมบัติ </t>
  </si>
  <si>
    <t xml:space="preserve">นางสาว กาญจนา </t>
  </si>
  <si>
    <t xml:space="preserve">ประภัสสร </t>
  </si>
  <si>
    <t xml:space="preserve">นางสาว ภัทรา </t>
  </si>
  <si>
    <t>กาญจนสุภัค</t>
  </si>
  <si>
    <t xml:space="preserve">นางสาว อุไรวรรณ </t>
  </si>
  <si>
    <t>รุ่งกำจัด</t>
  </si>
  <si>
    <t xml:space="preserve">นาย ไชยยุทธ์ </t>
  </si>
  <si>
    <t xml:space="preserve">ขุนฤทธิ์แก้ว </t>
  </si>
  <si>
    <t xml:space="preserve">นางสาว จุฬาลักษณ์ </t>
  </si>
  <si>
    <t xml:space="preserve">เนตรสว่าง </t>
  </si>
  <si>
    <t xml:space="preserve">นาย พิสิทธิ์ </t>
  </si>
  <si>
    <t xml:space="preserve">อารยานุรักษ์ </t>
  </si>
  <si>
    <t xml:space="preserve">นาย วิรัช </t>
  </si>
  <si>
    <t xml:space="preserve">ไชยชนะ </t>
  </si>
  <si>
    <t xml:space="preserve">นาย สถาพร </t>
  </si>
  <si>
    <t xml:space="preserve">ถนอมกลาง </t>
  </si>
  <si>
    <t>อัครราช</t>
  </si>
  <si>
    <t>ชื่นเจริญ</t>
  </si>
  <si>
    <t>นาย สมยศ</t>
  </si>
  <si>
    <t>ยิ้มพงษ์</t>
  </si>
  <si>
    <t xml:space="preserve">นาง ฉลองรัฐ </t>
  </si>
  <si>
    <t xml:space="preserve">วงศ์เมือง </t>
  </si>
  <si>
    <t xml:space="preserve">นาง ณัฐชนก </t>
  </si>
  <si>
    <t>เกียรติบุตร</t>
  </si>
  <si>
    <t xml:space="preserve">นาง นภวรรณ </t>
  </si>
  <si>
    <t xml:space="preserve">บัวสาย </t>
  </si>
  <si>
    <t xml:space="preserve">นาย วีระศักดิ์ </t>
  </si>
  <si>
    <t xml:space="preserve">อัตถไพศาล </t>
  </si>
  <si>
    <t xml:space="preserve">นาย สุพจน์ </t>
  </si>
  <si>
    <t>ชัยวิมล</t>
  </si>
  <si>
    <t xml:space="preserve">นาง สุนิสา </t>
  </si>
  <si>
    <t xml:space="preserve">อธิวงศ์ธนวัฒน์ </t>
  </si>
  <si>
    <t xml:space="preserve">นาย สมคิด </t>
  </si>
  <si>
    <t xml:space="preserve">นรเดชานนท์ </t>
  </si>
  <si>
    <t xml:space="preserve">นางสาว ทศพร </t>
  </si>
  <si>
    <t xml:space="preserve">มณีพงษ์ </t>
  </si>
  <si>
    <t xml:space="preserve">นาย นิภัทร </t>
  </si>
  <si>
    <t xml:space="preserve">ศิวติณฑุโก </t>
  </si>
  <si>
    <t>นาย อัคนีวุธ</t>
  </si>
  <si>
    <t>นาย สุพล</t>
  </si>
  <si>
    <t>ธนูรักษ์</t>
  </si>
  <si>
    <t>นาย สุทธิโรจน์</t>
  </si>
  <si>
    <t>นพสุทธิพัฒน์</t>
  </si>
  <si>
    <t>นาง ลูกอินทร์</t>
  </si>
  <si>
    <t>คงพันธ์</t>
  </si>
  <si>
    <t>นาย สมบุญ</t>
  </si>
  <si>
    <t>ประดิษฐ์สุวรรณ</t>
  </si>
  <si>
    <t>นาย อภิรัตน์</t>
  </si>
  <si>
    <t>คงเพชร</t>
  </si>
  <si>
    <t>นาย ไพฑูรย์</t>
  </si>
  <si>
    <t>เพ็ชรไชย</t>
  </si>
  <si>
    <t>นาง ดวงเดือน</t>
  </si>
  <si>
    <t>โลคันเด</t>
  </si>
  <si>
    <t>นาง อาภา</t>
  </si>
  <si>
    <t>วิภาวีรอัญชลีกุล</t>
  </si>
  <si>
    <t>นางสาว สุไมตรี</t>
  </si>
  <si>
    <t>บูรณะสุบรรณ</t>
  </si>
  <si>
    <t>นาง ธนพร</t>
  </si>
  <si>
    <t>ถิตย์รัศมี</t>
  </si>
  <si>
    <t>นางสาว นภาพรรณ</t>
  </si>
  <si>
    <t>เตียวตระกูล</t>
  </si>
  <si>
    <t>สุนทร</t>
  </si>
  <si>
    <t>นาง เตือนจิต</t>
  </si>
  <si>
    <t>บุญกุศล</t>
  </si>
  <si>
    <t>นาย บุญเลิศ</t>
  </si>
  <si>
    <t>บัวคำ</t>
  </si>
  <si>
    <t>นาง กัญญพัชร</t>
  </si>
  <si>
    <t>สุทธิโภชน์</t>
  </si>
  <si>
    <t>นางสาว รัชนี</t>
  </si>
  <si>
    <t>แป้นกลัด</t>
  </si>
  <si>
    <t>นาง ชุติมา</t>
  </si>
  <si>
    <t>นาง สุมนา</t>
  </si>
  <si>
    <t>นาย บุญมี</t>
  </si>
  <si>
    <t>ยอดวิเชียร</t>
  </si>
  <si>
    <t>นาง จุฑาทิตย์</t>
  </si>
  <si>
    <t>สนนุช</t>
  </si>
  <si>
    <t>นาย ทองใบ</t>
  </si>
  <si>
    <t>ลุนนากัน</t>
  </si>
  <si>
    <t>นาย ชาญ</t>
  </si>
  <si>
    <t>เรืองมา</t>
  </si>
  <si>
    <t>นาง อำไพ</t>
  </si>
  <si>
    <t>รักสำรวจ</t>
  </si>
  <si>
    <t>นาย ศตวรรษ</t>
  </si>
  <si>
    <t>สมบูรณ์ศิริ</t>
  </si>
  <si>
    <t>นาย เฉลิมพงษ์</t>
  </si>
  <si>
    <t>เสืองามเอี่ยม</t>
  </si>
  <si>
    <t>นาย ภคพล</t>
  </si>
  <si>
    <t>โฉมศรี</t>
  </si>
  <si>
    <t>นาย ยงยุทธ</t>
  </si>
  <si>
    <t>จำปางาม</t>
  </si>
  <si>
    <t>นาย โกมินทร์</t>
  </si>
  <si>
    <t>ศิริถ้วยทอง</t>
  </si>
  <si>
    <t>นางสาว ดวงรัตน์</t>
  </si>
  <si>
    <t>ทัพน้อย</t>
  </si>
  <si>
    <t>พรหมแก้ว</t>
  </si>
  <si>
    <t>นาย สงกรานต์</t>
  </si>
  <si>
    <t>ขำไชโย</t>
  </si>
  <si>
    <t>นางสาว ปราณี</t>
  </si>
  <si>
    <t>อ่อนในชาติ</t>
  </si>
  <si>
    <t>นาย สังเวียน</t>
  </si>
  <si>
    <t>อึ้งสวรรค์</t>
  </si>
  <si>
    <t>นาย วิสิทธิ์</t>
  </si>
  <si>
    <t>ศรีรักษา</t>
  </si>
  <si>
    <t>นาง ศรีสุมา</t>
  </si>
  <si>
    <t>รัษฐปานะ</t>
  </si>
  <si>
    <t>นาง สุนัยวรรณ์</t>
  </si>
  <si>
    <t>ปานเจริญ</t>
  </si>
  <si>
    <t>พงษ์บุบผา</t>
  </si>
  <si>
    <t>นาย อารมณ์</t>
  </si>
  <si>
    <t>ลิเหล็ก</t>
  </si>
  <si>
    <t>ศรีสวัสดิ์</t>
  </si>
  <si>
    <t>นาง หทัยรัตน์</t>
  </si>
  <si>
    <t>สิทธิตรีวัฒน์</t>
  </si>
  <si>
    <t>นาย สมชาติ</t>
  </si>
  <si>
    <t>สุนทรเนติวงศ์</t>
  </si>
  <si>
    <t>นางสาว หยกศรี</t>
  </si>
  <si>
    <t>จิโรจน์สกุล</t>
  </si>
  <si>
    <t>นางสาว ธีรพร</t>
  </si>
  <si>
    <t>ปัทมวิภาต</t>
  </si>
  <si>
    <t>นาง นงลักษณ์</t>
  </si>
  <si>
    <t>ปุญญาสาสน์</t>
  </si>
  <si>
    <t>นาง ประไพ</t>
  </si>
  <si>
    <t>มหาชยานนท์</t>
  </si>
  <si>
    <t xml:space="preserve">นาย ชิ้น </t>
  </si>
  <si>
    <t xml:space="preserve">เสือสัมฤทธิ์ </t>
  </si>
  <si>
    <t>นาย บัณฑิต</t>
  </si>
  <si>
    <t xml:space="preserve">นางสาว ปาจรีย์ </t>
  </si>
  <si>
    <t xml:space="preserve">แน่นหนา </t>
  </si>
  <si>
    <t xml:space="preserve">นางสาว จุฑารัตน์ </t>
  </si>
  <si>
    <t>บุพศิริ</t>
  </si>
  <si>
    <t>นาย พหล</t>
  </si>
  <si>
    <t xml:space="preserve">นางสาว ณิชานันท์ </t>
  </si>
  <si>
    <t xml:space="preserve">แอดสกุล </t>
  </si>
  <si>
    <t>นางสาว พลอยชมพู</t>
  </si>
  <si>
    <t>เต็งจงดี</t>
  </si>
  <si>
    <t xml:space="preserve">นาย เจนวิชญ์ </t>
  </si>
  <si>
    <t>พฤฑฒิกุล</t>
  </si>
  <si>
    <t>นางสาว พัชรากร</t>
  </si>
  <si>
    <t xml:space="preserve">บ่อคำเขียว </t>
  </si>
  <si>
    <t xml:space="preserve">นาย กฤตวัฒน์ </t>
  </si>
  <si>
    <t xml:space="preserve">ขันธเกษ </t>
  </si>
  <si>
    <t>นาย เพชรรัตน์</t>
  </si>
  <si>
    <t xml:space="preserve">ศิริสวัสดิ์ </t>
  </si>
  <si>
    <t xml:space="preserve">นาย ธีรภัทร </t>
  </si>
  <si>
    <t xml:space="preserve">บัวคลี่ </t>
  </si>
  <si>
    <t xml:space="preserve">นางสาว พลอย </t>
  </si>
  <si>
    <t>สมบัติสุวรรณ</t>
  </si>
  <si>
    <t>นางสาว นงลักษณ์</t>
  </si>
  <si>
    <t>ปิ่นเพ็ชร์</t>
  </si>
  <si>
    <t>นาย สมหมาย</t>
  </si>
  <si>
    <t>แก้วสลับสี</t>
  </si>
  <si>
    <t>นาย สุรฤทธิ์</t>
  </si>
  <si>
    <t>ศรีอรุโณทัย</t>
  </si>
  <si>
    <t>นาง สมศิริ</t>
  </si>
  <si>
    <t>นนทการ</t>
  </si>
  <si>
    <t>นาย จุด</t>
  </si>
  <si>
    <t>แย้มวันเพ็ง</t>
  </si>
  <si>
    <t>นาง ศรีจันทร์</t>
  </si>
  <si>
    <t>เอี่ยมบุรี</t>
  </si>
  <si>
    <t>นาง ศรีวิภา</t>
  </si>
  <si>
    <t>จั่นช้อย</t>
  </si>
  <si>
    <t>นาย สมคิด</t>
  </si>
  <si>
    <t>คงเกตุ</t>
  </si>
  <si>
    <t>นาง ละออง</t>
  </si>
  <si>
    <t>โชติธรรม</t>
  </si>
  <si>
    <t>นางสาว ศรีพันธ์</t>
  </si>
  <si>
    <t>นางสาว ยุวรีย์</t>
  </si>
  <si>
    <t>ทรัพย์กอง</t>
  </si>
  <si>
    <t>นาง อารีย์</t>
  </si>
  <si>
    <t>ธีระดำรงตระกูล</t>
  </si>
  <si>
    <t>นางสาว บราลี</t>
  </si>
  <si>
    <t>จินดาพล</t>
  </si>
  <si>
    <t>นาง อุไร</t>
  </si>
  <si>
    <t>สืบสุข</t>
  </si>
  <si>
    <t>นางสาว อัจฉราพร</t>
  </si>
  <si>
    <t>บุญญพนิช</t>
  </si>
  <si>
    <t>นาย ไชยา</t>
  </si>
  <si>
    <t>ครุธนาค</t>
  </si>
  <si>
    <t>อันธพันธ์</t>
  </si>
  <si>
    <t>นางสาว รักชณา</t>
  </si>
  <si>
    <t>สารภิรม</t>
  </si>
  <si>
    <t>นางสาว รัศมี</t>
  </si>
  <si>
    <t>เสณีตันติกุล</t>
  </si>
  <si>
    <t>นาย สุรพล</t>
  </si>
  <si>
    <t>สุวรรณทัต</t>
  </si>
  <si>
    <t>นางสาว จุณณเกศ</t>
  </si>
  <si>
    <t>พานิช</t>
  </si>
  <si>
    <t>นาง กุหลาบ</t>
  </si>
  <si>
    <t>พงษ์สิทธิผล</t>
  </si>
  <si>
    <t>นางสาว นันทนา</t>
  </si>
  <si>
    <t>สิขิตมาน</t>
  </si>
  <si>
    <t>นาย บุญยัง</t>
  </si>
  <si>
    <t>นาย ไพบูลย์</t>
  </si>
  <si>
    <t>พลอยเลื่อมแสง</t>
  </si>
  <si>
    <t>นาง สมปอง</t>
  </si>
  <si>
    <t>บุญส่ง</t>
  </si>
  <si>
    <t>นาย อนันต์</t>
  </si>
  <si>
    <t>ดาโลดม</t>
  </si>
  <si>
    <t>นาย ธงชาติ</t>
  </si>
  <si>
    <t>รักษากุล</t>
  </si>
  <si>
    <t>นาง สุนิตย์</t>
  </si>
  <si>
    <t>จิตติวัธน์</t>
  </si>
  <si>
    <t>วรรณโรจน์</t>
  </si>
  <si>
    <t>นาง บุญพิศ</t>
  </si>
  <si>
    <t>สาตราภัย</t>
  </si>
  <si>
    <t>นาย ชวาลวุฑฒ</t>
  </si>
  <si>
    <t>ไชยนุวัติ</t>
  </si>
  <si>
    <t>สุขนันตพงศ์</t>
  </si>
  <si>
    <t>นาย วรวิทย์</t>
  </si>
  <si>
    <t>วิทยาภิมัณฑน์</t>
  </si>
  <si>
    <t>นาง อนัญญา</t>
  </si>
  <si>
    <t>พสุวงศานนท์</t>
  </si>
  <si>
    <t>นาง นัยเนตร</t>
  </si>
  <si>
    <t>จักรกลม</t>
  </si>
  <si>
    <t>นาง วันลา</t>
  </si>
  <si>
    <t>พรหมมา</t>
  </si>
  <si>
    <t>นาย เสถียร</t>
  </si>
  <si>
    <t>บุญฤทธิ์</t>
  </si>
  <si>
    <t>โพธิ์ช่วย</t>
  </si>
  <si>
    <t>นางสาว วัชรี</t>
  </si>
  <si>
    <t>ลีรัตนชัย</t>
  </si>
  <si>
    <t>นางสาว จนิษฐา</t>
  </si>
  <si>
    <t>นาง ทิพวรรณ</t>
  </si>
  <si>
    <t>ลิมังกูร</t>
  </si>
  <si>
    <t>นาง นิสา</t>
  </si>
  <si>
    <t>มีแสง</t>
  </si>
  <si>
    <t>นาง อัญชลี</t>
  </si>
  <si>
    <t>ไสยเพชร</t>
  </si>
  <si>
    <t>นางสาว อาริสา</t>
  </si>
  <si>
    <t>ซัดเราะมาน</t>
  </si>
  <si>
    <t>เชื้อพันธุ์</t>
  </si>
  <si>
    <t>นาย ปรีชา</t>
  </si>
  <si>
    <t>สมบูรณ์ประเสริฐ</t>
  </si>
  <si>
    <t>นางสาว พิภัทรา</t>
  </si>
  <si>
    <t>สุวรรณบัตร</t>
  </si>
  <si>
    <t>นางสาว บุญยัง</t>
  </si>
  <si>
    <t>กุลนาถศิริ</t>
  </si>
  <si>
    <t>นางสาว ผ่องศรี</t>
  </si>
  <si>
    <t>หอมพิพัฒน์</t>
  </si>
  <si>
    <t>นางสาว สุภา</t>
  </si>
  <si>
    <t>โพธิไพจิตร</t>
  </si>
  <si>
    <t>นาย วิฑูรย์</t>
  </si>
  <si>
    <t>นาง นันทวรรณ</t>
  </si>
  <si>
    <t>สโรบล</t>
  </si>
  <si>
    <t>นางสาว พิศมัย</t>
  </si>
  <si>
    <t>ฟักอ่อน</t>
  </si>
  <si>
    <t>นาง สิริดาว</t>
  </si>
  <si>
    <t>จันทรสุข</t>
  </si>
  <si>
    <t>ตั้งตรงไพโรจน์</t>
  </si>
  <si>
    <t>นาย นราพัฒน์</t>
  </si>
  <si>
    <t>วัฒนไกวัลวงศ์</t>
  </si>
  <si>
    <t>นาย วิเศษ</t>
  </si>
  <si>
    <t>ชัญญานุวัตร</t>
  </si>
  <si>
    <t xml:space="preserve">นาง พรรณพิมล </t>
  </si>
  <si>
    <t xml:space="preserve">นางสาว ศิริพรรณ </t>
  </si>
  <si>
    <t xml:space="preserve">แจ้งดี </t>
  </si>
  <si>
    <t xml:space="preserve">นางสาว จิรพร </t>
  </si>
  <si>
    <t>ชำนาญยา</t>
  </si>
  <si>
    <t xml:space="preserve">นาง กนกวรรณ </t>
  </si>
  <si>
    <t>ชูวิเชียร</t>
  </si>
  <si>
    <t>นาย จ้อย</t>
  </si>
  <si>
    <t>ปากพลีนอก</t>
  </si>
  <si>
    <t>นาย นครินทร์</t>
  </si>
  <si>
    <t>คลังภักดี</t>
  </si>
  <si>
    <t>นางสาว นุชจรี</t>
  </si>
  <si>
    <t>วัชรวงษ์ไพบูลย์</t>
  </si>
  <si>
    <t xml:space="preserve">นางสาว สุหฤทธา </t>
  </si>
  <si>
    <t xml:space="preserve">เต่งแก้ว </t>
  </si>
  <si>
    <t>นางสาว กชภัส</t>
  </si>
  <si>
    <t>ภาคย์ภาณุเดช</t>
  </si>
  <si>
    <t>นาย นำชัย</t>
  </si>
  <si>
    <t>พรหมมีชัย</t>
  </si>
  <si>
    <t>นาย วิทยา</t>
  </si>
  <si>
    <t>นาย พจน์</t>
  </si>
  <si>
    <t>ชุมศรี</t>
  </si>
  <si>
    <t>นาย ประสงค์</t>
  </si>
  <si>
    <t>เสี่ยงโชคอยู่</t>
  </si>
  <si>
    <t>ภู่พานิช</t>
  </si>
  <si>
    <t>นาง กมลรัตน์</t>
  </si>
  <si>
    <t>นาง กรองทอง</t>
  </si>
  <si>
    <t>นาง วิมลรัตน์</t>
  </si>
  <si>
    <t>นาย วีระ</t>
  </si>
  <si>
    <t>โตสงคราม</t>
  </si>
  <si>
    <t>นางสาว อรพินท์</t>
  </si>
  <si>
    <t>รุ่งเกียรติรัศมี</t>
  </si>
  <si>
    <t>เจ๊ะสะเฮาะ</t>
  </si>
  <si>
    <t>นางสาว สราญภัทร</t>
  </si>
  <si>
    <t>อินทร์ดำ</t>
  </si>
  <si>
    <t>นางสาว พิมพ์วไล</t>
  </si>
  <si>
    <t>เหลืองอร่าม</t>
  </si>
  <si>
    <t>นางสาว สุรีย์</t>
  </si>
  <si>
    <t>แก้วประเสริฐ</t>
  </si>
  <si>
    <t>เสือสัมฤทธิ์</t>
  </si>
  <si>
    <t>นาย จักราวุธ</t>
  </si>
  <si>
    <t>เหมราช</t>
  </si>
  <si>
    <t>นางสาว ศิริเพ็ญ</t>
  </si>
  <si>
    <t>นิยม</t>
  </si>
  <si>
    <t>นาง กิตติมา</t>
  </si>
  <si>
    <t>อันตรเสน</t>
  </si>
  <si>
    <t>นาง ดวงใจ</t>
  </si>
  <si>
    <t>โชติเชื้อวงค์</t>
  </si>
  <si>
    <t>นางสาว ณสุดา</t>
  </si>
  <si>
    <t>อ่อนสุทธิ</t>
  </si>
  <si>
    <t>นางสาว เบญจวรรณ</t>
  </si>
  <si>
    <t xml:space="preserve">ตะพัง </t>
  </si>
  <si>
    <t>นางสาว วนิดา</t>
  </si>
  <si>
    <t>นามสิงห์ษา</t>
  </si>
  <si>
    <t>นางสาว รุ้งตะวัน</t>
  </si>
  <si>
    <t>เหลี่ยมสมบูรณ์</t>
  </si>
  <si>
    <t>นาง มุกดา</t>
  </si>
  <si>
    <t>เชิดชู</t>
  </si>
  <si>
    <t>นางสาว ฮามิลดา</t>
  </si>
  <si>
    <t>เสมสัน</t>
  </si>
  <si>
    <t>นางสาว อรจิรา</t>
  </si>
  <si>
    <t>สารคร</t>
  </si>
  <si>
    <t>นาย กีรติ</t>
  </si>
  <si>
    <t>สมิงพรม</t>
  </si>
  <si>
    <t>นาง ประทุม</t>
  </si>
  <si>
    <t>สุภาพึ่ง</t>
  </si>
  <si>
    <t>นางสาว ฐิติพร</t>
  </si>
  <si>
    <t>เพิ่มสมบูรณ์</t>
  </si>
  <si>
    <t>นางสาว กังสดาล</t>
  </si>
  <si>
    <t>คิดสร้าง</t>
  </si>
  <si>
    <t>นางสาว ศิราณี</t>
  </si>
  <si>
    <t>ฉ่ำบุตร</t>
  </si>
  <si>
    <t>นางสาว แจ่มใส</t>
  </si>
  <si>
    <t>ลำกูล</t>
  </si>
  <si>
    <t>นางสาว พิชามญชุ์</t>
  </si>
  <si>
    <t>คงปรีพันธุ์</t>
  </si>
  <si>
    <t>นางสาว สาลินี</t>
  </si>
  <si>
    <t>สาสนทาญาติ</t>
  </si>
  <si>
    <t xml:space="preserve">นางสาว ปัทมาภรณ์ </t>
  </si>
  <si>
    <t xml:space="preserve">เมืองกระจ่าง </t>
  </si>
  <si>
    <t>นาย วิรัช</t>
  </si>
  <si>
    <t>จันทรโรทัย</t>
  </si>
  <si>
    <t>นาย วัลลภ</t>
  </si>
  <si>
    <t>โพธิ์สังข์</t>
  </si>
  <si>
    <t>นางสาว ศิริทรัพย์</t>
  </si>
  <si>
    <t>จบเจนภัย</t>
  </si>
  <si>
    <t>นางสาว รัตนาพร</t>
  </si>
  <si>
    <t>เลิศชู</t>
  </si>
  <si>
    <t>นาย กิตติศักดิ์</t>
  </si>
  <si>
    <t>เจริญศักดิ์ศิริ</t>
  </si>
  <si>
    <t>นาง มารีนา</t>
  </si>
  <si>
    <t>วงษ์ศิลป์</t>
  </si>
  <si>
    <t>นาง กุลฤดี</t>
  </si>
  <si>
    <t>พัฒนะอิ่ม</t>
  </si>
  <si>
    <t>นาย สุรศักดิ์</t>
  </si>
  <si>
    <t>คำแท้</t>
  </si>
  <si>
    <t>นางสาว วิไลวรรณ</t>
  </si>
  <si>
    <t>บุญไชโย</t>
  </si>
  <si>
    <t>นาง สุวรรณา</t>
  </si>
  <si>
    <t>ระวิโรจน์</t>
  </si>
  <si>
    <t>นางสาว ศุมาลิน</t>
  </si>
  <si>
    <t>ขวัญแก้ว</t>
  </si>
  <si>
    <t xml:space="preserve">นางสาว ธนาภา </t>
  </si>
  <si>
    <t xml:space="preserve">ชูกาว </t>
  </si>
  <si>
    <t xml:space="preserve">นางสาว สาวิตรี </t>
  </si>
  <si>
    <t>ชูดวง</t>
  </si>
  <si>
    <t xml:space="preserve">นาง กาญจนา </t>
  </si>
  <si>
    <t xml:space="preserve">เดชะคุปต์ </t>
  </si>
  <si>
    <t xml:space="preserve">นาย อัษฎาวุฒิ </t>
  </si>
  <si>
    <t xml:space="preserve">ทรัพย์เฉลิม </t>
  </si>
  <si>
    <t>นางสาว ศรัญยพัตร์</t>
  </si>
  <si>
    <t>มาทา</t>
  </si>
  <si>
    <t>นางสาว พีรมณฑ์</t>
  </si>
  <si>
    <t>พุฒตาล</t>
  </si>
  <si>
    <t>นางสาว เพ็ญนภา</t>
  </si>
  <si>
    <t>โรจนสังวร</t>
  </si>
  <si>
    <t>นาย ณัฐพงษ์</t>
  </si>
  <si>
    <t>ทาโคตร</t>
  </si>
  <si>
    <t>นาง ผาณิต</t>
  </si>
  <si>
    <t>ขุมทอง</t>
  </si>
  <si>
    <t>นางสาว วิรังรอง</t>
  </si>
  <si>
    <t>มณีภัคนันท์</t>
  </si>
  <si>
    <t>นาย ชาตรี</t>
  </si>
  <si>
    <t>บุญนาค</t>
  </si>
  <si>
    <t>นาย ไตรรัตน์</t>
  </si>
  <si>
    <t>ดีสุ่น</t>
  </si>
  <si>
    <t>นาง พรชนก</t>
  </si>
  <si>
    <t>ปั่นรัศมี</t>
  </si>
  <si>
    <t>นางสาว อันธิกา</t>
  </si>
  <si>
    <t>นพรัตน์</t>
  </si>
  <si>
    <t xml:space="preserve">นาง พีรพร </t>
  </si>
  <si>
    <t>เกตุฉันท์</t>
  </si>
  <si>
    <t>นาง สราญรัตน์</t>
  </si>
  <si>
    <t>วุฒิสอน</t>
  </si>
  <si>
    <t>นาย อภิสิทธิ์</t>
  </si>
  <si>
    <t>ลือพักตร์</t>
  </si>
  <si>
    <t xml:space="preserve">นาง ภัทรารวีย์ </t>
  </si>
  <si>
    <t>โชคสุวรรณาคิน</t>
  </si>
  <si>
    <t xml:space="preserve">นาย เชิดศักดิ์ </t>
  </si>
  <si>
    <t xml:space="preserve">วังทอง </t>
  </si>
  <si>
    <t xml:space="preserve">นาย วรทัศน์ </t>
  </si>
  <si>
    <t xml:space="preserve">สังฆะมณี  </t>
  </si>
  <si>
    <t>นาย วีระพงษ์</t>
  </si>
  <si>
    <t>วงษ์สระ</t>
  </si>
  <si>
    <t>นาย ทวี</t>
  </si>
  <si>
    <t>มาสขาว</t>
  </si>
  <si>
    <t xml:space="preserve">นาย พัลลภ </t>
  </si>
  <si>
    <t xml:space="preserve">ธานี </t>
  </si>
  <si>
    <t>นาย สัณหพล</t>
  </si>
  <si>
    <t>ชาญศิริรัตนา</t>
  </si>
  <si>
    <t>นาย อาชว์ชัยชาญ</t>
  </si>
  <si>
    <t>เลี้ยงประยูร</t>
  </si>
  <si>
    <t xml:space="preserve">นางสาว เสาวลักษณ์ </t>
  </si>
  <si>
    <t xml:space="preserve">ศักดิ์สิทธิ์ </t>
  </si>
  <si>
    <t xml:space="preserve">นางสาว ปภาวดี </t>
  </si>
  <si>
    <t xml:space="preserve">ม่วงน้อย </t>
  </si>
  <si>
    <t>นางสาว กิตติมา</t>
  </si>
  <si>
    <t>แซ่จิ้ว</t>
  </si>
  <si>
    <t xml:space="preserve">นาย ปรัชวีร์ </t>
  </si>
  <si>
    <t>พรหมสุข</t>
  </si>
  <si>
    <t>นาง วีร์ธิมา</t>
  </si>
  <si>
    <t>เพ็ชรสีงาม</t>
  </si>
  <si>
    <t>นาย สุชาติ</t>
  </si>
  <si>
    <t>ยะเลาะห์</t>
  </si>
  <si>
    <t>นาง ปิยนุช</t>
  </si>
  <si>
    <t>เครือทอง</t>
  </si>
  <si>
    <t>นาย พร้อมพันธุ์</t>
  </si>
  <si>
    <t>กลิ่นจันทร์</t>
  </si>
  <si>
    <t>นาง ลัดดาวัลย์</t>
  </si>
  <si>
    <t>นาง นันทพร</t>
  </si>
  <si>
    <t>เพียรพิจารณ์ชน</t>
  </si>
  <si>
    <t>พัฒนสาร</t>
  </si>
  <si>
    <t>นางสาว กรองแก้ว</t>
  </si>
  <si>
    <t>จันทร์เอียง</t>
  </si>
  <si>
    <t xml:space="preserve">นาง ณัฐชานันท์ </t>
  </si>
  <si>
    <t>นพวงศ์ ณ อยุธยา</t>
  </si>
  <si>
    <t>นาง อัจจิมา</t>
  </si>
  <si>
    <t>หันสกุล</t>
  </si>
  <si>
    <t>ประวิงทรัพย์</t>
  </si>
  <si>
    <t xml:space="preserve">นางสาว อัฐิยา </t>
  </si>
  <si>
    <t>อรุณวงศ์</t>
  </si>
  <si>
    <t xml:space="preserve">นาย เกริกวรรธน์ </t>
  </si>
  <si>
    <t xml:space="preserve">แถวทิม </t>
  </si>
  <si>
    <t xml:space="preserve">นางสาว สุณัฐธิดา </t>
  </si>
  <si>
    <t>วีรวัฒนเมธินทร์</t>
  </si>
  <si>
    <t xml:space="preserve">นางสาว พรรณีรัตน์ </t>
  </si>
  <si>
    <t xml:space="preserve">หงส์พิพิธ </t>
  </si>
  <si>
    <t xml:space="preserve">นางสาว พิมพ์นารา </t>
  </si>
  <si>
    <t xml:space="preserve">นันทพานิชย์ </t>
  </si>
  <si>
    <t xml:space="preserve">นางสาว จินตนา </t>
  </si>
  <si>
    <t xml:space="preserve">พุทธรรม </t>
  </si>
  <si>
    <t>นางสาว จันทิมา</t>
  </si>
  <si>
    <t>ภาคีฉาย</t>
  </si>
  <si>
    <t xml:space="preserve">นางสาว ชัญญนิษฐ์ </t>
  </si>
  <si>
    <t>ภูสง่า</t>
  </si>
  <si>
    <t>นางสาว หฤทัย</t>
  </si>
  <si>
    <t>ซอกาญจน์</t>
  </si>
  <si>
    <t>นาง วงศ์วรรณรักษ์</t>
  </si>
  <si>
    <t>กุยทวีจร</t>
  </si>
  <si>
    <t>นางสาว สุนทรี</t>
  </si>
  <si>
    <t>บุญคุ้ม</t>
  </si>
  <si>
    <t>นางสาว กิติมา</t>
  </si>
  <si>
    <t>กสิกรเจริญลาภ</t>
  </si>
  <si>
    <t>นาง ธิติมา</t>
  </si>
  <si>
    <t>เกิดเนตร</t>
  </si>
  <si>
    <t>นางสาว ชลาลัย</t>
  </si>
  <si>
    <t>มัณฑปาน</t>
  </si>
  <si>
    <t xml:space="preserve">นาง ณัฐชญา </t>
  </si>
  <si>
    <t xml:space="preserve">ศรีมี </t>
  </si>
  <si>
    <t xml:space="preserve">นางสาว วิศนี </t>
  </si>
  <si>
    <t xml:space="preserve">มหะหมัด </t>
  </si>
  <si>
    <t xml:space="preserve">นางสาว สุกัญญา </t>
  </si>
  <si>
    <t>ศิริจันทร์</t>
  </si>
  <si>
    <t xml:space="preserve">นางสาว พันธกานต์ </t>
  </si>
  <si>
    <t xml:space="preserve">กันยะมี </t>
  </si>
  <si>
    <t xml:space="preserve">นางสาว ทวินันท์ </t>
  </si>
  <si>
    <t>ขันเขื่อน</t>
  </si>
  <si>
    <t>นางสาว บังเอิญ</t>
  </si>
  <si>
    <t>แก้วพระโต</t>
  </si>
  <si>
    <t xml:space="preserve">นางสาว รุ่งนภา </t>
  </si>
  <si>
    <t>ทรัพย์มาก</t>
  </si>
  <si>
    <t xml:space="preserve">นางสาว ปิยวรรณ </t>
  </si>
  <si>
    <t xml:space="preserve">จันทร์หนูฤทธิ์ </t>
  </si>
  <si>
    <t>นาย วิค</t>
  </si>
  <si>
    <t>เริงรื่น</t>
  </si>
  <si>
    <t>นาง อุดร</t>
  </si>
  <si>
    <t>รักษาราษฎร์</t>
  </si>
  <si>
    <t>นาง พอเนตร์</t>
  </si>
  <si>
    <t>คำป้อง</t>
  </si>
  <si>
    <t>นาง ชนิษฐ์ภัคค์</t>
  </si>
  <si>
    <t>นางสาว กมลวรรณ</t>
  </si>
  <si>
    <t>บางขาม</t>
  </si>
  <si>
    <t>นาง ฉันทณี</t>
  </si>
  <si>
    <t>เวชอุทัย</t>
  </si>
  <si>
    <t>นาง เพ็ญศรี</t>
  </si>
  <si>
    <t>ภิริสมบูรณ์</t>
  </si>
  <si>
    <t>นาง เกษนุช</t>
  </si>
  <si>
    <t>อัศวภัทรากร</t>
  </si>
  <si>
    <t>นางสาว รัตนา</t>
  </si>
  <si>
    <t>ไตรยวงค์</t>
  </si>
  <si>
    <t>นางสาว สาริศา</t>
  </si>
  <si>
    <t>ยางศิลา</t>
  </si>
  <si>
    <t>นางสาว ลักษณ์พร</t>
  </si>
  <si>
    <t>เย็นประเสริฐ</t>
  </si>
  <si>
    <t>มลิวัลย์</t>
  </si>
  <si>
    <t xml:space="preserve">นางสาว ณัฐพร </t>
  </si>
  <si>
    <t xml:space="preserve">โพธิ์ขุน </t>
  </si>
  <si>
    <t xml:space="preserve">นาง ศิริวรรณ </t>
  </si>
  <si>
    <t>โนนดงกลาง</t>
  </si>
  <si>
    <t xml:space="preserve">นางสาว ชุติมา </t>
  </si>
  <si>
    <t xml:space="preserve">ช่วยทอง </t>
  </si>
  <si>
    <t xml:space="preserve">นางสาว จารุวรรณ </t>
  </si>
  <si>
    <t xml:space="preserve">สถิตย์ </t>
  </si>
  <si>
    <t>นางสาว นวรัตน์</t>
  </si>
  <si>
    <t>กวินพิศุทธิ์</t>
  </si>
  <si>
    <t xml:space="preserve">นาย ภาสกร </t>
  </si>
  <si>
    <t>พันธุ์อยู่</t>
  </si>
  <si>
    <t>นาย คมกฤช</t>
  </si>
  <si>
    <t>อุทะโก</t>
  </si>
  <si>
    <t>นางสาว จามจุรี</t>
  </si>
  <si>
    <t>สังลา</t>
  </si>
  <si>
    <t xml:space="preserve">นางสาว นิภาวรรณ </t>
  </si>
  <si>
    <t>อัคพิน</t>
  </si>
  <si>
    <t xml:space="preserve">นางสาว ชิตาภา </t>
  </si>
  <si>
    <t xml:space="preserve">พิริยะกุลกิจ </t>
  </si>
  <si>
    <t>นางสาว ณัฐกาญจน์</t>
  </si>
  <si>
    <t>สุขโข</t>
  </si>
  <si>
    <t>นางสาว ธัญญา</t>
  </si>
  <si>
    <t xml:space="preserve">พนมกิจเจริญพร </t>
  </si>
  <si>
    <t>นาย ดนัย</t>
  </si>
  <si>
    <t>ชื่นอารมย์</t>
  </si>
  <si>
    <t>นางสาว เพทาย</t>
  </si>
  <si>
    <t>เดชเพชร</t>
  </si>
  <si>
    <t>นาย ณสรวง</t>
  </si>
  <si>
    <t>สุขประเสริฐ</t>
  </si>
  <si>
    <t>นางสาว สุกัณญา</t>
  </si>
  <si>
    <t>นางสาว แก้มทิพย์</t>
  </si>
  <si>
    <t>ภิรมย์เบี้ยว</t>
  </si>
  <si>
    <t>พ.จ.ต. สุรชัย</t>
  </si>
  <si>
    <t>นาง ทองสุข</t>
  </si>
  <si>
    <t>แจ่มกฐิน</t>
  </si>
  <si>
    <t>เสือประสงค์</t>
  </si>
  <si>
    <t>บุญเชิญ</t>
  </si>
  <si>
    <t>งามแสงสิริทรัพย์</t>
  </si>
  <si>
    <t>นาย ณัฐ</t>
  </si>
  <si>
    <t>โยธารักษ์</t>
  </si>
  <si>
    <t>นาง ภวริศา</t>
  </si>
  <si>
    <t>เดชธรรมรงค์</t>
  </si>
  <si>
    <t>นางสาว อัมรา</t>
  </si>
  <si>
    <t>ภัทรขวัญ</t>
  </si>
  <si>
    <t>นาง ศิริเพ็ญ</t>
  </si>
  <si>
    <t>ลาภวงศ์เมธี</t>
  </si>
  <si>
    <t>นาย วุฒิชัย</t>
  </si>
  <si>
    <t>ชิณวงศ์</t>
  </si>
  <si>
    <t>นาง อาภัสสิริ</t>
  </si>
  <si>
    <t>นางสาว นวนิต</t>
  </si>
  <si>
    <t>เนียมมาลัย</t>
  </si>
  <si>
    <t>นางสาว รัชนีวรรณ</t>
  </si>
  <si>
    <t>สุขเจริญดี</t>
  </si>
  <si>
    <t>นางสาว พิมประภา</t>
  </si>
  <si>
    <t>สินค้ำคูณ</t>
  </si>
  <si>
    <t>นางสาว กัลยาณี</t>
  </si>
  <si>
    <t>เด็ดดวง</t>
  </si>
  <si>
    <t>นาย วิชัย</t>
  </si>
  <si>
    <t>บุญเย็น</t>
  </si>
  <si>
    <t xml:space="preserve">นางสาว วิไลพร </t>
  </si>
  <si>
    <t xml:space="preserve">ชวศรี </t>
  </si>
  <si>
    <t>นางสาว เจนต์ธิดา</t>
  </si>
  <si>
    <t>โทลา</t>
  </si>
  <si>
    <t>นาย นิธิพันธ์</t>
  </si>
  <si>
    <t xml:space="preserve">เข่งทอง </t>
  </si>
  <si>
    <t xml:space="preserve">นาง อัษฎางค์ </t>
  </si>
  <si>
    <t xml:space="preserve">นาคบรรพ์ </t>
  </si>
  <si>
    <t xml:space="preserve">นาย ภูดิศ </t>
  </si>
  <si>
    <t>ภาคอรรถ</t>
  </si>
  <si>
    <t xml:space="preserve">นาย พศุตม์พงศ์ </t>
  </si>
  <si>
    <t xml:space="preserve">ชัยวงศ์ </t>
  </si>
  <si>
    <t xml:space="preserve">นาย เสกสิทธิ์ </t>
  </si>
  <si>
    <t xml:space="preserve">วิลิตชัย </t>
  </si>
  <si>
    <t xml:space="preserve">นาย เทพรินทร์ </t>
  </si>
  <si>
    <t>อินทรประเสริฐ</t>
  </si>
  <si>
    <t xml:space="preserve">นาย เรืองเดช </t>
  </si>
  <si>
    <t xml:space="preserve">ศรีวัฒน์ </t>
  </si>
  <si>
    <t xml:space="preserve">นาย ณัฐพล </t>
  </si>
  <si>
    <t xml:space="preserve">สมุหเสนีโต </t>
  </si>
  <si>
    <t xml:space="preserve">นางสาว จารินี </t>
  </si>
  <si>
    <t xml:space="preserve">กองสุวรรณ </t>
  </si>
  <si>
    <t xml:space="preserve">นาย ณัฐพิสิษฐ์ </t>
  </si>
  <si>
    <t xml:space="preserve">จารุพงศ์ </t>
  </si>
  <si>
    <t xml:space="preserve">นางสาว กานต์ชนก </t>
  </si>
  <si>
    <t>ห้องดอกไม้</t>
  </si>
  <si>
    <t>นางสาว จุฑามาศ</t>
  </si>
  <si>
    <t>กรีพานิช</t>
  </si>
  <si>
    <t>นางสาว สรญา</t>
  </si>
  <si>
    <t>เที่ยงสุข</t>
  </si>
  <si>
    <t>นางสาว วันวิสา</t>
  </si>
  <si>
    <t>วัฒนยา</t>
  </si>
  <si>
    <t>นาย ศราวุฒิ</t>
  </si>
  <si>
    <t xml:space="preserve">นุ่นย้อย </t>
  </si>
  <si>
    <t>นางสาว กัญณฐา</t>
  </si>
  <si>
    <t>อภินนท์ธนา</t>
  </si>
  <si>
    <t>นางสาว สุกัญญา</t>
  </si>
  <si>
    <t>พัวพันธ์</t>
  </si>
  <si>
    <t>นาง เขมณัฏฐ์</t>
  </si>
  <si>
    <t>กมลกิจจาลักษณ์</t>
  </si>
  <si>
    <t>นางสาว สุพัตรา</t>
  </si>
  <si>
    <t>สมบัติมานะผล</t>
  </si>
  <si>
    <t>นางสาว พิชญาภัค</t>
  </si>
  <si>
    <t>จันทร์นิยมาธรณ์</t>
  </si>
  <si>
    <t xml:space="preserve">นางสาว นันทพร </t>
  </si>
  <si>
    <t xml:space="preserve">สุนสาระพันธุ์ </t>
  </si>
  <si>
    <t>นางสาว กฤตกนก</t>
  </si>
  <si>
    <t xml:space="preserve">รัตนไกรศรี </t>
  </si>
  <si>
    <t>นาง ประไพวรรณ</t>
  </si>
  <si>
    <t>ทศสำราญ</t>
  </si>
  <si>
    <t>นางสาว อำไพพงษ์</t>
  </si>
  <si>
    <t>เกาะเทียน</t>
  </si>
  <si>
    <t>นางสาว พนิดา</t>
  </si>
  <si>
    <t>ธรรมสุรักษ์</t>
  </si>
  <si>
    <t>นาย ประพัทธ์</t>
  </si>
  <si>
    <t>ปทุมรัตน์วรกุล</t>
  </si>
  <si>
    <t xml:space="preserve">นาย อภิชาติ </t>
  </si>
  <si>
    <t xml:space="preserve">รบศรี </t>
  </si>
  <si>
    <t xml:space="preserve">นาย พิษณุวัฒน์ </t>
  </si>
  <si>
    <t>นาง ณัฎฐวิศา</t>
  </si>
  <si>
    <t>สุวรรณไพบูลย์</t>
  </si>
  <si>
    <t xml:space="preserve">นางสาว ศศิวิมล </t>
  </si>
  <si>
    <t>บุญประเสริฐ</t>
  </si>
  <si>
    <t xml:space="preserve">นาย สุรนันท์ </t>
  </si>
  <si>
    <t xml:space="preserve">หลำริ้ว </t>
  </si>
  <si>
    <t>นางสาว อัจฉรา</t>
  </si>
  <si>
    <t>สุขสมบูรณ์</t>
  </si>
  <si>
    <t>นาง ศิรินทิพย์</t>
  </si>
  <si>
    <t xml:space="preserve">นางสาว มุกดา </t>
  </si>
  <si>
    <t xml:space="preserve">หมายสม </t>
  </si>
  <si>
    <t xml:space="preserve">นางสาว เบญจภรณ์ </t>
  </si>
  <si>
    <t xml:space="preserve">ร้องเสียง </t>
  </si>
  <si>
    <t>นาย พงษ์เพชร</t>
  </si>
  <si>
    <t>วงศ์โสภา</t>
  </si>
  <si>
    <t xml:space="preserve">นาย เอกชัย </t>
  </si>
  <si>
    <t xml:space="preserve">กั่นขาว </t>
  </si>
  <si>
    <t xml:space="preserve">นาย รัฐพล </t>
  </si>
  <si>
    <t xml:space="preserve">ผาดโผน </t>
  </si>
  <si>
    <t>นาย ธีรพงษ์</t>
  </si>
  <si>
    <t>พุกภัย</t>
  </si>
  <si>
    <t xml:space="preserve">นางสาว ศุภลักษณ์ </t>
  </si>
  <si>
    <t xml:space="preserve">เส่งถิน </t>
  </si>
  <si>
    <t xml:space="preserve">นางสาว คันธรส </t>
  </si>
  <si>
    <t>เงินเรืองโรจน์</t>
  </si>
  <si>
    <t xml:space="preserve">นางสาว นาฏสรวง </t>
  </si>
  <si>
    <t xml:space="preserve">อินทร์แก้ว </t>
  </si>
  <si>
    <t xml:space="preserve">นางสาว กิตติลักษณ์ </t>
  </si>
  <si>
    <t xml:space="preserve">ชัยเพชร </t>
  </si>
  <si>
    <t>นาง โสภาภรณ์</t>
  </si>
  <si>
    <t>ภิญโญเทพประทาน</t>
  </si>
  <si>
    <t>วรรโณทยาน</t>
  </si>
  <si>
    <t>นางสาว วิมล</t>
  </si>
  <si>
    <t>เนตรล้อมวงศ์</t>
  </si>
  <si>
    <t>นาย อนนท์</t>
  </si>
  <si>
    <t>นาย เชวงศักดิ์</t>
  </si>
  <si>
    <t>แสงมณี</t>
  </si>
  <si>
    <t>นาย ชาญชัย</t>
  </si>
  <si>
    <t>รัศมิทัต</t>
  </si>
  <si>
    <t>บุญปกครอง</t>
  </si>
  <si>
    <t>นาย อดิเรก</t>
  </si>
  <si>
    <t>สุประไตร</t>
  </si>
  <si>
    <t>นาง อารีรัตน์</t>
  </si>
  <si>
    <t>อรรถจรูญ</t>
  </si>
  <si>
    <t xml:space="preserve">นางสาว วารีทิพย์ </t>
  </si>
  <si>
    <t>อินทวิพันธุ์</t>
  </si>
  <si>
    <t>นางสาว วรัญญา</t>
  </si>
  <si>
    <t>กองคำ</t>
  </si>
  <si>
    <t>นาย พินิจ</t>
  </si>
  <si>
    <t>วัฒนสันติพงศ์</t>
  </si>
  <si>
    <t>อิทธิโชติ</t>
  </si>
  <si>
    <t>นางสาว จีระวรรณ</t>
  </si>
  <si>
    <t>เรืองอาจ</t>
  </si>
  <si>
    <t>นางสาว วรวรรณ</t>
  </si>
  <si>
    <t>อังกสิทธิ์</t>
  </si>
  <si>
    <t>นาง สายพิน</t>
  </si>
  <si>
    <t xml:space="preserve">นาย เกริกพล </t>
  </si>
  <si>
    <t>วงศ์ชู</t>
  </si>
  <si>
    <t xml:space="preserve">ชัยยวรรณาการ </t>
  </si>
  <si>
    <t>นางสาว จั่นเพชร</t>
  </si>
  <si>
    <t>ศารทูลสิงห์</t>
  </si>
  <si>
    <t>ตู้แก้ว</t>
  </si>
  <si>
    <t>นาง เสาวนีย์</t>
  </si>
  <si>
    <t xml:space="preserve">สาโรจน์ </t>
  </si>
  <si>
    <t>นาง นุจรี</t>
  </si>
  <si>
    <t>สระกระจ่าง</t>
  </si>
  <si>
    <t xml:space="preserve">นางสาว กานต์รวี </t>
  </si>
  <si>
    <t>ศรีพวงผกาพันธุ์</t>
  </si>
  <si>
    <t>นาย นิพิจ</t>
  </si>
  <si>
    <t>พินิจผล</t>
  </si>
  <si>
    <t>นาย นำโชค</t>
  </si>
  <si>
    <t>บุญมี</t>
  </si>
  <si>
    <t>นาง ดวงฤดี</t>
  </si>
  <si>
    <t>ดำแก้ว</t>
  </si>
  <si>
    <t>เทพวาที</t>
  </si>
  <si>
    <t>วรรณศิริ</t>
  </si>
  <si>
    <t>ใจเพ็ชร</t>
  </si>
  <si>
    <t>นาง ธัญญา</t>
  </si>
  <si>
    <t>บุญมา</t>
  </si>
  <si>
    <t>นาง สินันต์ธร</t>
  </si>
  <si>
    <t>นางสาว ศศิประภา</t>
  </si>
  <si>
    <t>มาราช</t>
  </si>
  <si>
    <t>นางสาว เบญจมาภรณ์</t>
  </si>
  <si>
    <t>ลิ้มประเสริฐ</t>
  </si>
  <si>
    <t>นาง จันทร์จรัส</t>
  </si>
  <si>
    <t>เกียรติทวีมั่นคง</t>
  </si>
  <si>
    <t xml:space="preserve">นาง อัชดา </t>
  </si>
  <si>
    <t xml:space="preserve">มนต์เทวัญ </t>
  </si>
  <si>
    <t>นางสาว มนสวรรณ</t>
  </si>
  <si>
    <t xml:space="preserve">อุปถัมภ์ </t>
  </si>
  <si>
    <t>นางสาว วิมลรัตน์</t>
  </si>
  <si>
    <t>ปานอู</t>
  </si>
  <si>
    <t>นางสาว ขนิษฐา</t>
  </si>
  <si>
    <t>พงษ์ปรีชา</t>
  </si>
  <si>
    <t>นางสาว พัชราภรณ์</t>
  </si>
  <si>
    <t>จำปานา</t>
  </si>
  <si>
    <t xml:space="preserve">นางสาว อภิญญา </t>
  </si>
  <si>
    <t>เย็นสบาย</t>
  </si>
  <si>
    <t>เรือนหล้า</t>
  </si>
  <si>
    <t>นางสาว ปนัดดา</t>
  </si>
  <si>
    <t>ทิพยะรัตน์</t>
  </si>
  <si>
    <t xml:space="preserve">นางสาว นาตาลี </t>
  </si>
  <si>
    <t xml:space="preserve">วัฒนะ </t>
  </si>
  <si>
    <t>นางสาว เสาวรส</t>
  </si>
  <si>
    <t xml:space="preserve">ธรรมเพียร </t>
  </si>
  <si>
    <t xml:space="preserve">นาย ประวิน </t>
  </si>
  <si>
    <t xml:space="preserve">นัยเจริญ </t>
  </si>
  <si>
    <t>นาง วรรณนิภา</t>
  </si>
  <si>
    <t>ฉ่ำฉวี</t>
  </si>
  <si>
    <t>นางสาว วรนาฏ</t>
  </si>
  <si>
    <t>โคกเย็น</t>
  </si>
  <si>
    <t>ดีอินทร์</t>
  </si>
  <si>
    <t>นางสาว นฤมล</t>
  </si>
  <si>
    <t>ลดาวัลย์ ณ อยุธยา</t>
  </si>
  <si>
    <t xml:space="preserve">นาย ชานนท์ </t>
  </si>
  <si>
    <t>นาย อนุตร</t>
  </si>
  <si>
    <t>บูรณพานิชพันธุ์</t>
  </si>
  <si>
    <t>แก้วปินตา</t>
  </si>
  <si>
    <t>นาย สามารถ</t>
  </si>
  <si>
    <t xml:space="preserve">ศรีวิลัย </t>
  </si>
  <si>
    <t xml:space="preserve">นางสาว สุขสม </t>
  </si>
  <si>
    <t>ชินวินิจกุล</t>
  </si>
  <si>
    <t>นางสาว ชิดชนก</t>
  </si>
  <si>
    <t xml:space="preserve">นางสาว ปวีณา </t>
  </si>
  <si>
    <t>คนยงค์</t>
  </si>
  <si>
    <t>นางสาว กันยากร</t>
  </si>
  <si>
    <t>อุทัย</t>
  </si>
  <si>
    <t>นางสาว วรินทร</t>
  </si>
  <si>
    <t>ชูช่วย</t>
  </si>
  <si>
    <t>สมนาค</t>
  </si>
  <si>
    <t>นาง อภิรมย์</t>
  </si>
  <si>
    <t>อยู่ชา</t>
  </si>
  <si>
    <t>นาย สุคนธ์</t>
  </si>
  <si>
    <t>นาย บุญส่ง</t>
  </si>
  <si>
    <t>นาง อุบล</t>
  </si>
  <si>
    <t>ใบมาก</t>
  </si>
  <si>
    <t>พูลเสม</t>
  </si>
  <si>
    <t>นาย นฤเบส</t>
  </si>
  <si>
    <t>ชมดง</t>
  </si>
  <si>
    <t>นาย วชิรศิริ</t>
  </si>
  <si>
    <t>ทวีเดช</t>
  </si>
  <si>
    <t>นาง เพียนชอบ</t>
  </si>
  <si>
    <t>หลากสุขถม</t>
  </si>
  <si>
    <t>นางสาว ปิยนุช</t>
  </si>
  <si>
    <t>หร่ายขุนทด</t>
  </si>
  <si>
    <t>สุวจิตตานนท์</t>
  </si>
  <si>
    <t>นางสาว วชิรา</t>
  </si>
  <si>
    <t>เพชรโช</t>
  </si>
  <si>
    <t>สมสวย</t>
  </si>
  <si>
    <t>นาย สิฏฐิพงษ์</t>
  </si>
  <si>
    <t>สุริยกานต์</t>
  </si>
  <si>
    <t xml:space="preserve">นางสาว อรุณี </t>
  </si>
  <si>
    <t>สุขน่วม</t>
  </si>
  <si>
    <t xml:space="preserve">นาย มงคล </t>
  </si>
  <si>
    <t xml:space="preserve">อุ่นจิตร </t>
  </si>
  <si>
    <t>นาง วัชรีพร</t>
  </si>
  <si>
    <t>วิทยกฤตศิริกุล</t>
  </si>
  <si>
    <t xml:space="preserve">นางสาว จุฑามาศ </t>
  </si>
  <si>
    <t xml:space="preserve">หนูแดง </t>
  </si>
  <si>
    <t xml:space="preserve">นางสาว ฐิติขวัญ   </t>
  </si>
  <si>
    <t>ศิริธัญญารัตน์</t>
  </si>
  <si>
    <t>นางสาว เบญจวัลย์</t>
  </si>
  <si>
    <t>มะลิลา</t>
  </si>
  <si>
    <t>นาง วัชรา</t>
  </si>
  <si>
    <t>ศรีนิธิไชยเดช</t>
  </si>
  <si>
    <t xml:space="preserve">นางสาว วิชาณี </t>
  </si>
  <si>
    <t>ศรีอุไร</t>
  </si>
  <si>
    <t xml:space="preserve">นางสาว ชลินรัตน์ </t>
  </si>
  <si>
    <t xml:space="preserve">อัมพุนันทน์ </t>
  </si>
  <si>
    <t xml:space="preserve">นางสาว นฤมล </t>
  </si>
  <si>
    <t xml:space="preserve">ภานุรัตน์ </t>
  </si>
  <si>
    <t xml:space="preserve">นางสาว รัตกรณ์ </t>
  </si>
  <si>
    <t xml:space="preserve">วุฒิบูรณ์ </t>
  </si>
  <si>
    <t xml:space="preserve">นางสาว สมปอง </t>
  </si>
  <si>
    <t>ร่วมชาติ</t>
  </si>
  <si>
    <t>นาย ธงอาจ</t>
  </si>
  <si>
    <t>จันทร์แดง</t>
  </si>
  <si>
    <t xml:space="preserve">นางสาว วนิดา </t>
  </si>
  <si>
    <t xml:space="preserve">ดากรม </t>
  </si>
  <si>
    <t xml:space="preserve">นางสาว อังคณา </t>
  </si>
  <si>
    <t xml:space="preserve">สิงห์ทอน </t>
  </si>
  <si>
    <t>นาย สุวัสส์</t>
  </si>
  <si>
    <t>ภูตะมี</t>
  </si>
  <si>
    <t>นาง สมคิด</t>
  </si>
  <si>
    <t>นุ่มปราณี</t>
  </si>
  <si>
    <t>นาย ธรรมนูญ</t>
  </si>
  <si>
    <t>ธิดา</t>
  </si>
  <si>
    <t>นาง ทวีวรรณ</t>
  </si>
  <si>
    <t>นาย สัญญา</t>
  </si>
  <si>
    <t>เธียรสุนทร</t>
  </si>
  <si>
    <t>นาย อาณัติ</t>
  </si>
  <si>
    <t>หุ่นหลา</t>
  </si>
  <si>
    <t>นาง ณภัทร</t>
  </si>
  <si>
    <t xml:space="preserve">ศักดิ์สุวรรณ </t>
  </si>
  <si>
    <t>นางสาว ลิ้นจี่</t>
  </si>
  <si>
    <t>บุญมาก</t>
  </si>
  <si>
    <t>นาง ปุณยนุช</t>
  </si>
  <si>
    <t>วงศธรวรกุล</t>
  </si>
  <si>
    <t>นางสาว รัตน์พิรุณ</t>
  </si>
  <si>
    <t>กรุณวงษ์</t>
  </si>
  <si>
    <t>นาย วรรธนวิทย์</t>
  </si>
  <si>
    <t>เฉลยผล</t>
  </si>
  <si>
    <t>นางสาว กรกัญญา</t>
  </si>
  <si>
    <t xml:space="preserve">อักษรเนียม </t>
  </si>
  <si>
    <t>นางสาว ศุภกาญจน์</t>
  </si>
  <si>
    <t>หล่ายแปด</t>
  </si>
  <si>
    <t>นาย ภราดร</t>
  </si>
  <si>
    <t>ชนะสงคราม</t>
  </si>
  <si>
    <t>นางสาว พรปรีชา</t>
  </si>
  <si>
    <t>หงสะเดช</t>
  </si>
  <si>
    <t>นางสาว นันทวัน</t>
  </si>
  <si>
    <t>ทองเบ็ญญ์</t>
  </si>
  <si>
    <t xml:space="preserve">รัตนพงษ์พร </t>
  </si>
  <si>
    <t>นางสาว สุธิดา</t>
  </si>
  <si>
    <t>รัสดีดวง</t>
  </si>
  <si>
    <t xml:space="preserve">นาย เอกราช </t>
  </si>
  <si>
    <t xml:space="preserve">บุญล้อมรักษ์ </t>
  </si>
  <si>
    <t>ศรีดาพันธ์</t>
  </si>
  <si>
    <t>นาย กิตติพันธ์</t>
  </si>
  <si>
    <t>จันทาศรี</t>
  </si>
  <si>
    <t xml:space="preserve">นาย ศราวุฒิ </t>
  </si>
  <si>
    <t xml:space="preserve">หมวดชาลี </t>
  </si>
  <si>
    <t>นาง ปาลลิน</t>
  </si>
  <si>
    <t>พวงมี</t>
  </si>
  <si>
    <t>นาย ไพรุ่ง</t>
  </si>
  <si>
    <t>บุญเลิศ</t>
  </si>
  <si>
    <t>นาง คนึงสุข</t>
  </si>
  <si>
    <t>ปาสาณพงศ์</t>
  </si>
  <si>
    <t>ปานเพียร</t>
  </si>
  <si>
    <t>นาย บุญเตือน</t>
  </si>
  <si>
    <t>ธรรมทันตา</t>
  </si>
  <si>
    <t>นางสาว สุนิดา</t>
  </si>
  <si>
    <t>คำศรี</t>
  </si>
  <si>
    <t>นางสาว รติกร</t>
  </si>
  <si>
    <t>เพชรรัตน์</t>
  </si>
  <si>
    <t>นางสาว มยุรี</t>
  </si>
  <si>
    <t>บุญญาเสนีย์กุล</t>
  </si>
  <si>
    <t>นาย สรรพสิทธิ์</t>
  </si>
  <si>
    <t>สิงห์ปี</t>
  </si>
  <si>
    <t>นางสาว นันท์ปพร</t>
  </si>
  <si>
    <t xml:space="preserve">โกซิน </t>
  </si>
  <si>
    <t>นาย นพนันท์ ลัสเตียน</t>
  </si>
  <si>
    <t xml:space="preserve"> ปลื้มเปลี่ยน</t>
  </si>
  <si>
    <t xml:space="preserve">นางสาว ฉัฐสิณี </t>
  </si>
  <si>
    <t>หาญกิตติชัย</t>
  </si>
  <si>
    <t xml:space="preserve">นางสาว สมฤทัย </t>
  </si>
  <si>
    <t>พันธุ์สะอาด</t>
  </si>
  <si>
    <t>นางสาว ลลิดา</t>
  </si>
  <si>
    <t>ศิริเสาร์</t>
  </si>
  <si>
    <t xml:space="preserve">นางสาว วิลาสินี </t>
  </si>
  <si>
    <t xml:space="preserve">ลีทวีทรัพย์ </t>
  </si>
  <si>
    <t xml:space="preserve">นาย วิโรจน์ </t>
  </si>
  <si>
    <t xml:space="preserve">กิจไมตรี </t>
  </si>
  <si>
    <t xml:space="preserve">นางสาว นุจรี </t>
  </si>
  <si>
    <t xml:space="preserve">เพลา </t>
  </si>
  <si>
    <t>นางสาว สุตาภา</t>
  </si>
  <si>
    <t>ทองสมจิต</t>
  </si>
  <si>
    <t>นางสาว ศิรินทิพย์</t>
  </si>
  <si>
    <t xml:space="preserve">พรหมเกตุ </t>
  </si>
  <si>
    <t>นาง เนตรนริศ</t>
  </si>
  <si>
    <t>ผดุงศิลป์</t>
  </si>
  <si>
    <t xml:space="preserve">นางสาว จิรวดี </t>
  </si>
  <si>
    <t>พรัดจุล</t>
  </si>
  <si>
    <t xml:space="preserve">นางสาว วลัยกร </t>
  </si>
  <si>
    <t>นครไธสง</t>
  </si>
  <si>
    <t xml:space="preserve">นางสาว ชุติมณฑน์ </t>
  </si>
  <si>
    <t xml:space="preserve">ครไทย </t>
  </si>
  <si>
    <t>นางสาว จีรนันท์</t>
  </si>
  <si>
    <t>ไทยสุชาติ</t>
  </si>
  <si>
    <t xml:space="preserve">นางสาว เชาวนีฐ์ </t>
  </si>
  <si>
    <t xml:space="preserve">โคมแก้ว </t>
  </si>
  <si>
    <t>นางสาว อัญรัตน์</t>
  </si>
  <si>
    <t xml:space="preserve">ทองคงหาญ </t>
  </si>
  <si>
    <t>นาย พัฒน์รพี</t>
  </si>
  <si>
    <t>สืบขจร</t>
  </si>
  <si>
    <t>นาย สุริยา</t>
  </si>
  <si>
    <t>นาง บุบผา</t>
  </si>
  <si>
    <t>แสงพวง</t>
  </si>
  <si>
    <t>จันทร์สำราญ</t>
  </si>
  <si>
    <t>นาย สุรชัย</t>
  </si>
  <si>
    <t>โพธิ์ดี</t>
  </si>
  <si>
    <t>นาง วริษฐา</t>
  </si>
  <si>
    <t>จันทะเลียง</t>
  </si>
  <si>
    <t>นางสาว อรวรรณ</t>
  </si>
  <si>
    <t>คงอภิรักษ์</t>
  </si>
  <si>
    <t>นาง ลินดา</t>
  </si>
  <si>
    <t>บุญรุ่ง</t>
  </si>
  <si>
    <t>นาง อมรรัฎฐ์</t>
  </si>
  <si>
    <t>ชื่นมาลัย</t>
  </si>
  <si>
    <t xml:space="preserve">นางสาว เสาวณิต </t>
  </si>
  <si>
    <t xml:space="preserve">เทพมงคล </t>
  </si>
  <si>
    <t>นาย วิศรุต</t>
  </si>
  <si>
    <t>ตุ้ยศักดา</t>
  </si>
  <si>
    <t xml:space="preserve">นางสาว พีรชา </t>
  </si>
  <si>
    <t xml:space="preserve">มณีชาติ </t>
  </si>
  <si>
    <t xml:space="preserve">นางสาว อารยา </t>
  </si>
  <si>
    <t xml:space="preserve">สุขเกษม </t>
  </si>
  <si>
    <t xml:space="preserve">นาย ธีรภัทร์ </t>
  </si>
  <si>
    <t xml:space="preserve">คุ้มครอง </t>
  </si>
  <si>
    <t>นาง ปรัธนา</t>
  </si>
  <si>
    <t>สมวิชา</t>
  </si>
  <si>
    <t>นางสาว รัตนาภรณ์</t>
  </si>
  <si>
    <t>นพพูน</t>
  </si>
  <si>
    <t xml:space="preserve">นาย วิศรุต </t>
  </si>
  <si>
    <t xml:space="preserve">สายบุญช่วย </t>
  </si>
  <si>
    <t>นางสาว นิลธิตา</t>
  </si>
  <si>
    <t>ฟรอมชัยภูมิ</t>
  </si>
  <si>
    <t>นางสาว ปฤษณา</t>
  </si>
  <si>
    <t>ดิษาภิรมย์</t>
  </si>
  <si>
    <t>นางสาว ปิยนันท์</t>
  </si>
  <si>
    <t>บุญสร้าง</t>
  </si>
  <si>
    <t xml:space="preserve">นางสาว เพ็ญนภา </t>
  </si>
  <si>
    <t>นาย นฤดม</t>
  </si>
  <si>
    <t>สุริยตัน</t>
  </si>
  <si>
    <t xml:space="preserve">นางสาว รภัทร </t>
  </si>
  <si>
    <t xml:space="preserve">วงศ์สมบูรณ์ </t>
  </si>
  <si>
    <t>นางสาว ปริญญารัตน์</t>
  </si>
  <si>
    <t>ภูศิริ</t>
  </si>
  <si>
    <t>นาย คำรณ</t>
  </si>
  <si>
    <t>พันโต</t>
  </si>
  <si>
    <t>นาย ทองสุข</t>
  </si>
  <si>
    <t>นิลเลิศ</t>
  </si>
  <si>
    <t>นาย ธีระวัฒน์</t>
  </si>
  <si>
    <t>วงศ์วิชิต</t>
  </si>
  <si>
    <t>ยุวนานนท์</t>
  </si>
  <si>
    <t>นาง พิสมัย</t>
  </si>
  <si>
    <t>พึ่งวิกรัย</t>
  </si>
  <si>
    <t>นาง เทียมจันทร์</t>
  </si>
  <si>
    <t>นางสาว สุริวัสสา</t>
  </si>
  <si>
    <t>รัตนรักษ์ติยา</t>
  </si>
  <si>
    <t>นาง มณฑา</t>
  </si>
  <si>
    <t>จอมศรี</t>
  </si>
  <si>
    <t>นางสาว ประพิศพรรณ</t>
  </si>
  <si>
    <t>อนุพันธ์</t>
  </si>
  <si>
    <t>นางสาว มณฑกาฬ</t>
  </si>
  <si>
    <t>ลีมา</t>
  </si>
  <si>
    <t>นางสาว นิภา</t>
  </si>
  <si>
    <t>สงฤทธิ์</t>
  </si>
  <si>
    <t>นาย อภิรักษ์</t>
  </si>
  <si>
    <t>หลักชัยกุล</t>
  </si>
  <si>
    <t>นาง วิภา</t>
  </si>
  <si>
    <t>ปักกาสาตัง</t>
  </si>
  <si>
    <t>นางสาว ณัฐธิดา</t>
  </si>
  <si>
    <t>ห้าวหาญ</t>
  </si>
  <si>
    <t>นางสาว รวีบงกช</t>
  </si>
  <si>
    <t>ชญาวรณรงค์</t>
  </si>
  <si>
    <t>นางสาว ปรวิศา</t>
  </si>
  <si>
    <t>ชนประเสริฐ</t>
  </si>
  <si>
    <t xml:space="preserve">นางสาว ยุวรี </t>
  </si>
  <si>
    <t xml:space="preserve">บานเย็น </t>
  </si>
  <si>
    <t xml:space="preserve">นาย เกียรติกำจร </t>
  </si>
  <si>
    <t>อินตานิ</t>
  </si>
  <si>
    <t xml:space="preserve">นางสาว สุนันทา </t>
  </si>
  <si>
    <t xml:space="preserve">นวลสุวรรณ์ </t>
  </si>
  <si>
    <t xml:space="preserve">นางสาว กนกวรรณ </t>
  </si>
  <si>
    <t xml:space="preserve">ทองทิพย์ </t>
  </si>
  <si>
    <t xml:space="preserve">นางสาว จิตรเบญญา </t>
  </si>
  <si>
    <t xml:space="preserve">สมสมัคร </t>
  </si>
  <si>
    <t xml:space="preserve">นางสาว จิตตินันท์ </t>
  </si>
  <si>
    <t>ชาติทองสุข</t>
  </si>
  <si>
    <t>นางสาว นภาพร</t>
  </si>
  <si>
    <t>ตระการตาทิพย์</t>
  </si>
  <si>
    <t>นางสาว เมธินี</t>
  </si>
  <si>
    <t>กีรเกียรติ</t>
  </si>
  <si>
    <t>โสมภีร์</t>
  </si>
  <si>
    <t>นางสาว จิราภา</t>
  </si>
  <si>
    <t>จอมไธสง</t>
  </si>
  <si>
    <t>นาย เศรษฐพงศ์</t>
  </si>
  <si>
    <t>เลขะวัฒนะ</t>
  </si>
  <si>
    <t>นิติธรรมยง</t>
  </si>
  <si>
    <t>นาง ภูริพันธุ์</t>
  </si>
  <si>
    <t>สุวรรณเมฆ</t>
  </si>
  <si>
    <t>นาย ธนศักดิ์</t>
  </si>
  <si>
    <t xml:space="preserve">วิวัฒนวานิช </t>
  </si>
  <si>
    <t>นางสาว สุจิตรา</t>
  </si>
  <si>
    <t>ปัญญาพิสิทธิ์</t>
  </si>
  <si>
    <t>นาง สุมาลี</t>
  </si>
  <si>
    <t>นางสาว ทัศนา</t>
  </si>
  <si>
    <t>นางสาว ปรารถนา</t>
  </si>
  <si>
    <t xml:space="preserve">ไปเหนือ </t>
  </si>
  <si>
    <t>นางสาว จรัณยา</t>
  </si>
  <si>
    <t>สุคนธากร</t>
  </si>
  <si>
    <t>นางสาว กิตติรัตน์</t>
  </si>
  <si>
    <t>เชื้อนุ่น</t>
  </si>
  <si>
    <t>นางสาว ปรินดา</t>
  </si>
  <si>
    <t>ศรีรัตนะ</t>
  </si>
  <si>
    <t>นางสาว อำพร</t>
  </si>
  <si>
    <t>เนติ</t>
  </si>
  <si>
    <t>นาย ศตนัน</t>
  </si>
  <si>
    <t>พรรณอภัยพงศ์</t>
  </si>
  <si>
    <t>นาง ศรัณยา</t>
  </si>
  <si>
    <t>ชูรัตน์</t>
  </si>
  <si>
    <t>นางสาว ดวงกมลวรรณ</t>
  </si>
  <si>
    <t>กบกันทา</t>
  </si>
  <si>
    <t>นาย กิตติพงษ์</t>
  </si>
  <si>
    <t>คงศรีไพร</t>
  </si>
  <si>
    <t xml:space="preserve">นาย สรศักดิ์ </t>
  </si>
  <si>
    <t xml:space="preserve">แก่อินทร์ </t>
  </si>
  <si>
    <t>อรุณศิริโชค</t>
  </si>
  <si>
    <t>นางสาว รุ่งนภา</t>
  </si>
  <si>
    <t>โบวิเชียร</t>
  </si>
  <si>
    <t>นาย เกวลิช</t>
  </si>
  <si>
    <t xml:space="preserve">นาคสิทธิ์ </t>
  </si>
  <si>
    <t>นาย วาสิฏฐ์</t>
  </si>
  <si>
    <t>วรวงษ์</t>
  </si>
  <si>
    <t>นาย กิตติ</t>
  </si>
  <si>
    <t>สระแก้ว</t>
  </si>
  <si>
    <t xml:space="preserve">นาย ภาณุพงศ์ </t>
  </si>
  <si>
    <t xml:space="preserve">ชลชลา </t>
  </si>
  <si>
    <t>นาง เพชรี</t>
  </si>
  <si>
    <t>เสนาศร</t>
  </si>
  <si>
    <t>นาง อุไรวรรณ</t>
  </si>
  <si>
    <t>พึ่งใหญ่</t>
  </si>
  <si>
    <t>นาย กิติกร</t>
  </si>
  <si>
    <t>เตชะพุฒ</t>
  </si>
  <si>
    <t xml:space="preserve">นาง แหวน </t>
  </si>
  <si>
    <t xml:space="preserve">หาเรือนทอง </t>
  </si>
  <si>
    <t>พลอยสมบุญ</t>
  </si>
  <si>
    <t>นางสาว ยุพา</t>
  </si>
  <si>
    <t>แซ่ชื้อ</t>
  </si>
  <si>
    <t>นางสาว วันเพ็ญ</t>
  </si>
  <si>
    <t>ชำนาญ</t>
  </si>
  <si>
    <t>นาง สิริลักษณ์</t>
  </si>
  <si>
    <t>น้อยเคียง</t>
  </si>
  <si>
    <t>นาง อาธิดา</t>
  </si>
  <si>
    <t>รักวงษ์</t>
  </si>
  <si>
    <t>นาย สัมฤทธิ์</t>
  </si>
  <si>
    <t>เทวะภูมิ</t>
  </si>
  <si>
    <t xml:space="preserve">นางสาว ภูรีนุช </t>
  </si>
  <si>
    <t xml:space="preserve">ไกรรมย์ </t>
  </si>
  <si>
    <t xml:space="preserve">นาย สราวุธ </t>
  </si>
  <si>
    <t xml:space="preserve">วงศ์ทรัพย์สิน </t>
  </si>
  <si>
    <t xml:space="preserve">นางสาว จารุพรรธน์  </t>
  </si>
  <si>
    <t>เพ็งจันทร์</t>
  </si>
  <si>
    <t>นางสาว ยุพาพรรณ</t>
  </si>
  <si>
    <t>รักบัว</t>
  </si>
  <si>
    <t>ทุราช</t>
  </si>
  <si>
    <t xml:space="preserve">นาย พิศาล </t>
  </si>
  <si>
    <t xml:space="preserve">สองมณี </t>
  </si>
  <si>
    <t xml:space="preserve">นาย กีรเดช </t>
  </si>
  <si>
    <t xml:space="preserve">โรจน์กิจอนันต์ </t>
  </si>
  <si>
    <t xml:space="preserve">นาย สรายุทธ </t>
  </si>
  <si>
    <t xml:space="preserve">สิริภูษิต </t>
  </si>
  <si>
    <t>นาย อรุณชัย</t>
  </si>
  <si>
    <t>ศิริทรัพย์</t>
  </si>
  <si>
    <t>นาย ฐิติพงษ์</t>
  </si>
  <si>
    <t>วรสวัสดิ์</t>
  </si>
  <si>
    <t>นาย ขัตติยะ</t>
  </si>
  <si>
    <t>พรหมวาส</t>
  </si>
  <si>
    <t>นางสาว ชิลาวัลย์</t>
  </si>
  <si>
    <t>เผ่ามุนี</t>
  </si>
  <si>
    <t>นาย สุฤชัย</t>
  </si>
  <si>
    <t>คล้ายเชียงราก</t>
  </si>
  <si>
    <t>นาง ศศิญา</t>
  </si>
  <si>
    <t>เพชรกำเนิด</t>
  </si>
  <si>
    <t xml:space="preserve">นาง ปนัชดา </t>
  </si>
  <si>
    <t>มาแนม</t>
  </si>
  <si>
    <t>นาย ทรัพย์</t>
  </si>
  <si>
    <t>ศรศรี</t>
  </si>
  <si>
    <t>นาง มัลลิกา</t>
  </si>
  <si>
    <t>พงศ์ธรกุลพานิช</t>
  </si>
  <si>
    <t xml:space="preserve">นาง สิริดา </t>
  </si>
  <si>
    <t>อุปนันท์</t>
  </si>
  <si>
    <t>อธิกุลวงศ์</t>
  </si>
  <si>
    <t>นางสาว งามพิศ</t>
  </si>
  <si>
    <t>สิตภาหุล</t>
  </si>
  <si>
    <t xml:space="preserve">นาง พิชญา </t>
  </si>
  <si>
    <t>พงษ์สุขเวชกุล</t>
  </si>
  <si>
    <t xml:space="preserve">นาย จักวัน </t>
  </si>
  <si>
    <t xml:space="preserve">เอี่ยมประเสริฐ </t>
  </si>
  <si>
    <t xml:space="preserve">นางสาว สุปรียา </t>
  </si>
  <si>
    <t xml:space="preserve">บุญทวี </t>
  </si>
  <si>
    <t xml:space="preserve">นางสาว จันทิมา </t>
  </si>
  <si>
    <t xml:space="preserve">แช่มเงิน </t>
  </si>
  <si>
    <t>นาย สิทธิชัย</t>
  </si>
  <si>
    <t>เจริญกิติศัพท์</t>
  </si>
  <si>
    <t>นาง ปัทมา</t>
  </si>
  <si>
    <t>เพ็ชรสุวรรณ์</t>
  </si>
  <si>
    <t>นางสาว นันทินี</t>
  </si>
  <si>
    <t>ทองคงเหย้า</t>
  </si>
  <si>
    <t>นาย ชาญยุทธ์</t>
  </si>
  <si>
    <t>ภาณุทัต</t>
  </si>
  <si>
    <t>นาย ญี่ปุ่น</t>
  </si>
  <si>
    <t>จารุพงศกร</t>
  </si>
  <si>
    <t xml:space="preserve">นางสาว โชติมาฎา </t>
  </si>
  <si>
    <t xml:space="preserve">สมใจ </t>
  </si>
  <si>
    <t>นางสาว นริศรา</t>
  </si>
  <si>
    <t>วายนต์</t>
  </si>
  <si>
    <t>นางสาว กุสุมา</t>
  </si>
  <si>
    <t xml:space="preserve">เทียนประทีป </t>
  </si>
  <si>
    <t>นางสาว นิธิวดี</t>
  </si>
  <si>
    <t>อรัญอนุรักษ์</t>
  </si>
  <si>
    <t xml:space="preserve">นาง วชิรา </t>
  </si>
  <si>
    <t>ไฝเจริญมงคล</t>
  </si>
  <si>
    <t>มาน้อย</t>
  </si>
  <si>
    <t>นางสาว สุภาวดี</t>
  </si>
  <si>
    <t>อ่ำปลอด</t>
  </si>
  <si>
    <t xml:space="preserve">นางสาว ภัทราพร </t>
  </si>
  <si>
    <t xml:space="preserve">ช่วยเมือง </t>
  </si>
  <si>
    <t xml:space="preserve">นางสาว ศศินะ </t>
  </si>
  <si>
    <t>โกไศยกานนท์</t>
  </si>
  <si>
    <t>นาย นุรุจน์</t>
  </si>
  <si>
    <t>นาย อรรถโพธิ์</t>
  </si>
  <si>
    <t>โพธิ์ระงับภัย</t>
  </si>
  <si>
    <t>นางสาว ขวัญชนก</t>
  </si>
  <si>
    <t>พุทธิมา</t>
  </si>
  <si>
    <t>นางสาว ผลิกา</t>
  </si>
  <si>
    <t>หมื่นทิ</t>
  </si>
  <si>
    <t>นางสาว ศุภวรรณ</t>
  </si>
  <si>
    <t>สมบุตร</t>
  </si>
  <si>
    <t>นาย ธนโชติ</t>
  </si>
  <si>
    <t>หอมแย้ม</t>
  </si>
  <si>
    <t>นาย พนม</t>
  </si>
  <si>
    <t>บู่สาลี</t>
  </si>
  <si>
    <t>เมนะสูต</t>
  </si>
  <si>
    <t>นาย ชัยยงค์</t>
  </si>
  <si>
    <t>ชูจันทร์</t>
  </si>
  <si>
    <t>นาย วรพจน์</t>
  </si>
  <si>
    <t>นางสาว กัลลิกา</t>
  </si>
  <si>
    <t>ตาระกา</t>
  </si>
  <si>
    <t xml:space="preserve">นางสาว ธนภร </t>
  </si>
  <si>
    <t>ไชยวิเศษ</t>
  </si>
  <si>
    <t>นาย สรณรงค์</t>
  </si>
  <si>
    <t>ประทุมนันท์</t>
  </si>
  <si>
    <t>สันติเสวีกุล</t>
  </si>
  <si>
    <t xml:space="preserve">ฤกษ์ปาณี </t>
  </si>
  <si>
    <t>นาง กัณตีนี</t>
  </si>
  <si>
    <t xml:space="preserve">ประทุมนันท์ </t>
  </si>
  <si>
    <t xml:space="preserve">นางสาว ปิยรัตน์ </t>
  </si>
  <si>
    <t xml:space="preserve">กิติวงษ์ </t>
  </si>
  <si>
    <t xml:space="preserve">นางสาว ธนาภรณ์ </t>
  </si>
  <si>
    <t xml:space="preserve">แช่มเย็น </t>
  </si>
  <si>
    <t xml:space="preserve">นางสาว พันธ์ทิพย์ </t>
  </si>
  <si>
    <t xml:space="preserve">สนริ้ว </t>
  </si>
  <si>
    <t>นาย ศุภเนตร</t>
  </si>
  <si>
    <t>พิศาลกุล</t>
  </si>
  <si>
    <t>นาย ประสบโชค</t>
  </si>
  <si>
    <t>รื่นสุข</t>
  </si>
  <si>
    <t>นาย เรืองพจน์</t>
  </si>
  <si>
    <t>ธารานาถ</t>
  </si>
  <si>
    <t xml:space="preserve">นางสาว ณัฏฐ์นันทน์ </t>
  </si>
  <si>
    <t xml:space="preserve">ผ่องมณี </t>
  </si>
  <si>
    <t>นาย อนุชิต</t>
  </si>
  <si>
    <t>ผลสวัสดิ์</t>
  </si>
  <si>
    <t>แดงท่าขาม</t>
  </si>
  <si>
    <t xml:space="preserve">นางสาว ดวงใจ </t>
  </si>
  <si>
    <t xml:space="preserve">โยธาวงษ์ </t>
  </si>
  <si>
    <t>ทะนงอาษา</t>
  </si>
  <si>
    <t xml:space="preserve">นาง พรทิพย์ </t>
  </si>
  <si>
    <t xml:space="preserve">บุญคง </t>
  </si>
  <si>
    <t>นาย รุ่งโรจน์</t>
  </si>
  <si>
    <t>ดีลี้</t>
  </si>
  <si>
    <t>นาย พิเชฏฐ์</t>
  </si>
  <si>
    <t>นามเตียน</t>
  </si>
  <si>
    <t>นาย อาทิตย์</t>
  </si>
  <si>
    <t>ทองชัยเดช</t>
  </si>
  <si>
    <t xml:space="preserve">นางสาว กุลภัสสร์ </t>
  </si>
  <si>
    <t xml:space="preserve">จันทร์สว่าง </t>
  </si>
  <si>
    <t>นางสาว วราภรณ์</t>
  </si>
  <si>
    <t>รอดทองเติม</t>
  </si>
  <si>
    <t>นาง ดาเรศร์</t>
  </si>
  <si>
    <t>กิตติโยภาส</t>
  </si>
  <si>
    <t>นางสาว วิชชุพร</t>
  </si>
  <si>
    <t>นาย เสกสัณห์</t>
  </si>
  <si>
    <t>ชูสินธ์</t>
  </si>
  <si>
    <t>สาราบรรณ์</t>
  </si>
  <si>
    <t>แพนสมบัติ</t>
  </si>
  <si>
    <t>นาย ติณห์</t>
  </si>
  <si>
    <t>ชัยสิริเจริญพันธ์</t>
  </si>
  <si>
    <t>นาย สุพรรณ</t>
  </si>
  <si>
    <t>บุตรจันทร์</t>
  </si>
  <si>
    <t>นาย พันธ์</t>
  </si>
  <si>
    <t>หนูมี</t>
  </si>
  <si>
    <t>นาย วัฒนกิจ</t>
  </si>
  <si>
    <t>บางวัฒนกุล</t>
  </si>
  <si>
    <t>นาย เอื้อน</t>
  </si>
  <si>
    <t>สงสุข</t>
  </si>
  <si>
    <t>นาย ยรรยง</t>
  </si>
  <si>
    <t>วัฒนศรี</t>
  </si>
  <si>
    <t>นาง วไล</t>
  </si>
  <si>
    <t>ชูพรหม</t>
  </si>
  <si>
    <t>นาย อรุณ</t>
  </si>
  <si>
    <t>ปักเข็ม</t>
  </si>
  <si>
    <t>นาย บรรเจิด</t>
  </si>
  <si>
    <t>สง่าบุตร</t>
  </si>
  <si>
    <t>นาย สาโรจน์</t>
  </si>
  <si>
    <t>สังข์มาลา</t>
  </si>
  <si>
    <t>ด้วงเกลี้ยง</t>
  </si>
  <si>
    <t>นาย เชื่อน</t>
  </si>
  <si>
    <t>รอดขวัญ</t>
  </si>
  <si>
    <t>นาย กชพงศ์</t>
  </si>
  <si>
    <t>แสงทอง</t>
  </si>
  <si>
    <t>นาย การุณ</t>
  </si>
  <si>
    <t>ทรัพย์ธน</t>
  </si>
  <si>
    <t>นาย สุรพนธ์</t>
  </si>
  <si>
    <t>ชดช้อย</t>
  </si>
  <si>
    <t>นาง นงเยาว์</t>
  </si>
  <si>
    <t>นาย นิเวศน์</t>
  </si>
  <si>
    <t>นันทไตรภพ</t>
  </si>
  <si>
    <t>นาง ชูศรี</t>
  </si>
  <si>
    <t xml:space="preserve">ศักดิ์แก้ว </t>
  </si>
  <si>
    <t>ก้องกาญจโนภาส</t>
  </si>
  <si>
    <t>นาย วิเวก</t>
  </si>
  <si>
    <t>สมัครแก้ว</t>
  </si>
  <si>
    <t>นาย ทวีป</t>
  </si>
  <si>
    <t>เหมินทร์</t>
  </si>
  <si>
    <t>นาง สุบงกช</t>
  </si>
  <si>
    <t>นาง พรรณศรี</t>
  </si>
  <si>
    <t>ไกรเลิศ</t>
  </si>
  <si>
    <t>นาง ฐิตาพร</t>
  </si>
  <si>
    <t>วิฑูรย์พันธ์</t>
  </si>
  <si>
    <t>นาย สุชีพ</t>
  </si>
  <si>
    <t>ศักดิ์แก้ว</t>
  </si>
  <si>
    <t>ม้าเฉี่ยว</t>
  </si>
  <si>
    <t>นาย สรรเสริญ</t>
  </si>
  <si>
    <t>ชุมสุข</t>
  </si>
  <si>
    <t>นาง ไข่มุก</t>
  </si>
  <si>
    <t>เจียวก๊ก</t>
  </si>
  <si>
    <t>นาย กำพล</t>
  </si>
  <si>
    <t>เอียดเอื้อ</t>
  </si>
  <si>
    <t>แซ่ภู่</t>
  </si>
  <si>
    <t xml:space="preserve">นาย ไพศาล </t>
  </si>
  <si>
    <t xml:space="preserve">โรจน์สราญรมย์ </t>
  </si>
  <si>
    <t>เกสรินทร์</t>
  </si>
  <si>
    <t>นาย พยอม</t>
  </si>
  <si>
    <t>คงเครือ</t>
  </si>
  <si>
    <t>นาย สมพร</t>
  </si>
  <si>
    <t>รัตนะ</t>
  </si>
  <si>
    <t>นาย บรรเลง</t>
  </si>
  <si>
    <t>อุปลา</t>
  </si>
  <si>
    <t>นางสาว เพ็ญประภา</t>
  </si>
  <si>
    <t>แพงภูงา</t>
  </si>
  <si>
    <t>นาง ระนอง</t>
  </si>
  <si>
    <t>จรุงกิจกุล</t>
  </si>
  <si>
    <t>นางสาว จารุวรรณ</t>
  </si>
  <si>
    <t>บุบผามะตะนัง</t>
  </si>
  <si>
    <t xml:space="preserve">นางสาว ตติยา </t>
  </si>
  <si>
    <t xml:space="preserve">ตาแก้ว </t>
  </si>
  <si>
    <t>พูนสวัสดิ์</t>
  </si>
  <si>
    <t>นาย พันธนู</t>
  </si>
  <si>
    <t>ใจกว้าง</t>
  </si>
  <si>
    <t>นาย ณัฐพงศ์</t>
  </si>
  <si>
    <t xml:space="preserve">ไกรทิพย์ </t>
  </si>
  <si>
    <t xml:space="preserve">นาย อนุชาติ </t>
  </si>
  <si>
    <t xml:space="preserve">เดชสถิตย์ </t>
  </si>
  <si>
    <t xml:space="preserve">นางสาว นารีรัตน์ </t>
  </si>
  <si>
    <t xml:space="preserve">เหลือสม </t>
  </si>
  <si>
    <t xml:space="preserve">นางสาว ทรายทอง </t>
  </si>
  <si>
    <t xml:space="preserve">ขาวยิน </t>
  </si>
  <si>
    <t>นาย ณัฐชัย</t>
  </si>
  <si>
    <t>อภัยภักดี</t>
  </si>
  <si>
    <t>นางสาว ปัณฑิตา</t>
  </si>
  <si>
    <t>บัวเชย</t>
  </si>
  <si>
    <t>นางสาว กรวรรณ</t>
  </si>
  <si>
    <t>กัญจนะกาญจน์</t>
  </si>
  <si>
    <t>นาง สุนีย์</t>
  </si>
  <si>
    <t>ศรีเทพ</t>
  </si>
  <si>
    <t>นาย ชำนาญ</t>
  </si>
  <si>
    <t>นุ่นดำ</t>
  </si>
  <si>
    <t>นาง ศุภร</t>
  </si>
  <si>
    <t>อ้อยบงค์</t>
  </si>
  <si>
    <t>นาย ประคอง</t>
  </si>
  <si>
    <t>อุสาห์มัน</t>
  </si>
  <si>
    <t>หนูรุ่น</t>
  </si>
  <si>
    <t>นาย สิทธิโชค</t>
  </si>
  <si>
    <t>สารสุวรรณ</t>
  </si>
  <si>
    <t>นาง สมณา</t>
  </si>
  <si>
    <t>แก้วฉ่ำ</t>
  </si>
  <si>
    <t xml:space="preserve">นาง ภัคชาภา </t>
  </si>
  <si>
    <t>ถิ่นพังงา</t>
  </si>
  <si>
    <t>ช่วยการ</t>
  </si>
  <si>
    <t>นาง ทิพย์มณฑา</t>
  </si>
  <si>
    <t>แป้นเกิด</t>
  </si>
  <si>
    <t xml:space="preserve">นางสาว จันทร์จิรา </t>
  </si>
  <si>
    <t xml:space="preserve">สมจันทร์ </t>
  </si>
  <si>
    <t>นาย นพพล</t>
  </si>
  <si>
    <t>ราบบำเพิง</t>
  </si>
  <si>
    <t xml:space="preserve">นาง อนงนิตย์ </t>
  </si>
  <si>
    <t xml:space="preserve">ปลอดฤทธิ์ </t>
  </si>
  <si>
    <t>สุภาพ</t>
  </si>
  <si>
    <t>นางสาว จิราภรณ์</t>
  </si>
  <si>
    <t>นางสาว ธาราวรรณ</t>
  </si>
  <si>
    <t>ป่านเทพ</t>
  </si>
  <si>
    <t xml:space="preserve">นาย พงษกรณ์ </t>
  </si>
  <si>
    <t xml:space="preserve">เอ่งฉ้วน </t>
  </si>
  <si>
    <t xml:space="preserve">นาย วิรัตน์ </t>
  </si>
  <si>
    <t xml:space="preserve">จิ้วตั้น </t>
  </si>
  <si>
    <t>นาย อรรถสิทธิ์</t>
  </si>
  <si>
    <t>ทองร่วง</t>
  </si>
  <si>
    <t xml:space="preserve">นางสาว ศมนวรรณ </t>
  </si>
  <si>
    <t>ชั้นประเสริฐ</t>
  </si>
  <si>
    <t>นางสาว ชนันชิดา</t>
  </si>
  <si>
    <t>คิดรอบ</t>
  </si>
  <si>
    <t>นางสาว เกศวริน</t>
  </si>
  <si>
    <t>สุวรรณฤทธิ์</t>
  </si>
  <si>
    <t xml:space="preserve">นางสาว ธีรดา </t>
  </si>
  <si>
    <t xml:space="preserve">เขียวแดง </t>
  </si>
  <si>
    <t>นาย สนธิ์</t>
  </si>
  <si>
    <t>ไกรวิจิตร</t>
  </si>
  <si>
    <t>นางสาว ปรียารัฐ</t>
  </si>
  <si>
    <t>ภูสุวรรณ</t>
  </si>
  <si>
    <t>นางสาว เอมมิกา</t>
  </si>
  <si>
    <t>ไหมทอง</t>
  </si>
  <si>
    <t>นาย อดิศักดิ์</t>
  </si>
  <si>
    <t>ภูกิตติกุล</t>
  </si>
  <si>
    <t>นางสาว เมตตา</t>
  </si>
  <si>
    <t>ชนะกุล</t>
  </si>
  <si>
    <t>บัวเพ็ง</t>
  </si>
  <si>
    <t>นางสาว สุวัจนา</t>
  </si>
  <si>
    <t>พูลสวัสดิ์</t>
  </si>
  <si>
    <t>นาง นิราภร</t>
  </si>
  <si>
    <t>หมวดเก้า</t>
  </si>
  <si>
    <t xml:space="preserve">นางสาว สุภักษร </t>
  </si>
  <si>
    <t xml:space="preserve">หลงละเลิง </t>
  </si>
  <si>
    <t>หอยนกคง</t>
  </si>
  <si>
    <t>นางสาว ศุภลักษณ์</t>
  </si>
  <si>
    <t>ขวัญศรี</t>
  </si>
  <si>
    <t>นางสาว อารีย์</t>
  </si>
  <si>
    <t>นางสาว ซะฮ์รอบินตีมูฮำหมัด</t>
  </si>
  <si>
    <t xml:space="preserve">มามะ </t>
  </si>
  <si>
    <t xml:space="preserve">ละอองศรี </t>
  </si>
  <si>
    <t>นาย สมัคร</t>
  </si>
  <si>
    <t>หลานไทย</t>
  </si>
  <si>
    <t>ดาษฎาจันทร์</t>
  </si>
  <si>
    <t>นาง โสภา</t>
  </si>
  <si>
    <t>ตาตะนุช</t>
  </si>
  <si>
    <t>นาย นิกร</t>
  </si>
  <si>
    <t>เรืองสงค์</t>
  </si>
  <si>
    <t>นาย สมจิตร</t>
  </si>
  <si>
    <t>อาษา</t>
  </si>
  <si>
    <t xml:space="preserve">นาย ณฐกร </t>
  </si>
  <si>
    <t xml:space="preserve">บริบูรณ์ </t>
  </si>
  <si>
    <t>นางสาว วรารัตน์</t>
  </si>
  <si>
    <t>เกียรติเมธา</t>
  </si>
  <si>
    <t>สุทธิพงษ์</t>
  </si>
  <si>
    <t>พลายเพ็ชร</t>
  </si>
  <si>
    <t>สมประสงค์</t>
  </si>
  <si>
    <t>นาย พยุงศักดิ์</t>
  </si>
  <si>
    <t>แสงมานนท์</t>
  </si>
  <si>
    <t>นาย เลอพงค์</t>
  </si>
  <si>
    <t>หนูเอียด</t>
  </si>
  <si>
    <t>นาง มลทิรา</t>
  </si>
  <si>
    <t>ทันเพื่อน</t>
  </si>
  <si>
    <t>นาง วันทนีธ์</t>
  </si>
  <si>
    <t>ชั้นสูง</t>
  </si>
  <si>
    <t>นาง เกศิรี</t>
  </si>
  <si>
    <t>ทัศนครองสินธุ์</t>
  </si>
  <si>
    <t>นาย นิพิฐพนธ์</t>
  </si>
  <si>
    <t>อินทร์เกลี้ยง</t>
  </si>
  <si>
    <t>นาย ประเทือง</t>
  </si>
  <si>
    <t>ทนยิ้ม</t>
  </si>
  <si>
    <t>นางสาว ประพิณ</t>
  </si>
  <si>
    <t>ปูรณะหิรัญ</t>
  </si>
  <si>
    <t>นาง สิริอร</t>
  </si>
  <si>
    <t>อนันทภูมิมา</t>
  </si>
  <si>
    <t>นาง สุภาพร</t>
  </si>
  <si>
    <t>นาย นิรัตน์</t>
  </si>
  <si>
    <t>คุณลักษณ์</t>
  </si>
  <si>
    <t>นาย ศักรินทร์</t>
  </si>
  <si>
    <t>เกิดผล</t>
  </si>
  <si>
    <t>นาย ประพันธ์</t>
  </si>
  <si>
    <t>สุดสวาสดิ์</t>
  </si>
  <si>
    <t>เนาวบุตร</t>
  </si>
  <si>
    <t>นาย วิโกศักดิ์</t>
  </si>
  <si>
    <t>นิลนิยม</t>
  </si>
  <si>
    <t>นาย ประวิทย์</t>
  </si>
  <si>
    <t>แก้วบุญส่ง</t>
  </si>
  <si>
    <t>กาญจนดิษฐ์</t>
  </si>
  <si>
    <t>นาง แป้งหอม</t>
  </si>
  <si>
    <t>จุฑาเกตุ</t>
  </si>
  <si>
    <t>ไคลมี</t>
  </si>
  <si>
    <t>นาง อารมณ์</t>
  </si>
  <si>
    <t>แสงกลิ่น</t>
  </si>
  <si>
    <t>นาง ชาดา</t>
  </si>
  <si>
    <t>ทั่งทอง</t>
  </si>
  <si>
    <t>นาย ชรินทร์</t>
  </si>
  <si>
    <t>พลเล็ก</t>
  </si>
  <si>
    <t>นาย พิมลศักดิ์</t>
  </si>
  <si>
    <t>สรวมนาม</t>
  </si>
  <si>
    <t>นางสาว กมลวัลย์</t>
  </si>
  <si>
    <t>แสนบุณยพัฒน์</t>
  </si>
  <si>
    <t>นาย สิทธิรงค์</t>
  </si>
  <si>
    <t>สวนะมงคล</t>
  </si>
  <si>
    <t>นางสาว ชนิดาภา</t>
  </si>
  <si>
    <t>โชคทรัพย์</t>
  </si>
  <si>
    <t>นางสาว ชญานิศ</t>
  </si>
  <si>
    <t>เรียนทับ</t>
  </si>
  <si>
    <t>โจงจาบ</t>
  </si>
  <si>
    <t>สุขกุล</t>
  </si>
  <si>
    <t>ส่งเสริมสกุล</t>
  </si>
  <si>
    <t>กณะโกมล</t>
  </si>
  <si>
    <t>นาย สำเริง</t>
  </si>
  <si>
    <t>จำเริญรักษา</t>
  </si>
  <si>
    <t>นาย ตระการ</t>
  </si>
  <si>
    <t>รัตนวรกมล</t>
  </si>
  <si>
    <t>นาย บรรทูล</t>
  </si>
  <si>
    <t>ชลประเสริฐ</t>
  </si>
  <si>
    <t xml:space="preserve">นางสาว กิตติกานต์ </t>
  </si>
  <si>
    <t xml:space="preserve">พันธุ์มี </t>
  </si>
  <si>
    <t>นาง สุพัตรา</t>
  </si>
  <si>
    <t>ธิติดำรง</t>
  </si>
  <si>
    <t>นาง สมบัติ</t>
  </si>
  <si>
    <t>ตันติวิวัทน์</t>
  </si>
  <si>
    <t>สำราญ</t>
  </si>
  <si>
    <t>นาย ทอง</t>
  </si>
  <si>
    <t>นิลผึ้ง</t>
  </si>
  <si>
    <t>นางสาว น้ำค้าง</t>
  </si>
  <si>
    <t>ฉ่ำสูงเนิน</t>
  </si>
  <si>
    <t>นาย อัครภูมิ</t>
  </si>
  <si>
    <t>สมแสง</t>
  </si>
  <si>
    <t xml:space="preserve">นางสาว ศุภานันท์ </t>
  </si>
  <si>
    <t xml:space="preserve">แสงพลอย </t>
  </si>
  <si>
    <t>บุญสนิท</t>
  </si>
  <si>
    <t xml:space="preserve">นาย ประทีป </t>
  </si>
  <si>
    <t xml:space="preserve">แก้วดวงแข </t>
  </si>
  <si>
    <t xml:space="preserve">นาย นิพิฐพนธ์ </t>
  </si>
  <si>
    <t xml:space="preserve">โชติวงษ์ </t>
  </si>
  <si>
    <t>นางสาว กองทอง</t>
  </si>
  <si>
    <t>ตรุษศาสน</t>
  </si>
  <si>
    <t xml:space="preserve">นางสาว บัวทอง </t>
  </si>
  <si>
    <t xml:space="preserve">สุขแก้ว </t>
  </si>
  <si>
    <t>นางสาว ธนภร</t>
  </si>
  <si>
    <t>ปวงคำใส</t>
  </si>
  <si>
    <t>นางสาว อำภา</t>
  </si>
  <si>
    <t>ไชยราช</t>
  </si>
  <si>
    <t xml:space="preserve">นางสาว รจนา </t>
  </si>
  <si>
    <t xml:space="preserve">มูลเมือง </t>
  </si>
  <si>
    <t xml:space="preserve">นาย อภิวันทน์ </t>
  </si>
  <si>
    <t xml:space="preserve">หยุดยั้ง </t>
  </si>
  <si>
    <t>นางสาว ณัฏฐกันย์</t>
  </si>
  <si>
    <t>เมืองสังข์</t>
  </si>
  <si>
    <t>ขำดี</t>
  </si>
  <si>
    <t xml:space="preserve">อารมณ์ </t>
  </si>
  <si>
    <t>นาย ภานุพงษ์</t>
  </si>
  <si>
    <t>เอี่ยมมงคล</t>
  </si>
  <si>
    <t>นางสาว ภัคหทัย</t>
  </si>
  <si>
    <t>รัตนตนุ</t>
  </si>
  <si>
    <t>นาย ธนกฤต</t>
  </si>
  <si>
    <t>ชุติพงศ์ศาศวัต</t>
  </si>
  <si>
    <t>นาย สุเชาว์</t>
  </si>
  <si>
    <t>เกิดช่วง</t>
  </si>
  <si>
    <t>นาย สมทรง</t>
  </si>
  <si>
    <t>บัวงาม</t>
  </si>
  <si>
    <t>เชื้อใจ</t>
  </si>
  <si>
    <t>พุนะกูล</t>
  </si>
  <si>
    <t>นาย ฉลวย</t>
  </si>
  <si>
    <t>มานะ</t>
  </si>
  <si>
    <t>แผนสมบูรณ์</t>
  </si>
  <si>
    <t>นาย วิสิฐศักดิ์</t>
  </si>
  <si>
    <t>โพธิ์นาคเงิน</t>
  </si>
  <si>
    <t>นาง สรัญญา</t>
  </si>
  <si>
    <t>ศรีทอง</t>
  </si>
  <si>
    <t>จีนอนงค์</t>
  </si>
  <si>
    <t>นาง ปราณี</t>
  </si>
  <si>
    <t>ครองยุทธ</t>
  </si>
  <si>
    <t>นาย วีระชัย</t>
  </si>
  <si>
    <t>เกตุเรน</t>
  </si>
  <si>
    <t>นางสาว สิริวรรณ</t>
  </si>
  <si>
    <t>สุวรรณ</t>
  </si>
  <si>
    <t>นาง จริยา</t>
  </si>
  <si>
    <t>บุญญาเขตชัย</t>
  </si>
  <si>
    <t>นาย ประจักร์</t>
  </si>
  <si>
    <t>นาง ครองทรัพย์</t>
  </si>
  <si>
    <t>ล้ำเลิศรวี</t>
  </si>
  <si>
    <t>นาย ชยุติ</t>
  </si>
  <si>
    <t>โสไกร</t>
  </si>
  <si>
    <t>นาย คำรน</t>
  </si>
  <si>
    <t>ยศสมบัติ</t>
  </si>
  <si>
    <t>ธรรมรัตน์</t>
  </si>
  <si>
    <t>นาง ลาติน</t>
  </si>
  <si>
    <t>วงษ์ไม่น้อย</t>
  </si>
  <si>
    <t>นาย ไพรวัลย์</t>
  </si>
  <si>
    <t>คันศร</t>
  </si>
  <si>
    <t>นาย จำเริญ</t>
  </si>
  <si>
    <t>กาญจนพลี</t>
  </si>
  <si>
    <t>ซงเขียวชุมพล</t>
  </si>
  <si>
    <t>ชินเจริญทรัพย์</t>
  </si>
  <si>
    <t>วิไลประสงค์</t>
  </si>
  <si>
    <t>นาง นลินี</t>
  </si>
  <si>
    <t>พงศกรนฤวงษ์</t>
  </si>
  <si>
    <t>นาง ยุพิน</t>
  </si>
  <si>
    <t>มีสวัสดิ์</t>
  </si>
  <si>
    <t>ศิลลา</t>
  </si>
  <si>
    <t>ทองนุ่ม</t>
  </si>
  <si>
    <t>นาง พัชรี</t>
  </si>
  <si>
    <t>หันสังข์</t>
  </si>
  <si>
    <t>นางสาว สุรัชณี</t>
  </si>
  <si>
    <t>พวงศิริ</t>
  </si>
  <si>
    <t>นาง ศรีวรรณ์</t>
  </si>
  <si>
    <t>โฉสูงเนิน</t>
  </si>
  <si>
    <t>นางสาว สุวิมล</t>
  </si>
  <si>
    <t>ศิริเวช</t>
  </si>
  <si>
    <t>นาย วรรณะ</t>
  </si>
  <si>
    <t>นิตย์ประเสริฐ</t>
  </si>
  <si>
    <t>นางสาว อรอุมา</t>
  </si>
  <si>
    <t xml:space="preserve">สังข์กลิ่นหอม </t>
  </si>
  <si>
    <t>นางสาว สุภิญญา</t>
  </si>
  <si>
    <t>เชาวสกู</t>
  </si>
  <si>
    <t>นาย สราวุฒิ</t>
  </si>
  <si>
    <t>ชมภู่ทอง</t>
  </si>
  <si>
    <t>นางสาว อริศรา</t>
  </si>
  <si>
    <t>กุสุนทร</t>
  </si>
  <si>
    <t xml:space="preserve">นางสาว อุดมศรี </t>
  </si>
  <si>
    <t xml:space="preserve">อุ่นโชคดี </t>
  </si>
  <si>
    <t>นางสาว วิลาสินี</t>
  </si>
  <si>
    <t xml:space="preserve">จันทร์หอม </t>
  </si>
  <si>
    <t xml:space="preserve">นางสาว ลภัสรดา </t>
  </si>
  <si>
    <t>บัวขาว</t>
  </si>
  <si>
    <t>นางสาว ธิดารักษ์</t>
  </si>
  <si>
    <t>แสงอรุณ</t>
  </si>
  <si>
    <t>นางสาว ระวิวรรณ</t>
  </si>
  <si>
    <t>เอี่ยมทอง</t>
  </si>
  <si>
    <t>นาย ณุพัฒน์</t>
  </si>
  <si>
    <t>สันติประชา</t>
  </si>
  <si>
    <t>นาย กรภัทร์</t>
  </si>
  <si>
    <t>โพธิจักร์</t>
  </si>
  <si>
    <t>นางสาว วันทนา</t>
  </si>
  <si>
    <t xml:space="preserve">สมบูรณ์ทรัพย์ </t>
  </si>
  <si>
    <t>นางสาว สายชล</t>
  </si>
  <si>
    <t xml:space="preserve">พ่วงคำมี </t>
  </si>
  <si>
    <t xml:space="preserve">นางสาว นาถรพี </t>
  </si>
  <si>
    <t>ชื่นบาล</t>
  </si>
  <si>
    <t xml:space="preserve">นาง พชรมณ </t>
  </si>
  <si>
    <t xml:space="preserve">กิตติธงชัยกุล </t>
  </si>
  <si>
    <t xml:space="preserve">นาง นุจรี </t>
  </si>
  <si>
    <t xml:space="preserve">ภานุมาศ </t>
  </si>
  <si>
    <t xml:space="preserve">นางสาว ศิริวรรณ </t>
  </si>
  <si>
    <t xml:space="preserve">เกษรเงิน </t>
  </si>
  <si>
    <t xml:space="preserve">นางสาว สมพร </t>
  </si>
  <si>
    <t xml:space="preserve">รามเนตร </t>
  </si>
  <si>
    <t xml:space="preserve">นางสาว พัชศิรินทร์ </t>
  </si>
  <si>
    <t xml:space="preserve">เที่ยงดี </t>
  </si>
  <si>
    <t xml:space="preserve">นางสาว ศุภัชญา </t>
  </si>
  <si>
    <t xml:space="preserve">ขลิบเงิน </t>
  </si>
  <si>
    <t xml:space="preserve">นางสาว ขนิษฐา </t>
  </si>
  <si>
    <t>บุญคำมา</t>
  </si>
  <si>
    <t xml:space="preserve">นางสาว อัมพวัน </t>
  </si>
  <si>
    <t xml:space="preserve">มีทรัพย์มั่น </t>
  </si>
  <si>
    <t xml:space="preserve">นางสาว นวลปรางค์ </t>
  </si>
  <si>
    <t xml:space="preserve">สีกาหลง </t>
  </si>
  <si>
    <t>นางสาว อัจฉราภรณ์</t>
  </si>
  <si>
    <t>ประเสริฐผล</t>
  </si>
  <si>
    <t xml:space="preserve">นางสาว เกศรินทร์ </t>
  </si>
  <si>
    <t xml:space="preserve">อ่วมเสือ </t>
  </si>
  <si>
    <t>นาย สุรเศรษฐ์</t>
  </si>
  <si>
    <t>แสงสุวรรณ</t>
  </si>
  <si>
    <t xml:space="preserve">นางสาว ศักดิ์ศรี </t>
  </si>
  <si>
    <t xml:space="preserve">เจตนะเสน </t>
  </si>
  <si>
    <t>นางสาว กวินทรากานต์</t>
  </si>
  <si>
    <t xml:space="preserve">มาลัยทองแก้วสุภา </t>
  </si>
  <si>
    <t>จันทร์จู</t>
  </si>
  <si>
    <t xml:space="preserve">นางสาว เกศริน </t>
  </si>
  <si>
    <t xml:space="preserve">เถาตะกู </t>
  </si>
  <si>
    <t xml:space="preserve">นาย อนุชิต </t>
  </si>
  <si>
    <t>ชมสุข</t>
  </si>
  <si>
    <t>นางสาว ดวงหทัย</t>
  </si>
  <si>
    <t xml:space="preserve">สุขกิจ </t>
  </si>
  <si>
    <t>สุจจิตร์จูล</t>
  </si>
  <si>
    <t>โสภณ</t>
  </si>
  <si>
    <t xml:space="preserve">นาง สมหญิง </t>
  </si>
  <si>
    <t xml:space="preserve">ชัยจินดา </t>
  </si>
  <si>
    <t xml:space="preserve">นางสาว จุติพร </t>
  </si>
  <si>
    <t xml:space="preserve">ผลทวีทรัพย์ </t>
  </si>
  <si>
    <t>นาย จตุพร</t>
  </si>
  <si>
    <t xml:space="preserve">อิ่มจิตร </t>
  </si>
  <si>
    <t>มะปรางหวาน</t>
  </si>
  <si>
    <t xml:space="preserve">นาง สุดารัตน์ </t>
  </si>
  <si>
    <t>ทัศนสุนทรวงศ์</t>
  </si>
  <si>
    <t>เนตรสุวรรณ</t>
  </si>
  <si>
    <t>แสนใจกล้า</t>
  </si>
  <si>
    <t>นาย วีระศักดิ์</t>
  </si>
  <si>
    <t>สุขทอง</t>
  </si>
  <si>
    <t>นาย อรรธพงษ์</t>
  </si>
  <si>
    <t>วงษ์สุขะ</t>
  </si>
  <si>
    <t>พ่วงอารมย์</t>
  </si>
  <si>
    <t xml:space="preserve">นาง ธิดารัตน์ </t>
  </si>
  <si>
    <t xml:space="preserve">สุขชู </t>
  </si>
  <si>
    <t xml:space="preserve">นางสาว ชนิตา </t>
  </si>
  <si>
    <t xml:space="preserve">ชุมศรี </t>
  </si>
  <si>
    <t xml:space="preserve">นางสาว สุชาดา </t>
  </si>
  <si>
    <t xml:space="preserve">ศรวัฒนา </t>
  </si>
  <si>
    <t>นางสาว ปิยะพร</t>
  </si>
  <si>
    <t>อินพลับ</t>
  </si>
  <si>
    <t xml:space="preserve">นาย เฉลิมชนม์ </t>
  </si>
  <si>
    <t xml:space="preserve">สุขกรม </t>
  </si>
  <si>
    <t>นางสาว จิรนันท์</t>
  </si>
  <si>
    <t>บุญเสนันท์</t>
  </si>
  <si>
    <t>นาย วินิจ</t>
  </si>
  <si>
    <t>ถิตย์ผาด</t>
  </si>
  <si>
    <t>นาง คำปรางค์</t>
  </si>
  <si>
    <t>อินทรอักษร</t>
  </si>
  <si>
    <t>นาย ปิยะพันธ์</t>
  </si>
  <si>
    <t>พูลพัฒน์</t>
  </si>
  <si>
    <t>นาย สุนทร</t>
  </si>
  <si>
    <t>อุดมรัตน์</t>
  </si>
  <si>
    <t>ไกรพินิจ</t>
  </si>
  <si>
    <t>นาย เรืองโรจน์</t>
  </si>
  <si>
    <t>กุลวิทิต</t>
  </si>
  <si>
    <t>นาย อุดมสิน</t>
  </si>
  <si>
    <t>สุนทรไชย</t>
  </si>
  <si>
    <t>นาย สายันต์</t>
  </si>
  <si>
    <t>บรรณสาร</t>
  </si>
  <si>
    <t>นาย สุรเดช</t>
  </si>
  <si>
    <t>มงคลสินธุ์</t>
  </si>
  <si>
    <t>แก้วโยธา</t>
  </si>
  <si>
    <t>นาย วิศาสตร์</t>
  </si>
  <si>
    <t>มุลวิไล</t>
  </si>
  <si>
    <t>นาย เสริมชาติ</t>
  </si>
  <si>
    <t>ฉายประสาท</t>
  </si>
  <si>
    <t>นาย นิคม</t>
  </si>
  <si>
    <t>อุดรจรัส</t>
  </si>
  <si>
    <t>นางสาว บังอร</t>
  </si>
  <si>
    <t>รินทราช</t>
  </si>
  <si>
    <t>นาย บริสุทธิ์</t>
  </si>
  <si>
    <t>ไชยทองศรี</t>
  </si>
  <si>
    <t>แสนศรี</t>
  </si>
  <si>
    <t>นาย อำนวย</t>
  </si>
  <si>
    <t>สุระเสียง</t>
  </si>
  <si>
    <t>นาย ถวัลย์</t>
  </si>
  <si>
    <t>ลพโภชน์</t>
  </si>
  <si>
    <t>นาง อ่อนจันทร์</t>
  </si>
  <si>
    <t>ภูนี</t>
  </si>
  <si>
    <t>นาง เพชรพรรณ</t>
  </si>
  <si>
    <t>นันผาด</t>
  </si>
  <si>
    <t>ไชยทอง</t>
  </si>
  <si>
    <t>นาย เมธา</t>
  </si>
  <si>
    <t>ใจทาน</t>
  </si>
  <si>
    <t xml:space="preserve">นาง ฉวีวรรณ </t>
  </si>
  <si>
    <t>ภูวิจิตร</t>
  </si>
  <si>
    <t>นาง ยุวตี</t>
  </si>
  <si>
    <t>เครือวรรณ</t>
  </si>
  <si>
    <t>นาง เอมอร</t>
  </si>
  <si>
    <t>อาสาวุธ</t>
  </si>
  <si>
    <t>นาง เจริญสุข</t>
  </si>
  <si>
    <t>ชูศรีพัฒน์</t>
  </si>
  <si>
    <t>นางสาว จิตยา</t>
  </si>
  <si>
    <t>วังคะฮาต</t>
  </si>
  <si>
    <t>นาย เฉลิมชัย</t>
  </si>
  <si>
    <t>อรรคฮาต</t>
  </si>
  <si>
    <t>นาย สุพจน์</t>
  </si>
  <si>
    <t>ขวาสระแก้ว</t>
  </si>
  <si>
    <t>นาง ถิรพร</t>
  </si>
  <si>
    <t>ดาวกระจาย</t>
  </si>
  <si>
    <t>นางสาว วรางคณา</t>
  </si>
  <si>
    <t>สุริยะ</t>
  </si>
  <si>
    <t>นาง ประสิทธิ์</t>
  </si>
  <si>
    <t>วิเศษหวาน</t>
  </si>
  <si>
    <t>นาย ยุทธศาสตร์</t>
  </si>
  <si>
    <t>โพนยะพันธุ์</t>
  </si>
  <si>
    <t>นาง พจนี</t>
  </si>
  <si>
    <t>ฤทธิกุล</t>
  </si>
  <si>
    <t>นาชัยเวียง</t>
  </si>
  <si>
    <t>นาย ประจญ</t>
  </si>
  <si>
    <t>เถาวัลดี</t>
  </si>
  <si>
    <t>นาย วิสันต์</t>
  </si>
  <si>
    <t>นิลนวล</t>
  </si>
  <si>
    <t>นาง กองเกตุ</t>
  </si>
  <si>
    <t>นะภิใจ</t>
  </si>
  <si>
    <t>พิมพะนิตย์</t>
  </si>
  <si>
    <t>ธวะบุรี</t>
  </si>
  <si>
    <t>นาย โอภาส</t>
  </si>
  <si>
    <t>มั่นคง</t>
  </si>
  <si>
    <t>นาง ณัฏฐพร</t>
  </si>
  <si>
    <t>เจริญจิตต์</t>
  </si>
  <si>
    <t>ถวิลถึง</t>
  </si>
  <si>
    <t>นาย ประสาท</t>
  </si>
  <si>
    <t>ฉายพล</t>
  </si>
  <si>
    <t>นาย พิษณุพงศ์</t>
  </si>
  <si>
    <t>นาสะอ้าน</t>
  </si>
  <si>
    <t>นาย วัฒนา</t>
  </si>
  <si>
    <t>ยุระพันธุ์</t>
  </si>
  <si>
    <t>นางสาว ละคร</t>
  </si>
  <si>
    <t>หนองห้าง</t>
  </si>
  <si>
    <t>นาย รณชัย</t>
  </si>
  <si>
    <t>ศรีพอ</t>
  </si>
  <si>
    <t>นาย สันติ</t>
  </si>
  <si>
    <t>ศรีไพรวรรณ</t>
  </si>
  <si>
    <t>ไชยทองดี</t>
  </si>
  <si>
    <t>นาย วิชิต</t>
  </si>
  <si>
    <t>บุตรสมบัติ</t>
  </si>
  <si>
    <t>นาย อุทัย</t>
  </si>
  <si>
    <t>ขันพิมูล</t>
  </si>
  <si>
    <t>นาย ชัยณรงค์</t>
  </si>
  <si>
    <t>นาง ยุวคนธ์</t>
  </si>
  <si>
    <t>สำราญภูมิ</t>
  </si>
  <si>
    <t>นาย กิ่งเพชร</t>
  </si>
  <si>
    <t>นาชัยโชติ</t>
  </si>
  <si>
    <t>นาย แสวง</t>
  </si>
  <si>
    <t>ยิ่งโยงสัน</t>
  </si>
  <si>
    <t>นาย สถาพร</t>
  </si>
  <si>
    <t>ภูจริต</t>
  </si>
  <si>
    <t>กรรณิการ์</t>
  </si>
  <si>
    <t>นาง ชนิดา</t>
  </si>
  <si>
    <t>ศรีฮาตร</t>
  </si>
  <si>
    <t>นาย จุล</t>
  </si>
  <si>
    <t>พิกุล</t>
  </si>
  <si>
    <t>นรินญา</t>
  </si>
  <si>
    <t>นาย ถวิล</t>
  </si>
  <si>
    <t>เทศนาเรียง</t>
  </si>
  <si>
    <t>บูรณะ</t>
  </si>
  <si>
    <t>คุ้มกุดหว้า</t>
  </si>
  <si>
    <t>วงศ์ปรีดี</t>
  </si>
  <si>
    <t xml:space="preserve">นาง ณัฐธยาน์ </t>
  </si>
  <si>
    <t>ปินตาเหมืองหม้อ</t>
  </si>
  <si>
    <t>นาย ผดุงศิลป์</t>
  </si>
  <si>
    <t>ภูผายาง</t>
  </si>
  <si>
    <t>นาย วิทฑูรย์</t>
  </si>
  <si>
    <t>สมณะ</t>
  </si>
  <si>
    <t>นาย วินัย</t>
  </si>
  <si>
    <t>แสงกล้า</t>
  </si>
  <si>
    <t>นาย ศิริศักดิ์</t>
  </si>
  <si>
    <t>โรจน์รุ่งสถิตย์</t>
  </si>
  <si>
    <t>นาย ไชยยศ</t>
  </si>
  <si>
    <t>ทองภูธรณ์</t>
  </si>
  <si>
    <t>นาง ทวี</t>
  </si>
  <si>
    <t>ศรีสุธรรม</t>
  </si>
  <si>
    <t>นาย วัฒนพงษ์</t>
  </si>
  <si>
    <t>กิ่งแก้ว</t>
  </si>
  <si>
    <t>นาย สังวาร</t>
  </si>
  <si>
    <t>เทพศรีหา</t>
  </si>
  <si>
    <t>โยธสิงห์</t>
  </si>
  <si>
    <t>ชูช้าง</t>
  </si>
  <si>
    <t>นาย ฉลอง</t>
  </si>
  <si>
    <t>โพธิสารัตน์</t>
  </si>
  <si>
    <t>นาง สุขสังวาลย์</t>
  </si>
  <si>
    <t>เมาลิทอง</t>
  </si>
  <si>
    <t>นาย สนอง</t>
  </si>
  <si>
    <t>จำเริญสัตย์</t>
  </si>
  <si>
    <t>นาย วีระพงศ์</t>
  </si>
  <si>
    <t>แก้วนพรัตน์</t>
  </si>
  <si>
    <t>นาย เสมอ</t>
  </si>
  <si>
    <t>งามประเสริฐ</t>
  </si>
  <si>
    <t>นาย บุญตรง</t>
  </si>
  <si>
    <t>อินนุชิต</t>
  </si>
  <si>
    <t>นาย ชุนันท์</t>
  </si>
  <si>
    <t>ไสยกุล</t>
  </si>
  <si>
    <t>แก้วไตรรัตน์</t>
  </si>
  <si>
    <t>นาง กัลยา</t>
  </si>
  <si>
    <t>จรเอียด</t>
  </si>
  <si>
    <t>พลลาภ</t>
  </si>
  <si>
    <t>สิทธิศาสตร์</t>
  </si>
  <si>
    <t>นาย มนต์ศิลา</t>
  </si>
  <si>
    <t>คำศิลา</t>
  </si>
  <si>
    <t>นาย ทองสี</t>
  </si>
  <si>
    <t>บุญไชยยงค์</t>
  </si>
  <si>
    <t>นาง เรวดี</t>
  </si>
  <si>
    <t>ไชยขันธ์</t>
  </si>
  <si>
    <t>นาย ประเสริฐศรี</t>
  </si>
  <si>
    <t>นาย ศักดา</t>
  </si>
  <si>
    <t>สุขาภิรมย์</t>
  </si>
  <si>
    <t>นาย ผาพูล</t>
  </si>
  <si>
    <t>อุ่นสถิตย์</t>
  </si>
  <si>
    <t>นาง เพ็ญศิริ</t>
  </si>
  <si>
    <t>แก้วขุนทอง</t>
  </si>
  <si>
    <t>นางสาว โสภิศ</t>
  </si>
  <si>
    <t xml:space="preserve">บุ่งอุทุม </t>
  </si>
  <si>
    <t xml:space="preserve">นาย ชัยวัฒน์ </t>
  </si>
  <si>
    <t>วัฒนาวุฒิกุล</t>
  </si>
  <si>
    <t>นางสาว วะรีรัตน์</t>
  </si>
  <si>
    <t>สายันเกณะ</t>
  </si>
  <si>
    <t xml:space="preserve">นางสาว ธมน </t>
  </si>
  <si>
    <t xml:space="preserve">พลเยี่ยม </t>
  </si>
  <si>
    <t xml:space="preserve">นาย เฉลิมชาติ </t>
  </si>
  <si>
    <t xml:space="preserve">มุลทา </t>
  </si>
  <si>
    <t>นาย พนมกร</t>
  </si>
  <si>
    <t>เวชกามา</t>
  </si>
  <si>
    <t>นาย ชีวิน</t>
  </si>
  <si>
    <t>ไชยศรี</t>
  </si>
  <si>
    <t xml:space="preserve">นางสาว เพ็ญจันทร์ </t>
  </si>
  <si>
    <t xml:space="preserve">ภูทองพัน </t>
  </si>
  <si>
    <t>นางสาว ปิยพร</t>
  </si>
  <si>
    <t>แดนสีแก้ว</t>
  </si>
  <si>
    <t xml:space="preserve">นางสาว ปิยะพรรณ </t>
  </si>
  <si>
    <t xml:space="preserve">พูลเพิ่ม </t>
  </si>
  <si>
    <t>นาย อนุวัต</t>
  </si>
  <si>
    <t>เป้ดโคกแปะ</t>
  </si>
  <si>
    <t>นาย ปิยะวัฒน์</t>
  </si>
  <si>
    <t>ปาระภา</t>
  </si>
  <si>
    <t xml:space="preserve">นาย กรวิทย์ </t>
  </si>
  <si>
    <t>นาคนทรง</t>
  </si>
  <si>
    <t xml:space="preserve">นางสาว ฉัตรา </t>
  </si>
  <si>
    <t xml:space="preserve">ปทุมพร </t>
  </si>
  <si>
    <t xml:space="preserve">นางสาว อ้อมดาว </t>
  </si>
  <si>
    <t xml:space="preserve">บุญไทย </t>
  </si>
  <si>
    <t xml:space="preserve">นาย ธีราทร </t>
  </si>
  <si>
    <t>กุมผัน</t>
  </si>
  <si>
    <t xml:space="preserve">นาง พิมพ์พร </t>
  </si>
  <si>
    <t xml:space="preserve">เมืองหมี </t>
  </si>
  <si>
    <t>สุริโย</t>
  </si>
  <si>
    <t>จันทรัตน์</t>
  </si>
  <si>
    <t>นางสาว พิชชาอร</t>
  </si>
  <si>
    <t>เชื้อแก้ว</t>
  </si>
  <si>
    <t>กองหนูเพ็ชร์</t>
  </si>
  <si>
    <t>ชิณโสม</t>
  </si>
  <si>
    <t>นาง ราตรี</t>
  </si>
  <si>
    <t>ศรีสมัย</t>
  </si>
  <si>
    <t>ภูแต้มนิล</t>
  </si>
  <si>
    <t>นาง ประสาร</t>
  </si>
  <si>
    <t>จันทะดวง</t>
  </si>
  <si>
    <t>นางสาว นิภาภัทร</t>
  </si>
  <si>
    <t>เวียงวะลัย</t>
  </si>
  <si>
    <t>นาย วัชรินทร์</t>
  </si>
  <si>
    <t>เขจรวงศ์</t>
  </si>
  <si>
    <t>นาง พรรณวดี</t>
  </si>
  <si>
    <t>วิทักษ์บุตร</t>
  </si>
  <si>
    <t>นาย เลิศชาย</t>
  </si>
  <si>
    <t>เศิกศิริ</t>
  </si>
  <si>
    <t>นางสาว วิรัตน์</t>
  </si>
  <si>
    <t>จิตจักร</t>
  </si>
  <si>
    <t>นาย คำสิงห์</t>
  </si>
  <si>
    <t>ภูเหลี่ยม</t>
  </si>
  <si>
    <t>นาย ไสว</t>
  </si>
  <si>
    <t>สิมคร</t>
  </si>
  <si>
    <t>จันทะเขต</t>
  </si>
  <si>
    <t>นาย สุพัฒน์</t>
  </si>
  <si>
    <t>มงคลธรรม</t>
  </si>
  <si>
    <t>นาย เชาวฤทธิ์</t>
  </si>
  <si>
    <t>วระพันธุ์</t>
  </si>
  <si>
    <t>นาย วิรัตน์</t>
  </si>
  <si>
    <t>เดชอุทัย</t>
  </si>
  <si>
    <t>นาย วรวุฒิ</t>
  </si>
  <si>
    <t>กลิ่นคล้าย</t>
  </si>
  <si>
    <t>นาย จรูญ</t>
  </si>
  <si>
    <t>จำเริญบุญ</t>
  </si>
  <si>
    <t>นางสาว อรนุช</t>
  </si>
  <si>
    <t>เกษสัญชัย</t>
  </si>
  <si>
    <t>นาย ทองคำ</t>
  </si>
  <si>
    <t>สมคำศรี</t>
  </si>
  <si>
    <t>นางสาว ณรรธิชา</t>
  </si>
  <si>
    <t>ปัทถาพงษ์</t>
  </si>
  <si>
    <t>นางสาว จิตติมา</t>
  </si>
  <si>
    <t>ภูมิไชยโชติ</t>
  </si>
  <si>
    <t>นาง ละม่อม</t>
  </si>
  <si>
    <t>สุนทรชัย</t>
  </si>
  <si>
    <t>นาง รวิสรา</t>
  </si>
  <si>
    <t xml:space="preserve">นรินญา </t>
  </si>
  <si>
    <t>นาง ธาชินี</t>
  </si>
  <si>
    <t>กงจักร</t>
  </si>
  <si>
    <t>นาย ลำพัน</t>
  </si>
  <si>
    <t>ภูถาวร</t>
  </si>
  <si>
    <t>นาย ธานินทร์</t>
  </si>
  <si>
    <t>ภูติโส</t>
  </si>
  <si>
    <t>นาง เจตสุภางค์</t>
  </si>
  <si>
    <t>พรหมสุคนธ์</t>
  </si>
  <si>
    <t>นางสาว ธิดารัฐ</t>
  </si>
  <si>
    <t>ธารพันธุ์</t>
  </si>
  <si>
    <t>นาย คมกฤษณ์</t>
  </si>
  <si>
    <t>นาย ทัดชัย</t>
  </si>
  <si>
    <t>บุญไสย์</t>
  </si>
  <si>
    <t>นางสาว แก้วตา</t>
  </si>
  <si>
    <t>บุญธรรม</t>
  </si>
  <si>
    <t>นาย ก่อเกียรติ</t>
  </si>
  <si>
    <t>ใจอ่อน</t>
  </si>
  <si>
    <t>นาย ศราวุธ</t>
  </si>
  <si>
    <t>ศรีสว่างวงศ์</t>
  </si>
  <si>
    <t>นางสาว ปาริฉัตร</t>
  </si>
  <si>
    <t>พุทธกาล</t>
  </si>
  <si>
    <t xml:space="preserve">ใจศิริ </t>
  </si>
  <si>
    <t>สุขรัง</t>
  </si>
  <si>
    <t>นางสาว เอระวัณ</t>
  </si>
  <si>
    <t xml:space="preserve">สาระขันธ์ </t>
  </si>
  <si>
    <t xml:space="preserve">นาง นาถลดา </t>
  </si>
  <si>
    <t xml:space="preserve">สุดถนอม </t>
  </si>
  <si>
    <t xml:space="preserve">นาย ศุภฤกษ์ </t>
  </si>
  <si>
    <t xml:space="preserve">วิภาคะ </t>
  </si>
  <si>
    <t>นางสาว ชุลีรัตน์</t>
  </si>
  <si>
    <t>ไพศาล</t>
  </si>
  <si>
    <t>นางสาว วรรณภา</t>
  </si>
  <si>
    <t>บรรพบุตร</t>
  </si>
  <si>
    <t>มูลมาตย์</t>
  </si>
  <si>
    <t xml:space="preserve">นาง รินดา </t>
  </si>
  <si>
    <t>สว่างโคตร</t>
  </si>
  <si>
    <t>นางสาว มยุรฉัตร</t>
  </si>
  <si>
    <t xml:space="preserve">อุ่นทะยา </t>
  </si>
  <si>
    <t xml:space="preserve">นาย วรกฤต </t>
  </si>
  <si>
    <t xml:space="preserve">ชาธิรัตน์ </t>
  </si>
  <si>
    <t xml:space="preserve">นาย กฤติน </t>
  </si>
  <si>
    <t xml:space="preserve">เอกพันธ์ </t>
  </si>
  <si>
    <t xml:space="preserve">นาง ณัฐณิชา </t>
  </si>
  <si>
    <t xml:space="preserve">ภูกิ่งหิน </t>
  </si>
  <si>
    <t xml:space="preserve">นาย พงษ์ศักดิ์ </t>
  </si>
  <si>
    <t xml:space="preserve">ภูพลผัน </t>
  </si>
  <si>
    <t xml:space="preserve">นางสาว ชิณาภา </t>
  </si>
  <si>
    <t>บุญจงรักษ์</t>
  </si>
  <si>
    <t xml:space="preserve">นางสาว จิรภา </t>
  </si>
  <si>
    <t xml:space="preserve">ศุภอุดร </t>
  </si>
  <si>
    <t>นางสาว ปรียากรณ์</t>
  </si>
  <si>
    <t>แสบงบาล</t>
  </si>
  <si>
    <t xml:space="preserve">นางสาว มนต์ศิริ </t>
  </si>
  <si>
    <t xml:space="preserve">นันท์อุดมศักดิ์ </t>
  </si>
  <si>
    <t xml:space="preserve">นาย สุวัฒน์ </t>
  </si>
  <si>
    <t>ทองเดือน</t>
  </si>
  <si>
    <t xml:space="preserve">นาย ปณพล </t>
  </si>
  <si>
    <t xml:space="preserve">มองเพชร </t>
  </si>
  <si>
    <t xml:space="preserve">นาง อรวรรณ </t>
  </si>
  <si>
    <t xml:space="preserve">นาชัยสินธุ์ </t>
  </si>
  <si>
    <t xml:space="preserve">นาย สมมาศ </t>
  </si>
  <si>
    <t xml:space="preserve">สุขรี่ </t>
  </si>
  <si>
    <t xml:space="preserve">นาย ธีรวุฒิ </t>
  </si>
  <si>
    <t xml:space="preserve">คำศิลา </t>
  </si>
  <si>
    <t xml:space="preserve">นางสาว ศิวพร </t>
  </si>
  <si>
    <t xml:space="preserve">เมฆฉาย </t>
  </si>
  <si>
    <t xml:space="preserve">นาย เฉลิมโรจน์ </t>
  </si>
  <si>
    <t xml:space="preserve">ชัยสิทธิพัฒนา </t>
  </si>
  <si>
    <t>นาย นิตินันท์</t>
  </si>
  <si>
    <t>นันประดิษฐ์</t>
  </si>
  <si>
    <t>นาย ทินวัฒน์</t>
  </si>
  <si>
    <t>วงศ์มาศ</t>
  </si>
  <si>
    <t>นาย ณัฐวุฒิ</t>
  </si>
  <si>
    <t>จิตจักร์</t>
  </si>
  <si>
    <t>นางสาว อธิติญา</t>
  </si>
  <si>
    <t>ขุนแสน</t>
  </si>
  <si>
    <t>นาย ครรชิต</t>
  </si>
  <si>
    <t>ป้องพันธ์</t>
  </si>
  <si>
    <t xml:space="preserve">นางสาว ปนัดดา </t>
  </si>
  <si>
    <t xml:space="preserve">การดี </t>
  </si>
  <si>
    <t xml:space="preserve">นางสาว วีรนุช </t>
  </si>
  <si>
    <t xml:space="preserve">กุดแถลง </t>
  </si>
  <si>
    <t>นาย วิทยากร</t>
  </si>
  <si>
    <t>การสรรพ์</t>
  </si>
  <si>
    <t xml:space="preserve">นางสาว ขวัญชนก </t>
  </si>
  <si>
    <t xml:space="preserve">ยันตะบุศย์ </t>
  </si>
  <si>
    <t xml:space="preserve">นาย ชรินทร์ </t>
  </si>
  <si>
    <t xml:space="preserve">ทริเพ็ง </t>
  </si>
  <si>
    <t>นาย ปริวรรธก์</t>
  </si>
  <si>
    <t>เนียมบุญ</t>
  </si>
  <si>
    <t>นาย อัษฎาวุธ</t>
  </si>
  <si>
    <t>วงษ์ใส</t>
  </si>
  <si>
    <t>นาย ขจร</t>
  </si>
  <si>
    <t>ศรีกุตา</t>
  </si>
  <si>
    <t>นางสาว จิตลดา</t>
  </si>
  <si>
    <t>มาตตรา</t>
  </si>
  <si>
    <t>สิทธิ์สำนวน</t>
  </si>
  <si>
    <t>นางสาว วรินทร์ยุพา</t>
  </si>
  <si>
    <t>ศรีบุญเรือง</t>
  </si>
  <si>
    <t>นาย สุริยัน</t>
  </si>
  <si>
    <t>เฉิดพันธ์</t>
  </si>
  <si>
    <t xml:space="preserve">นางสาว วรัญญา </t>
  </si>
  <si>
    <t>จิเหิบ</t>
  </si>
  <si>
    <t xml:space="preserve">นาย เอกวุฒิ </t>
  </si>
  <si>
    <t xml:space="preserve">ภักภูมินทร์ </t>
  </si>
  <si>
    <t xml:space="preserve">นางสาว นิจวรรณ  </t>
  </si>
  <si>
    <t>มีไชยยา</t>
  </si>
  <si>
    <t>นาย ธีระศักดิ์</t>
  </si>
  <si>
    <t>ยมสวัสดิ์</t>
  </si>
  <si>
    <t>นางสาว กิมิทา</t>
  </si>
  <si>
    <t>โคเวียง</t>
  </si>
  <si>
    <t>ธรรมวุฒิ</t>
  </si>
  <si>
    <t>นาย จิตเพชร</t>
  </si>
  <si>
    <t>พิเดช</t>
  </si>
  <si>
    <t>นาย ประยงค์</t>
  </si>
  <si>
    <t>แว่นทอง</t>
  </si>
  <si>
    <t>นาย ชัยวัฒน์</t>
  </si>
  <si>
    <t>ผลมา</t>
  </si>
  <si>
    <t>นางสาว นิธินันทน์</t>
  </si>
  <si>
    <t>การินทา</t>
  </si>
  <si>
    <t>นาง สุพรรณี</t>
  </si>
  <si>
    <t>ยาดี</t>
  </si>
  <si>
    <t>คำไทย</t>
  </si>
  <si>
    <t>นาย คำปริว</t>
  </si>
  <si>
    <t>จันทร์ประทักษ์</t>
  </si>
  <si>
    <t>นาย ประทักษ์</t>
  </si>
  <si>
    <t>ธรรมนิทัศนา</t>
  </si>
  <si>
    <t>จินดารัตน์</t>
  </si>
  <si>
    <t>นาย เชาว์ริก</t>
  </si>
  <si>
    <t>ครุธอินทร์</t>
  </si>
  <si>
    <t>นาง สุภาพ</t>
  </si>
  <si>
    <t>อุ่นเรือน</t>
  </si>
  <si>
    <t>ขวัญคำ</t>
  </si>
  <si>
    <t>นาง พิมพ์พิชชา</t>
  </si>
  <si>
    <t>ภูทิพย์</t>
  </si>
  <si>
    <t>นาย วรชิต</t>
  </si>
  <si>
    <t>พิเคราะห์</t>
  </si>
  <si>
    <t>นาย สาธิต</t>
  </si>
  <si>
    <t>อินทรทัศน์</t>
  </si>
  <si>
    <t>นาย คณาพัสสน์</t>
  </si>
  <si>
    <t>ทนันชัยดำรงกุล</t>
  </si>
  <si>
    <t>สงพูล</t>
  </si>
  <si>
    <t>นาย สมเดช</t>
  </si>
  <si>
    <t>สิทธิยศ</t>
  </si>
  <si>
    <t>นาย รัตนพล</t>
  </si>
  <si>
    <t>มะโน</t>
  </si>
  <si>
    <t>นาย ชัชพล</t>
  </si>
  <si>
    <t>วงศ์แก้ว</t>
  </si>
  <si>
    <t>นาย สถิตย์</t>
  </si>
  <si>
    <t>นาย ธวัช</t>
  </si>
  <si>
    <t>ริยาพันธ์</t>
  </si>
  <si>
    <t>ศรีทิพย์</t>
  </si>
  <si>
    <t>วนิชนพรัตน์</t>
  </si>
  <si>
    <t>วินิจกุล</t>
  </si>
  <si>
    <t>นาง สราญจิต</t>
  </si>
  <si>
    <t>หรุ่นขำ</t>
  </si>
  <si>
    <t>นาง อรณิชชา</t>
  </si>
  <si>
    <t>สุจิตรา</t>
  </si>
  <si>
    <t>นาย สุภัทร</t>
  </si>
  <si>
    <t>สุปรียธิติกุล</t>
  </si>
  <si>
    <t xml:space="preserve">นางสาว กมลรัชน์ </t>
  </si>
  <si>
    <t>นาคคำ</t>
  </si>
  <si>
    <t>เข็มทิศ</t>
  </si>
  <si>
    <t>นาย สุริยะ</t>
  </si>
  <si>
    <t>พันธุ์โอภาส</t>
  </si>
  <si>
    <t>นาง รัตน์ทอง</t>
  </si>
  <si>
    <t>นาย จักรินทร์</t>
  </si>
  <si>
    <t xml:space="preserve">นางสาว นวรัตน์ </t>
  </si>
  <si>
    <t xml:space="preserve">ประภูชะกัง </t>
  </si>
  <si>
    <t xml:space="preserve">นางสาว ศุทธินี </t>
  </si>
  <si>
    <t xml:space="preserve">ไชยแก้ว </t>
  </si>
  <si>
    <t>นาย ฐณัตพสุธ</t>
  </si>
  <si>
    <t>วุฒิกรกมลโรจน์</t>
  </si>
  <si>
    <t>นาง อรษา</t>
  </si>
  <si>
    <t>รักษ์ชน</t>
  </si>
  <si>
    <t>นาง นิตยา</t>
  </si>
  <si>
    <t>เจนจบ</t>
  </si>
  <si>
    <t>นางสาว ภัสร์วรา</t>
  </si>
  <si>
    <t>วิโสภา</t>
  </si>
  <si>
    <t xml:space="preserve">นางสาว สุภาพร </t>
  </si>
  <si>
    <t xml:space="preserve">วงค์พุฒ </t>
  </si>
  <si>
    <t>เปรมจิตติบันเทิง</t>
  </si>
  <si>
    <t>มโนวงศ์</t>
  </si>
  <si>
    <t>นางสาว วิชุดา</t>
  </si>
  <si>
    <t>เอี่ยมครุฑ</t>
  </si>
  <si>
    <t>น้อยพันธ์</t>
  </si>
  <si>
    <t>เลิศสูงเนิน</t>
  </si>
  <si>
    <t>นาย เชิงชาย</t>
  </si>
  <si>
    <t>เรือนคำปา</t>
  </si>
  <si>
    <t>นางสาว สุวรรณา</t>
  </si>
  <si>
    <t>อินทร์สิงห์</t>
  </si>
  <si>
    <t>นาย ทวัฒ</t>
  </si>
  <si>
    <t>คงสิบ</t>
  </si>
  <si>
    <t>เหม็นแดง</t>
  </si>
  <si>
    <t>นาง กิติกานต์</t>
  </si>
  <si>
    <t>ศรีวิชัย</t>
  </si>
  <si>
    <t>นาง วรรณา</t>
  </si>
  <si>
    <t>เลื่องปุ้ย</t>
  </si>
  <si>
    <t xml:space="preserve">นาย ไพฑูรย์ </t>
  </si>
  <si>
    <t>ทองใบ</t>
  </si>
  <si>
    <t>นาย อนุสรณ์</t>
  </si>
  <si>
    <t>วงษ์คำ</t>
  </si>
  <si>
    <t>จอมดวง</t>
  </si>
  <si>
    <t>นาง เยาวลักษณ์</t>
  </si>
  <si>
    <t>เกิดพันธ์</t>
  </si>
  <si>
    <t>นางสาว แน่งน้อย</t>
  </si>
  <si>
    <t>อิ่มโอษฐ์</t>
  </si>
  <si>
    <t>พุฒตาลดง</t>
  </si>
  <si>
    <t>นาย ภูมิรพี</t>
  </si>
  <si>
    <t>ขัดเกลา</t>
  </si>
  <si>
    <t>นางสาว ฤทัยรัตน์</t>
  </si>
  <si>
    <t>กสิกรรม</t>
  </si>
  <si>
    <t xml:space="preserve">นาย ชัยยุทธ </t>
  </si>
  <si>
    <t xml:space="preserve">พุทธิจุน </t>
  </si>
  <si>
    <t xml:space="preserve">นางสาว วิภาวรรณ </t>
  </si>
  <si>
    <t>แจ้งต่าย</t>
  </si>
  <si>
    <t>จินต์สุภาวงศ์</t>
  </si>
  <si>
    <t xml:space="preserve">นาย ณัฐพงษ์ </t>
  </si>
  <si>
    <t>กล่ำวิเศษ</t>
  </si>
  <si>
    <t xml:space="preserve">นาย อภิวัฒน์ </t>
  </si>
  <si>
    <t xml:space="preserve">เงินกลั่น </t>
  </si>
  <si>
    <t xml:space="preserve">นาย ศุทธีรักษ์ </t>
  </si>
  <si>
    <t xml:space="preserve">ใจมา </t>
  </si>
  <si>
    <t>นาย วัชรพงษ์</t>
  </si>
  <si>
    <t>วงค์คำปวน</t>
  </si>
  <si>
    <t>นาย สุพัชรกิตติ์</t>
  </si>
  <si>
    <t>สังข์ยก</t>
  </si>
  <si>
    <t xml:space="preserve">นาง สุพรรณิกา </t>
  </si>
  <si>
    <t>อยู่ครอบ</t>
  </si>
  <si>
    <t xml:space="preserve">นาย บุณยกร </t>
  </si>
  <si>
    <t xml:space="preserve">ธรรมใจ </t>
  </si>
  <si>
    <t xml:space="preserve">นางสาว ทิพย์สุดา </t>
  </si>
  <si>
    <t xml:space="preserve">มหาวงศ์ </t>
  </si>
  <si>
    <t xml:space="preserve">นาง ประกายแก้ว </t>
  </si>
  <si>
    <t xml:space="preserve">ดวงตา </t>
  </si>
  <si>
    <t xml:space="preserve">นางสาว อลิษา </t>
  </si>
  <si>
    <t>นาควิสุทธิ์</t>
  </si>
  <si>
    <t xml:space="preserve">นางสาว วรรณภา </t>
  </si>
  <si>
    <t xml:space="preserve">ภูมิลา </t>
  </si>
  <si>
    <t>นางสาว นัฎฐา</t>
  </si>
  <si>
    <t xml:space="preserve">พันธุ์ชูเพ็ชร </t>
  </si>
  <si>
    <t xml:space="preserve">นางสาว ปิยมาภรณ์ </t>
  </si>
  <si>
    <t xml:space="preserve">เหล่าคงถาวร </t>
  </si>
  <si>
    <t xml:space="preserve">นางสาว กรรณิกา </t>
  </si>
  <si>
    <t>วงศ์ยศ</t>
  </si>
  <si>
    <t xml:space="preserve">นางสาว มณฑกาญจน์ </t>
  </si>
  <si>
    <t xml:space="preserve">ชนะภัย </t>
  </si>
  <si>
    <t xml:space="preserve">นางสาว มะลิษา </t>
  </si>
  <si>
    <t xml:space="preserve">จันแดง </t>
  </si>
  <si>
    <t xml:space="preserve">นางสาว โชติรส </t>
  </si>
  <si>
    <t xml:space="preserve">รอดเกตุ </t>
  </si>
  <si>
    <t>นาย กิตติกานต์</t>
  </si>
  <si>
    <t>ศรีธิทอง</t>
  </si>
  <si>
    <t xml:space="preserve">นาย ธีรพงศ์ </t>
  </si>
  <si>
    <t xml:space="preserve">มังคะวัฒน์ </t>
  </si>
  <si>
    <t>นางสาว อารญา</t>
  </si>
  <si>
    <t>อยู่เกษ</t>
  </si>
  <si>
    <t>นางสาว มนัสชนก</t>
  </si>
  <si>
    <t>หวังพิทักษ์วงศ์</t>
  </si>
  <si>
    <t xml:space="preserve">นางสาว ฐานิญา </t>
  </si>
  <si>
    <t xml:space="preserve">เทพบุตร </t>
  </si>
  <si>
    <t>นางสาว ทัศนี</t>
  </si>
  <si>
    <t>แซ่เหง่า</t>
  </si>
  <si>
    <t xml:space="preserve">นาย ณรงค์ </t>
  </si>
  <si>
    <t xml:space="preserve">หนองหลวง </t>
  </si>
  <si>
    <t xml:space="preserve">นางสาว พรปวีณ์ </t>
  </si>
  <si>
    <t xml:space="preserve">สังเกตุใจ </t>
  </si>
  <si>
    <t>นาย เสนาะ</t>
  </si>
  <si>
    <t>ยิ้มสบาย</t>
  </si>
  <si>
    <t>มีมาก</t>
  </si>
  <si>
    <t>นางสาว ณัฐมน</t>
  </si>
  <si>
    <t>เก่งกิจการ</t>
  </si>
  <si>
    <t>นางสาว มนทกานต์</t>
  </si>
  <si>
    <t>แก้วเกตุ</t>
  </si>
  <si>
    <t>นาย ธเนศ</t>
  </si>
  <si>
    <t>จันทร์อินทร์</t>
  </si>
  <si>
    <t>นาย สุรสร</t>
  </si>
  <si>
    <t>กุลวงษ์</t>
  </si>
  <si>
    <t>บุญสังวาลย์</t>
  </si>
  <si>
    <t xml:space="preserve">นาย จีรวัฒน์ </t>
  </si>
  <si>
    <t xml:space="preserve">จันทวงษ์ </t>
  </si>
  <si>
    <t>โพธิ์จวง</t>
  </si>
  <si>
    <t>นิลนนท์เนตร</t>
  </si>
  <si>
    <t>นาย เรืองศักดิ์</t>
  </si>
  <si>
    <t>วงศ์วทัญญู</t>
  </si>
  <si>
    <t>นาย ธำรง</t>
  </si>
  <si>
    <t>อินทจักร</t>
  </si>
  <si>
    <t>นาย ดุสิต</t>
  </si>
  <si>
    <t>ภู่พัวพันธุ์</t>
  </si>
  <si>
    <t>นาระคล</t>
  </si>
  <si>
    <t>นาย วีรวัฒน์</t>
  </si>
  <si>
    <t>กุลสิงห์</t>
  </si>
  <si>
    <t>นาย ประทวน</t>
  </si>
  <si>
    <t>ไชยโสต</t>
  </si>
  <si>
    <t>นาง พนิดา</t>
  </si>
  <si>
    <t>อรัญวารี</t>
  </si>
  <si>
    <t>สงวนสุข</t>
  </si>
  <si>
    <t>นาย วัฒนศิลป</t>
  </si>
  <si>
    <t>อินทรชัยศรี</t>
  </si>
  <si>
    <t>นาย ประดิษฐ์</t>
  </si>
  <si>
    <t>ธีรปฐวี</t>
  </si>
  <si>
    <t>นาย พิชิต</t>
  </si>
  <si>
    <t>พันธุ์วิไล</t>
  </si>
  <si>
    <t>นาย สิทธิพงษ์</t>
  </si>
  <si>
    <t>คามวัลย์</t>
  </si>
  <si>
    <t>นาย อนุกูล</t>
  </si>
  <si>
    <t>กสิบุตร</t>
  </si>
  <si>
    <t>นาย สุนิตย์</t>
  </si>
  <si>
    <t>สีหาราช</t>
  </si>
  <si>
    <t>พรมดอนก่อ</t>
  </si>
  <si>
    <t>นาง อุดมลักษณ์</t>
  </si>
  <si>
    <t>มารศรี</t>
  </si>
  <si>
    <t>นาง บุญเรียม</t>
  </si>
  <si>
    <t>เวียงวลัย</t>
  </si>
  <si>
    <t>นาย ทิวา</t>
  </si>
  <si>
    <t>โทบุราณ</t>
  </si>
  <si>
    <t>สุนทรกรัญ</t>
  </si>
  <si>
    <t>เถียรชานาถ</t>
  </si>
  <si>
    <t>นาย อุดร</t>
  </si>
  <si>
    <t>ศรีเมืองเฮ้า</t>
  </si>
  <si>
    <t>นาง อัมพร</t>
  </si>
  <si>
    <t>เชื้อสีดา</t>
  </si>
  <si>
    <t>ศรีอรห์</t>
  </si>
  <si>
    <t>จันดีบาง</t>
  </si>
  <si>
    <t>นาย จรัล</t>
  </si>
  <si>
    <t>ดาวสวย</t>
  </si>
  <si>
    <t>นาย พิเชษฐ์</t>
  </si>
  <si>
    <t>ภูไชยแสง</t>
  </si>
  <si>
    <t>นาง ธีรารัตน์</t>
  </si>
  <si>
    <t xml:space="preserve">อีสทา </t>
  </si>
  <si>
    <t>นาง สุพิณ</t>
  </si>
  <si>
    <t>กล้าหาญ</t>
  </si>
  <si>
    <t>นาง สมบูรณ์</t>
  </si>
  <si>
    <t>แสนประกอบ</t>
  </si>
  <si>
    <t>นาย ไชยนันท์</t>
  </si>
  <si>
    <t>ใจตรง</t>
  </si>
  <si>
    <t>นาย บุญสี</t>
  </si>
  <si>
    <t>หล้าพิมพ์</t>
  </si>
  <si>
    <t>นาง สมรักษ์</t>
  </si>
  <si>
    <t>ทิพย์สุนทรพงษ์</t>
  </si>
  <si>
    <t>ณ ไธสง</t>
  </si>
  <si>
    <t>ชัยเดช</t>
  </si>
  <si>
    <t>นาย คำภีร์</t>
  </si>
  <si>
    <t>เชิมชัยภูมิ</t>
  </si>
  <si>
    <t>นาย พงษ์สิทธิ์</t>
  </si>
  <si>
    <t>เฉลยพจน์</t>
  </si>
  <si>
    <t>นาย ระวี</t>
  </si>
  <si>
    <t>ภาวงศ์</t>
  </si>
  <si>
    <t>กาบขน</t>
  </si>
  <si>
    <t>ประเสริฐสังข์</t>
  </si>
  <si>
    <t>นาย ชม</t>
  </si>
  <si>
    <t>ว่องไว</t>
  </si>
  <si>
    <t>นาย นริศ</t>
  </si>
  <si>
    <t>เขมะสิงคิ</t>
  </si>
  <si>
    <t>นางสาว ชฎารัตน์</t>
  </si>
  <si>
    <t>ชุมพรัตน์</t>
  </si>
  <si>
    <t>นาย ไพโรจน์</t>
  </si>
  <si>
    <t>นาย วงศ์ยเรศ</t>
  </si>
  <si>
    <t>อัยวรรณ</t>
  </si>
  <si>
    <t>นาย วีรศักดิ์</t>
  </si>
  <si>
    <t>อานพินิจ</t>
  </si>
  <si>
    <t>นาย ชวน</t>
  </si>
  <si>
    <t>เชียงนางาม</t>
  </si>
  <si>
    <t>นาย สุวัจจ์</t>
  </si>
  <si>
    <t>ประทุมวงศ์</t>
  </si>
  <si>
    <t>นาย สงัด</t>
  </si>
  <si>
    <t>จันทร์หนู</t>
  </si>
  <si>
    <t>นาย วุฒิไกร</t>
  </si>
  <si>
    <t>ฐานวิเศษ</t>
  </si>
  <si>
    <t>นาย ธีระพล</t>
  </si>
  <si>
    <t>ภาพสิงห์</t>
  </si>
  <si>
    <t>ฉิมกลาง</t>
  </si>
  <si>
    <t>นาย คมเคียว</t>
  </si>
  <si>
    <t>เหล่าคนค้า</t>
  </si>
  <si>
    <t>นาย ทรงพันธ์</t>
  </si>
  <si>
    <t>จันทร์สว่าง</t>
  </si>
  <si>
    <t>นาย เทพศิริ</t>
  </si>
  <si>
    <t>สิงห์บ้านหาด</t>
  </si>
  <si>
    <t>นาย ธีรศักดิ์</t>
  </si>
  <si>
    <t>สกุลไทย</t>
  </si>
  <si>
    <t>นาง มณฑนา</t>
  </si>
  <si>
    <t>สระบัว</t>
  </si>
  <si>
    <t>นาง เพียงพร</t>
  </si>
  <si>
    <t>แก้วพะเนาว์</t>
  </si>
  <si>
    <t>นางสาว เพ็ญศรี</t>
  </si>
  <si>
    <t>หินเธาว์</t>
  </si>
  <si>
    <t>ภูมิสาขา</t>
  </si>
  <si>
    <t>อิ่มคำ</t>
  </si>
  <si>
    <t>ยศศรี</t>
  </si>
  <si>
    <t>นาง พะเยาว์</t>
  </si>
  <si>
    <t>ปัทมามาลย์</t>
  </si>
  <si>
    <t>นาย สุจิรันต์</t>
  </si>
  <si>
    <t>จันทวงษ์</t>
  </si>
  <si>
    <t>นาย ศุภมิตร</t>
  </si>
  <si>
    <t>เชนประโคน</t>
  </si>
  <si>
    <t>นาย สำเนา</t>
  </si>
  <si>
    <t>ช่วงภักดี</t>
  </si>
  <si>
    <t>นางสาว กฤติมา</t>
  </si>
  <si>
    <t>วรสุทธิพงษ์</t>
  </si>
  <si>
    <t>นาย วีระวัฒน์</t>
  </si>
  <si>
    <t>โยธี</t>
  </si>
  <si>
    <t>นาย สุพิน</t>
  </si>
  <si>
    <t>สุระหิต</t>
  </si>
  <si>
    <t>นาย ณัฐชพงศ์</t>
  </si>
  <si>
    <t>อินทร์เสนา</t>
  </si>
  <si>
    <t>บุญลือ</t>
  </si>
  <si>
    <t>ทุมประเสน</t>
  </si>
  <si>
    <t>โนนทนวงษ์</t>
  </si>
  <si>
    <t>นาง สุทิน</t>
  </si>
  <si>
    <t>โยทคบุรี</t>
  </si>
  <si>
    <t>นาง ธัญวลัย</t>
  </si>
  <si>
    <t>ศรีมานะศักดิ์</t>
  </si>
  <si>
    <t>จันทรศรี</t>
  </si>
  <si>
    <t>นาย วชิระ</t>
  </si>
  <si>
    <t>จิตรดาธำรง</t>
  </si>
  <si>
    <t>นาย วีรพล</t>
  </si>
  <si>
    <t>สังขมาลย์</t>
  </si>
  <si>
    <t>นาง ดวงดาว</t>
  </si>
  <si>
    <t>วงศ์ชาลี</t>
  </si>
  <si>
    <t>นาย สมาธิ</t>
  </si>
  <si>
    <t>เหง้าบุญมา</t>
  </si>
  <si>
    <t>นาง สุนันท์</t>
  </si>
  <si>
    <t>สุธรรมฤทธิ์</t>
  </si>
  <si>
    <t>นาง อโณทัย</t>
  </si>
  <si>
    <t>นุตะศะริน</t>
  </si>
  <si>
    <t>นาย เผ่าพันธุ์</t>
  </si>
  <si>
    <t>นวลคำมา</t>
  </si>
  <si>
    <t>นาย ทำนอง</t>
  </si>
  <si>
    <t>หล่ายจาด</t>
  </si>
  <si>
    <t>นาย ดำเลิง</t>
  </si>
  <si>
    <t>สุภา</t>
  </si>
  <si>
    <t>นางสาว กุมารี</t>
  </si>
  <si>
    <t>อุปฮาด</t>
  </si>
  <si>
    <t>นาง อนงรักษ์</t>
  </si>
  <si>
    <t>บุญไกรสร</t>
  </si>
  <si>
    <t>นาง วาสนา</t>
  </si>
  <si>
    <t>ชุมพล</t>
  </si>
  <si>
    <t>นาง พุทธชาติ</t>
  </si>
  <si>
    <t>นารีจันทร์</t>
  </si>
  <si>
    <t>นาย ประธาน</t>
  </si>
  <si>
    <t>ถาเขียว</t>
  </si>
  <si>
    <t>นาง สุริยา</t>
  </si>
  <si>
    <t>จงสมชัย</t>
  </si>
  <si>
    <t>นาง เบญจา</t>
  </si>
  <si>
    <t>นาย ประไพ</t>
  </si>
  <si>
    <t>คำสงค์</t>
  </si>
  <si>
    <t>นาง จงจิตร</t>
  </si>
  <si>
    <t>จันทวงศ์</t>
  </si>
  <si>
    <t>นาย เกียรติศักดิ์</t>
  </si>
  <si>
    <t>จันทร์สิงห์</t>
  </si>
  <si>
    <t>ราชนา</t>
  </si>
  <si>
    <t>นาง พรพิมล</t>
  </si>
  <si>
    <t>นาง หนูพิศ</t>
  </si>
  <si>
    <t>วรเชษฐ์</t>
  </si>
  <si>
    <t>กัณหาบัว</t>
  </si>
  <si>
    <t xml:space="preserve">นาย กฤษดา </t>
  </si>
  <si>
    <t>ทุกขนิโรธ</t>
  </si>
  <si>
    <t>นาย ประชามิตร</t>
  </si>
  <si>
    <t>เกษตรเวทิน</t>
  </si>
  <si>
    <t>นาง สุดสวาท</t>
  </si>
  <si>
    <t>สารรัตน์</t>
  </si>
  <si>
    <t>ศรีจรูญ</t>
  </si>
  <si>
    <t>หัดชุมพล</t>
  </si>
  <si>
    <t>นาย สาระนันท์</t>
  </si>
  <si>
    <t>ไชยสายัณห์</t>
  </si>
  <si>
    <t>โสภา</t>
  </si>
  <si>
    <t>นาย อภิชัย</t>
  </si>
  <si>
    <t>จันทศรี</t>
  </si>
  <si>
    <t>พลวิเศษ</t>
  </si>
  <si>
    <t>นาย หิรัญ</t>
  </si>
  <si>
    <t>ชนาวิรัตน์</t>
  </si>
  <si>
    <t>นาย กำชัย</t>
  </si>
  <si>
    <t>พิริยะกุล</t>
  </si>
  <si>
    <t>นาง หล่ำ</t>
  </si>
  <si>
    <t>ช่างทอง</t>
  </si>
  <si>
    <t>นาง วิชิราภรณ์</t>
  </si>
  <si>
    <t>สืบสำราญ</t>
  </si>
  <si>
    <t>นางสาว ดรุณี</t>
  </si>
  <si>
    <t>ฮาดระวัง</t>
  </si>
  <si>
    <t>ลอกไธสง</t>
  </si>
  <si>
    <t>นาย สันทัด</t>
  </si>
  <si>
    <t>พิมพ์ภักดี</t>
  </si>
  <si>
    <t>จันมา</t>
  </si>
  <si>
    <t>นาย เสริม</t>
  </si>
  <si>
    <t>สายยงค์</t>
  </si>
  <si>
    <t>นาง สมกุล</t>
  </si>
  <si>
    <t>วัฒกวณิชย์</t>
  </si>
  <si>
    <t>นาย อุดมศิลป์</t>
  </si>
  <si>
    <t>อรรคษร</t>
  </si>
  <si>
    <t>นาย วุฒิศักดิ์</t>
  </si>
  <si>
    <t>พลพินิจ</t>
  </si>
  <si>
    <t>เทพจิตร</t>
  </si>
  <si>
    <t>นาย เสรีภาพ</t>
  </si>
  <si>
    <t>ธาดา</t>
  </si>
  <si>
    <t>นาย ศิระ</t>
  </si>
  <si>
    <t>ศุภเอม</t>
  </si>
  <si>
    <t>นาย วีรภัทร</t>
  </si>
  <si>
    <t>มีทองหลาง</t>
  </si>
  <si>
    <t>บึงไกร</t>
  </si>
  <si>
    <t>ไกยวงษ์</t>
  </si>
  <si>
    <t>นาย เอกวุฒิ</t>
  </si>
  <si>
    <t>พรหมรศ</t>
  </si>
  <si>
    <t>นาย ทองดาว</t>
  </si>
  <si>
    <t>บุญภา</t>
  </si>
  <si>
    <t>แสนเย็น</t>
  </si>
  <si>
    <t>นาย บุญเกิด</t>
  </si>
  <si>
    <t>บุตราช</t>
  </si>
  <si>
    <t>นาย บุญทัน</t>
  </si>
  <si>
    <t>ฮาดชัย</t>
  </si>
  <si>
    <t>อัคนิจ</t>
  </si>
  <si>
    <t>นาง อนุลักษณ์</t>
  </si>
  <si>
    <t>วงศ์หมากเห็บ</t>
  </si>
  <si>
    <t>ผิวคร้าม</t>
  </si>
  <si>
    <t>นาย สุดปิติ</t>
  </si>
  <si>
    <t xml:space="preserve">เหียงมณี </t>
  </si>
  <si>
    <t>นาง ยอดขวัญ</t>
  </si>
  <si>
    <t>สามะ</t>
  </si>
  <si>
    <t>แสงอ่อน</t>
  </si>
  <si>
    <t xml:space="preserve">นางสาว ฤทัยกานต์ </t>
  </si>
  <si>
    <t xml:space="preserve">แผ้วชำนาญ </t>
  </si>
  <si>
    <t>ธิถา</t>
  </si>
  <si>
    <t>นาง สุภิญญา</t>
  </si>
  <si>
    <t>พงษ์คำพันธ์</t>
  </si>
  <si>
    <t>เพ็ชรรัตน์</t>
  </si>
  <si>
    <t xml:space="preserve">นางสาว ปวีณญา </t>
  </si>
  <si>
    <t>สุขปัน</t>
  </si>
  <si>
    <t>นางสาว ปิยะรัตน์</t>
  </si>
  <si>
    <t>วงษ์ชาลี</t>
  </si>
  <si>
    <t>นางสาว สุนันทา</t>
  </si>
  <si>
    <t>หมื่นแก้วณภา</t>
  </si>
  <si>
    <t>สำเร็จรัมย์</t>
  </si>
  <si>
    <t>นางสาว กมลภา</t>
  </si>
  <si>
    <t>ดีพาชู</t>
  </si>
  <si>
    <t xml:space="preserve">นางสาว รวีวรรณ </t>
  </si>
  <si>
    <t xml:space="preserve">โคนาบาล </t>
  </si>
  <si>
    <t>นางสาว ลักขณา</t>
  </si>
  <si>
    <t>เมืองแวง</t>
  </si>
  <si>
    <t xml:space="preserve">นางสาว ยุภารัตน์ </t>
  </si>
  <si>
    <t xml:space="preserve">พนมพรม </t>
  </si>
  <si>
    <t xml:space="preserve">นางสาว ยุวรัตน์ </t>
  </si>
  <si>
    <t>บุญเกษม</t>
  </si>
  <si>
    <t xml:space="preserve">นางสาว กนิษฐา </t>
  </si>
  <si>
    <t>ชาลีเปลี่ยม</t>
  </si>
  <si>
    <t>อินอิ่ม</t>
  </si>
  <si>
    <t>นาง จันจิรา</t>
  </si>
  <si>
    <t>สายรอด</t>
  </si>
  <si>
    <t xml:space="preserve">นางสาว นภาพร </t>
  </si>
  <si>
    <t xml:space="preserve">ทองศรี </t>
  </si>
  <si>
    <t>กันภัย</t>
  </si>
  <si>
    <t xml:space="preserve">นาย ปรเมศน์ </t>
  </si>
  <si>
    <t>ศรีทนสา</t>
  </si>
  <si>
    <t xml:space="preserve">นาย อลงกรณ์ </t>
  </si>
  <si>
    <t xml:space="preserve">แก่นจันทร์ </t>
  </si>
  <si>
    <t xml:space="preserve">นาย อุเทน </t>
  </si>
  <si>
    <t xml:space="preserve">จันทาศรี </t>
  </si>
  <si>
    <t>นาง ศิริพร</t>
  </si>
  <si>
    <t>นาง เกื้อกูล</t>
  </si>
  <si>
    <t>คำไอ่</t>
  </si>
  <si>
    <t>แพงอ่อน</t>
  </si>
  <si>
    <t>นาย พรสัมฤทธิ์</t>
  </si>
  <si>
    <t>ทองกอง</t>
  </si>
  <si>
    <t>นาย บัญญัติ</t>
  </si>
  <si>
    <t>บุตรจ้อม</t>
  </si>
  <si>
    <t>สีหงอก</t>
  </si>
  <si>
    <t>นาย กำจัด</t>
  </si>
  <si>
    <t>ศรเสนา</t>
  </si>
  <si>
    <t>ทองป้อง</t>
  </si>
  <si>
    <t>นาง กิติยา</t>
  </si>
  <si>
    <t>วัฒนวิมลภิญโญ</t>
  </si>
  <si>
    <t>นาง สมปรารถนา</t>
  </si>
  <si>
    <t xml:space="preserve">ยืนยาว </t>
  </si>
  <si>
    <t>จตุรบูรณ์</t>
  </si>
  <si>
    <t>สมัตถะ</t>
  </si>
  <si>
    <t>นาย ภูมิศักดิ์</t>
  </si>
  <si>
    <t>เจริญทรัพย์</t>
  </si>
  <si>
    <t>นาย นาด</t>
  </si>
  <si>
    <t>สนิทลุน</t>
  </si>
  <si>
    <t>นาย พนมศักดิ์</t>
  </si>
  <si>
    <t>เฮ้าประมง</t>
  </si>
  <si>
    <t>นาง นิศานาถ</t>
  </si>
  <si>
    <t>คำกุณา</t>
  </si>
  <si>
    <t>นาง มณี</t>
  </si>
  <si>
    <t>ปภุสโร</t>
  </si>
  <si>
    <t>นาง นารีนาถ</t>
  </si>
  <si>
    <t>วิชัยวงษ์</t>
  </si>
  <si>
    <t>ศรีสงเคราะห์</t>
  </si>
  <si>
    <t>นาย อุบล</t>
  </si>
  <si>
    <t>สุพร</t>
  </si>
  <si>
    <t>นาง ธัญญรัตน์</t>
  </si>
  <si>
    <t>ทีสุกะ</t>
  </si>
  <si>
    <t>ชัชวัชวิมล</t>
  </si>
  <si>
    <t>นาย ขัญติภาณ</t>
  </si>
  <si>
    <t>ศรีใส</t>
  </si>
  <si>
    <t>นาย ทรงศักดิ์</t>
  </si>
  <si>
    <t>ศักดิ์แสงวิรัต</t>
  </si>
  <si>
    <t>นาย ลำดวน</t>
  </si>
  <si>
    <t>สีหานู</t>
  </si>
  <si>
    <t>ปลายชัยภูมิ</t>
  </si>
  <si>
    <t>นาย จำรัส</t>
  </si>
  <si>
    <t>แพนพา</t>
  </si>
  <si>
    <t>สุภาเส</t>
  </si>
  <si>
    <t>นาง ประกาย</t>
  </si>
  <si>
    <t>ศรีตาแสน</t>
  </si>
  <si>
    <t>นาง ดวงจินตน์</t>
  </si>
  <si>
    <t>เอระน้อย</t>
  </si>
  <si>
    <t>ตุ้มทอง</t>
  </si>
  <si>
    <t>นาง บุญเรือง</t>
  </si>
  <si>
    <t>ศรีเชียงสา</t>
  </si>
  <si>
    <t>ย่องเหล่ายูง</t>
  </si>
  <si>
    <t>แก่นบุดดี</t>
  </si>
  <si>
    <t>สอนถม</t>
  </si>
  <si>
    <t>นาย อำพร</t>
  </si>
  <si>
    <t>พรรคทิง</t>
  </si>
  <si>
    <t>พยอม</t>
  </si>
  <si>
    <t>นาง สมนึก</t>
  </si>
  <si>
    <t>ด่านซ้าย</t>
  </si>
  <si>
    <t>รักษาพงศ์</t>
  </si>
  <si>
    <t>วรรณสิทธิ์</t>
  </si>
  <si>
    <t>อาจยาทา</t>
  </si>
  <si>
    <t>นาย ประยูรภัทร์</t>
  </si>
  <si>
    <t>ศรีศักดิ์นอก</t>
  </si>
  <si>
    <t>นาง สุภาวดี</t>
  </si>
  <si>
    <t>ชำนิงาน</t>
  </si>
  <si>
    <t>นาย ชุมพล</t>
  </si>
  <si>
    <t>บุญวิเศษ</t>
  </si>
  <si>
    <t>นาย มาฆะ</t>
  </si>
  <si>
    <t>จุ้ยพุทธา</t>
  </si>
  <si>
    <t>นาย สุนันทา</t>
  </si>
  <si>
    <t>โรจนชาลี</t>
  </si>
  <si>
    <t>นาง ธิดารัตน์</t>
  </si>
  <si>
    <t>เพ็งคำศรี</t>
  </si>
  <si>
    <t>นาย เดชา</t>
  </si>
  <si>
    <t>นางสาว กฤตยาภรณ์</t>
  </si>
  <si>
    <t>สำราญพัฒน์</t>
  </si>
  <si>
    <t>นาง เสงี่ยม</t>
  </si>
  <si>
    <t>เกษแก้ว</t>
  </si>
  <si>
    <t>นาย พงศธร</t>
  </si>
  <si>
    <t>เสิกภูเขียว</t>
  </si>
  <si>
    <t>นางสาว ธัญญลักษณ์</t>
  </si>
  <si>
    <t>พลีพูล</t>
  </si>
  <si>
    <t>นาย สอิสร์</t>
  </si>
  <si>
    <t>โบราณ</t>
  </si>
  <si>
    <t>นางสาว นภาภรณ์</t>
  </si>
  <si>
    <t>คุณธะรักษ์</t>
  </si>
  <si>
    <t>นางสาว ดวงกมล</t>
  </si>
  <si>
    <t>อภิรัตนวงศ์</t>
  </si>
  <si>
    <t>นางสาว กนกอร</t>
  </si>
  <si>
    <t>สายมณี</t>
  </si>
  <si>
    <t>กิจบุญชู</t>
  </si>
  <si>
    <t>นาง โสมฉาย</t>
  </si>
  <si>
    <t>จุ่นหัวโทน</t>
  </si>
  <si>
    <t>นาย ภานุศักดิ์</t>
  </si>
  <si>
    <t>จิตแสง</t>
  </si>
  <si>
    <t>นางสาว พรทิพย์</t>
  </si>
  <si>
    <t>พุทธชาติ</t>
  </si>
  <si>
    <t>นางสาว นันทภรณ์</t>
  </si>
  <si>
    <t>สะภา</t>
  </si>
  <si>
    <t>นางสาว พวงมาลัย</t>
  </si>
  <si>
    <t>ทองไชย์</t>
  </si>
  <si>
    <t>นาย มนวัฒน์</t>
  </si>
  <si>
    <t>บุณยพรหม</t>
  </si>
  <si>
    <t>นาง จารุวรรณ์</t>
  </si>
  <si>
    <t>บุญนำพา</t>
  </si>
  <si>
    <t>นางสาว พนอศรี</t>
  </si>
  <si>
    <t>ศรีวิโรจน์</t>
  </si>
  <si>
    <t>ศิริโชติ</t>
  </si>
  <si>
    <t>นาย ดบัสวิน</t>
  </si>
  <si>
    <t>เวียงนนท์</t>
  </si>
  <si>
    <t xml:space="preserve">นาย มานนท์ </t>
  </si>
  <si>
    <t xml:space="preserve">พันนา </t>
  </si>
  <si>
    <t xml:space="preserve">นางสาว บุพกร </t>
  </si>
  <si>
    <t xml:space="preserve">ธรรมโคตร </t>
  </si>
  <si>
    <t xml:space="preserve">นาย มานิต </t>
  </si>
  <si>
    <t xml:space="preserve">ชุ่มนาเสียว </t>
  </si>
  <si>
    <t xml:space="preserve">นางสาว แสงเดือน </t>
  </si>
  <si>
    <t xml:space="preserve">ศรีสุพัฒน์ </t>
  </si>
  <si>
    <t xml:space="preserve">นางสาว นิภาภรณ์ </t>
  </si>
  <si>
    <t>ดู่ป้อง</t>
  </si>
  <si>
    <t>นางสาว ศุภสุตา</t>
  </si>
  <si>
    <t>พรมนอก</t>
  </si>
  <si>
    <t xml:space="preserve">นางสาว ปราณี </t>
  </si>
  <si>
    <t>กองเกิด</t>
  </si>
  <si>
    <t xml:space="preserve">นาง อนงค์พรรณ </t>
  </si>
  <si>
    <t>มีเทพ</t>
  </si>
  <si>
    <t>ภักดีไทย</t>
  </si>
  <si>
    <t xml:space="preserve">เอกกาญจน์ชนะกุล </t>
  </si>
  <si>
    <t>นาย ลิขสิทธิ์</t>
  </si>
  <si>
    <t>กฤษณะกาฬ</t>
  </si>
  <si>
    <t>นาย ชัชวาลย์</t>
  </si>
  <si>
    <t>ทุมแถว</t>
  </si>
  <si>
    <t>หล้าดวงดี</t>
  </si>
  <si>
    <t>นาย พิสิทธิ์</t>
  </si>
  <si>
    <t>ประทุมชาติ</t>
  </si>
  <si>
    <t>นิตย์สุวรรณ</t>
  </si>
  <si>
    <t xml:space="preserve">นางสาว วรารัตน์ </t>
  </si>
  <si>
    <t xml:space="preserve">สุดชา </t>
  </si>
  <si>
    <t xml:space="preserve">นางสาว พรรณทิพา </t>
  </si>
  <si>
    <t>ทองคำเปลว</t>
  </si>
  <si>
    <t xml:space="preserve">นางสาว พัชยา </t>
  </si>
  <si>
    <t xml:space="preserve">แดนสีแก้ว </t>
  </si>
  <si>
    <t>แก้วนาค</t>
  </si>
  <si>
    <t>นางสาว วรัญชลี</t>
  </si>
  <si>
    <t>ทองสารไตร</t>
  </si>
  <si>
    <t xml:space="preserve">นาย ฉัตรชัย </t>
  </si>
  <si>
    <t xml:space="preserve">วงค์ราษฏร์ </t>
  </si>
  <si>
    <t xml:space="preserve">นาย วันชัย </t>
  </si>
  <si>
    <t xml:space="preserve">บาทชารี </t>
  </si>
  <si>
    <t xml:space="preserve">โบราณ </t>
  </si>
  <si>
    <t xml:space="preserve">นางสาว เจียรนัย </t>
  </si>
  <si>
    <t xml:space="preserve">ธรรมดา </t>
  </si>
  <si>
    <t xml:space="preserve">นาง บุตรดี </t>
  </si>
  <si>
    <t>สิงห์คร</t>
  </si>
  <si>
    <t xml:space="preserve">นางสาว พัชรินทร์ </t>
  </si>
  <si>
    <t>ทุมแก้ว</t>
  </si>
  <si>
    <t xml:space="preserve">นางสาว รุจิรา </t>
  </si>
  <si>
    <t xml:space="preserve">พรมชินวงค์ </t>
  </si>
  <si>
    <t xml:space="preserve">ฝัดวิเศษ </t>
  </si>
  <si>
    <t>นางสาว สุดารัตน์</t>
  </si>
  <si>
    <t>ปัตตาเน</t>
  </si>
  <si>
    <t xml:space="preserve">นาย สว่างชัย </t>
  </si>
  <si>
    <t xml:space="preserve">มุขเชิด </t>
  </si>
  <si>
    <t xml:space="preserve">นางสาว ปรีดา </t>
  </si>
  <si>
    <t xml:space="preserve">ยาจิตร </t>
  </si>
  <si>
    <t xml:space="preserve">นางสาว อารีรัตน์ </t>
  </si>
  <si>
    <t xml:space="preserve">นางสาว แก้วกัลยา </t>
  </si>
  <si>
    <t xml:space="preserve">ขวัญพรม </t>
  </si>
  <si>
    <t xml:space="preserve">สุจริต </t>
  </si>
  <si>
    <t>นางสาว ธันยพร</t>
  </si>
  <si>
    <t>นาบุต</t>
  </si>
  <si>
    <t>นาย ปาล์มมิตร</t>
  </si>
  <si>
    <t>เชื้อหมอดู</t>
  </si>
  <si>
    <t>นางสาว เพชรพริ้ง</t>
  </si>
  <si>
    <t>แพงคำรักษ์</t>
  </si>
  <si>
    <t>นางสาว รัชดาภรณ์</t>
  </si>
  <si>
    <t>โพธิ์พาด</t>
  </si>
  <si>
    <t xml:space="preserve">นางสาว พรประภา </t>
  </si>
  <si>
    <t>โอดพิมพ์</t>
  </si>
  <si>
    <t xml:space="preserve">นาง วารุภา </t>
  </si>
  <si>
    <t>พรมทา</t>
  </si>
  <si>
    <t xml:space="preserve">นาย นิติพงศ์ </t>
  </si>
  <si>
    <t>ประภาการ</t>
  </si>
  <si>
    <t>นาง ณัฐรดา</t>
  </si>
  <si>
    <t xml:space="preserve">แก้วแสนชัย </t>
  </si>
  <si>
    <t>นาย ทรงวุฒิ</t>
  </si>
  <si>
    <t>เกาะสมบัติ</t>
  </si>
  <si>
    <t>นางสาว แสนน้ำผึ้ง</t>
  </si>
  <si>
    <t>สมท้าว</t>
  </si>
  <si>
    <t>นาง พิทยาพร</t>
  </si>
  <si>
    <t>น้อยเนาลา</t>
  </si>
  <si>
    <t xml:space="preserve">นางสาว อัญรินทร์ </t>
  </si>
  <si>
    <t xml:space="preserve">พิมพ์อิทธิภัทร </t>
  </si>
  <si>
    <t>นางสาว ดาราพร</t>
  </si>
  <si>
    <t>สุราชวงศ์</t>
  </si>
  <si>
    <t>นาง วราภรณ์</t>
  </si>
  <si>
    <t>งามวงศ์</t>
  </si>
  <si>
    <t>นาง วศินาฎ</t>
  </si>
  <si>
    <t>ทองบุดดี</t>
  </si>
  <si>
    <t>นาง ธัญนิชา</t>
  </si>
  <si>
    <t>ตุ้มทองกุลธร</t>
  </si>
  <si>
    <t>ผาบจันดา</t>
  </si>
  <si>
    <t xml:space="preserve">นางสาว วิไลวรรณ </t>
  </si>
  <si>
    <t>ถานอาดนา</t>
  </si>
  <si>
    <t xml:space="preserve">นาย กิตติกร </t>
  </si>
  <si>
    <t>ไชยเดช</t>
  </si>
  <si>
    <t xml:space="preserve">สุวิชา </t>
  </si>
  <si>
    <t>เรือนจันทร์</t>
  </si>
  <si>
    <t>นาย จักรพงศ์</t>
  </si>
  <si>
    <t>มานะดี</t>
  </si>
  <si>
    <t xml:space="preserve">นาย นพพร </t>
  </si>
  <si>
    <t>นาพันธุ์เริบ</t>
  </si>
  <si>
    <t xml:space="preserve">นางสาว อัคควดี </t>
  </si>
  <si>
    <t xml:space="preserve">กั้วศรี </t>
  </si>
  <si>
    <t>นางสาว พศิตา</t>
  </si>
  <si>
    <t>พิลาโสภา</t>
  </si>
  <si>
    <t>กุลเลียบ</t>
  </si>
  <si>
    <t>นาย จิรเดช</t>
  </si>
  <si>
    <t>พรหมบุญตา</t>
  </si>
  <si>
    <t xml:space="preserve">นาย ศรายุทธ์ </t>
  </si>
  <si>
    <t xml:space="preserve">สมประสงค์ </t>
  </si>
  <si>
    <t>คำลอย</t>
  </si>
  <si>
    <t>คิมสนิท</t>
  </si>
  <si>
    <t xml:space="preserve">นางสาว ธัญลักษณ์ </t>
  </si>
  <si>
    <t>ธีระพรกิตติกุล</t>
  </si>
  <si>
    <t>ปัดทุม</t>
  </si>
  <si>
    <t>ธีระบุญชัยกุล</t>
  </si>
  <si>
    <t>นางสาว สายใจ</t>
  </si>
  <si>
    <t>บึงไกล</t>
  </si>
  <si>
    <t xml:space="preserve">นาย วิสุทธิ์ </t>
  </si>
  <si>
    <t xml:space="preserve">ธีระวิภานนท์กุล </t>
  </si>
  <si>
    <t>นาย สุรวุฒิ</t>
  </si>
  <si>
    <t>รัศมีพันธ์</t>
  </si>
  <si>
    <t>นาง ปวีย์ภัทร์</t>
  </si>
  <si>
    <t>สถิตรัชตสถาพร</t>
  </si>
  <si>
    <t>ไพศาลธรรม</t>
  </si>
  <si>
    <t>นาง ลักขณา</t>
  </si>
  <si>
    <t>พรหมหาราช</t>
  </si>
  <si>
    <t>ขาวกุญชร</t>
  </si>
  <si>
    <t>นาย ฉัตรชัย</t>
  </si>
  <si>
    <t>สิทธิหาโคตร</t>
  </si>
  <si>
    <t>นางสาว เกศณี</t>
  </si>
  <si>
    <t>เถื่อนบัวระบัติ</t>
  </si>
  <si>
    <t>ทองเวียง</t>
  </si>
  <si>
    <t>นางสาว บันดิษฐ</t>
  </si>
  <si>
    <t>ใสโศก</t>
  </si>
  <si>
    <t>นาง นิกูล</t>
  </si>
  <si>
    <t>ทองดี</t>
  </si>
  <si>
    <t>นาง วรนุช</t>
  </si>
  <si>
    <t>บูรภักดิ์</t>
  </si>
  <si>
    <t>นางสาว จีระนันท์</t>
  </si>
  <si>
    <t>พุทธสอน</t>
  </si>
  <si>
    <t>นางสาว เหมวดี</t>
  </si>
  <si>
    <t>กระจ่างกลาง</t>
  </si>
  <si>
    <t>นางสาว ณัฐชา</t>
  </si>
  <si>
    <t>ท้าวนิล</t>
  </si>
  <si>
    <t>นาง สุมลฑา</t>
  </si>
  <si>
    <t>ไชยมีสุข</t>
  </si>
  <si>
    <t>นาย กวีพล</t>
  </si>
  <si>
    <t>เผือกขำ</t>
  </si>
  <si>
    <t xml:space="preserve">นาย ทวิช </t>
  </si>
  <si>
    <t>อึ้งโชตินิรันดร์</t>
  </si>
  <si>
    <t xml:space="preserve">นางสาว ภคมนพรรณ </t>
  </si>
  <si>
    <t xml:space="preserve">ชุมผาง </t>
  </si>
  <si>
    <t>นาย มารุต</t>
  </si>
  <si>
    <t>โจมแก้ว</t>
  </si>
  <si>
    <t>นางสาว ยุวดี</t>
  </si>
  <si>
    <t>จะมีพันธ์</t>
  </si>
  <si>
    <t>อินทรายศ</t>
  </si>
  <si>
    <t>นางสาว ฐาปนี</t>
  </si>
  <si>
    <t xml:space="preserve">เฉลิมพงษ์ </t>
  </si>
  <si>
    <t>นาย สุทธินัย</t>
  </si>
  <si>
    <t>จันทะสอน</t>
  </si>
  <si>
    <t>นาย เรืองยุทธ์</t>
  </si>
  <si>
    <t>แก้วบ่อ</t>
  </si>
  <si>
    <t xml:space="preserve">นาย ศุภสิทธิ์ </t>
  </si>
  <si>
    <t xml:space="preserve">ศรีกันหา </t>
  </si>
  <si>
    <t xml:space="preserve">นาย รัชชาติ </t>
  </si>
  <si>
    <t>ใบกว้าง</t>
  </si>
  <si>
    <t>นูเร</t>
  </si>
  <si>
    <t xml:space="preserve">นางสาว กฤตญกร </t>
  </si>
  <si>
    <t>อยู่โสนะ</t>
  </si>
  <si>
    <t>เศษโม้</t>
  </si>
  <si>
    <t>คามวุฒิ</t>
  </si>
  <si>
    <t>นาย นพวิชญ์</t>
  </si>
  <si>
    <t>คำขะ</t>
  </si>
  <si>
    <t>นาย เสงี่ยม</t>
  </si>
  <si>
    <t>กอนไธสง</t>
  </si>
  <si>
    <t xml:space="preserve">โคตรทอง </t>
  </si>
  <si>
    <t xml:space="preserve">นางสาว ทิพยวรรณ </t>
  </si>
  <si>
    <t xml:space="preserve">มูลตรีภักดี </t>
  </si>
  <si>
    <t>สร้อยสน</t>
  </si>
  <si>
    <t>นางสาว เจิมขวัญ</t>
  </si>
  <si>
    <t>วรยศ</t>
  </si>
  <si>
    <t>นางสาว ปิยะวรรณ</t>
  </si>
  <si>
    <t>เผ่าพันธุ์</t>
  </si>
  <si>
    <t>แสนโภชน์</t>
  </si>
  <si>
    <t>นาย เกียรติพงษ์</t>
  </si>
  <si>
    <t>โคตรแสนลี</t>
  </si>
  <si>
    <t>นาย สมัย</t>
  </si>
  <si>
    <t>ไชยเกตุ</t>
  </si>
  <si>
    <t>หัวไผ่</t>
  </si>
  <si>
    <t xml:space="preserve">นางสาว ทัศวรรณ </t>
  </si>
  <si>
    <t xml:space="preserve">ศรีวะอุไร </t>
  </si>
  <si>
    <t>นางสาว ดารุณีย์</t>
  </si>
  <si>
    <t>เพิ่มอุดมวัฒนา</t>
  </si>
  <si>
    <t>นาย เอกรัตน์</t>
  </si>
  <si>
    <t>สัชฌุกร</t>
  </si>
  <si>
    <t>นางสาว ปภาวรินท์</t>
  </si>
  <si>
    <t>สินแสง</t>
  </si>
  <si>
    <t>นาย พัฒนพงษ์</t>
  </si>
  <si>
    <t>แก้ววังชัย</t>
  </si>
  <si>
    <t>นางสาว ณัฐกาล</t>
  </si>
  <si>
    <t>ฉันทะกิจ</t>
  </si>
  <si>
    <t>นางสาว พัชรินทร์</t>
  </si>
  <si>
    <t>เกษขจร</t>
  </si>
  <si>
    <t>นาย เจิดพงศ์</t>
  </si>
  <si>
    <t>ชมภูรัตน์</t>
  </si>
  <si>
    <t>ศรีชนะ</t>
  </si>
  <si>
    <t>นรินทร์</t>
  </si>
  <si>
    <t>นาย จินดา</t>
  </si>
  <si>
    <t>ช่วยแท่น</t>
  </si>
  <si>
    <t>นาย สุจาพรรณ</t>
  </si>
  <si>
    <t>บรรจงกิจ</t>
  </si>
  <si>
    <t>นาย ราชิต</t>
  </si>
  <si>
    <t>แป้นสุข</t>
  </si>
  <si>
    <t>นาย ธนเดช</t>
  </si>
  <si>
    <t>สมศรีเดชา</t>
  </si>
  <si>
    <t>สหายสุข</t>
  </si>
  <si>
    <t>นาย ศุภกร</t>
  </si>
  <si>
    <t>มานะพรหม</t>
  </si>
  <si>
    <t>ทับทิมทอง</t>
  </si>
  <si>
    <t>เจริญโพธิ์</t>
  </si>
  <si>
    <t>นาง วรรณสมร</t>
  </si>
  <si>
    <t>ไชยบุรุษ</t>
  </si>
  <si>
    <t>นาย กฤษกร</t>
  </si>
  <si>
    <t>รัตนอุดม</t>
  </si>
  <si>
    <t>นาย ถนอม</t>
  </si>
  <si>
    <t>โพธิกิจ</t>
  </si>
  <si>
    <t>นาย พีรพงศ์</t>
  </si>
  <si>
    <t>สมพันธ์</t>
  </si>
  <si>
    <t>นาง ประกายรัตน์</t>
  </si>
  <si>
    <t>บัวเฟื่อง</t>
  </si>
  <si>
    <t>นาย ธนัท</t>
  </si>
  <si>
    <t>จันทร์เกตุ</t>
  </si>
  <si>
    <t>ว่าที่ ร.ต. เมธา</t>
  </si>
  <si>
    <t>ถนอมพันธุ์</t>
  </si>
  <si>
    <t>นาย เมธี</t>
  </si>
  <si>
    <t>เพชรเลิศ</t>
  </si>
  <si>
    <t>นาย ขจิตต์</t>
  </si>
  <si>
    <t>กิจติกรณ์เทวิน</t>
  </si>
  <si>
    <t>ไทยประยูร</t>
  </si>
  <si>
    <t>พุฒสุข</t>
  </si>
  <si>
    <t>นาง ระวีพร</t>
  </si>
  <si>
    <t>นาย สุธีป</t>
  </si>
  <si>
    <t>ทองนวล</t>
  </si>
  <si>
    <t>นาง นันทา</t>
  </si>
  <si>
    <t>ห่วงดี</t>
  </si>
  <si>
    <t>นาย สัมพันธ์</t>
  </si>
  <si>
    <t>ผลพฤกษา</t>
  </si>
  <si>
    <t>นาย วิจัย</t>
  </si>
  <si>
    <t>รุ่งเรือง</t>
  </si>
  <si>
    <t>นาง พวงเล็ก</t>
  </si>
  <si>
    <t>ซ่อนกลิ่น</t>
  </si>
  <si>
    <t>นาย ชินกร</t>
  </si>
  <si>
    <t>อิ่มสมบูรณ์</t>
  </si>
  <si>
    <t>นาย พีระเดช</t>
  </si>
  <si>
    <t>สุขสวัสดิ์</t>
  </si>
  <si>
    <t>เจริญนารถ</t>
  </si>
  <si>
    <t>หันตุลา</t>
  </si>
  <si>
    <t xml:space="preserve">นาย สุเทพ </t>
  </si>
  <si>
    <t xml:space="preserve">สินชัย </t>
  </si>
  <si>
    <t xml:space="preserve">นาย วิวัฒน์ </t>
  </si>
  <si>
    <t xml:space="preserve">พูลสวัสดิ์ </t>
  </si>
  <si>
    <t>นาง นนทยา</t>
  </si>
  <si>
    <t>มากบุญ</t>
  </si>
  <si>
    <t>นาย ปราพต</t>
  </si>
  <si>
    <t>วาศนาวิน</t>
  </si>
  <si>
    <t>นางสาว ศริญญา</t>
  </si>
  <si>
    <t>ผ่องการ</t>
  </si>
  <si>
    <t xml:space="preserve">นางสาว นุชนารถ </t>
  </si>
  <si>
    <t>ตั้งประเสริฐ</t>
  </si>
  <si>
    <t xml:space="preserve">นาย จิรกิตติ์ </t>
  </si>
  <si>
    <t xml:space="preserve">ถนอมธรรม </t>
  </si>
  <si>
    <t xml:space="preserve">นางสาว สิริมนต์ </t>
  </si>
  <si>
    <t xml:space="preserve">การเขตร์ </t>
  </si>
  <si>
    <t>นามวงษ์</t>
  </si>
  <si>
    <t>นาย ปิยะ</t>
  </si>
  <si>
    <t>สมัครพงศ์</t>
  </si>
  <si>
    <t>สิทธิโชค</t>
  </si>
  <si>
    <t>นาย โชคชัย</t>
  </si>
  <si>
    <t>ศิริคำ</t>
  </si>
  <si>
    <t>ป้องป้อม</t>
  </si>
  <si>
    <t>สมนึก</t>
  </si>
  <si>
    <t>นาย สนิท</t>
  </si>
  <si>
    <t>มีพืชน์</t>
  </si>
  <si>
    <t>นางสาว เสาวคนธ์</t>
  </si>
  <si>
    <t>นุสติ</t>
  </si>
  <si>
    <t>นางสาว ภิญญาพัชญ์</t>
  </si>
  <si>
    <t>แน่แท้</t>
  </si>
  <si>
    <t>นางสาว ราตรี</t>
  </si>
  <si>
    <t>เสนาะสรรพ์</t>
  </si>
  <si>
    <t>นาย อลงกต</t>
  </si>
  <si>
    <t>อุทัยธนกิจ</t>
  </si>
  <si>
    <t>นางสาว วรรณวีรา</t>
  </si>
  <si>
    <t>วัฒนศิริยานนท์</t>
  </si>
  <si>
    <t>ชาญพนา</t>
  </si>
  <si>
    <t>นาง ศันสนีย์</t>
  </si>
  <si>
    <t xml:space="preserve">แสงสุวรรณ </t>
  </si>
  <si>
    <t>นาย คณิตสิทธิ์</t>
  </si>
  <si>
    <t>บัญญวัติวิวัฒน์</t>
  </si>
  <si>
    <t>นาง ชนัญกาญจน์</t>
  </si>
  <si>
    <t xml:space="preserve">บัญญวัตวิวัฒน์ </t>
  </si>
  <si>
    <t>นางสาว มนัสนันท์</t>
  </si>
  <si>
    <t>แก้วเนตรธนวัชร์</t>
  </si>
  <si>
    <t>นาง เพ็ญทิวา</t>
  </si>
  <si>
    <t xml:space="preserve">คุณวัฒน์ </t>
  </si>
  <si>
    <t>นาย เฉลิมชล</t>
  </si>
  <si>
    <t>ช่างถม</t>
  </si>
  <si>
    <t>นางสาว อิงอร</t>
  </si>
  <si>
    <t>แสงศรีเรือง</t>
  </si>
  <si>
    <t>นางสาว ศรินยา</t>
  </si>
  <si>
    <t>คำอุด</t>
  </si>
  <si>
    <t>นางสาว ศรีสุดา</t>
  </si>
  <si>
    <t>พรมพิมพ์</t>
  </si>
  <si>
    <t>นางสาว อุทุมพร</t>
  </si>
  <si>
    <t xml:space="preserve">อนุชาติบุตร </t>
  </si>
  <si>
    <t xml:space="preserve">นาง พลีระษา </t>
  </si>
  <si>
    <t>รักจะโป๊ะ</t>
  </si>
  <si>
    <t xml:space="preserve">นางสาว คณางค์ </t>
  </si>
  <si>
    <t>สมผล</t>
  </si>
  <si>
    <t xml:space="preserve">นาย ธนศักดิ์ </t>
  </si>
  <si>
    <t xml:space="preserve">วรพันธ์ </t>
  </si>
  <si>
    <t xml:space="preserve">นางสาว สุวรรณี </t>
  </si>
  <si>
    <t xml:space="preserve">พันธุ์สรณ์ </t>
  </si>
  <si>
    <t>เทพสาร</t>
  </si>
  <si>
    <t>นางสาว แสงมณี</t>
  </si>
  <si>
    <t>เกิดพงษ์</t>
  </si>
  <si>
    <t>นาย พีรดนย์</t>
  </si>
  <si>
    <t>ฉัตรอุดมทรัพย์</t>
  </si>
  <si>
    <t>นางสาว ฐิติมา</t>
  </si>
  <si>
    <t>วัฒนศาสตร์</t>
  </si>
  <si>
    <t xml:space="preserve">นาง วรรษมาส </t>
  </si>
  <si>
    <t xml:space="preserve">แสงประทุม </t>
  </si>
  <si>
    <t xml:space="preserve">นางสาว อมรรัตน์ </t>
  </si>
  <si>
    <t>อารุณ</t>
  </si>
  <si>
    <t xml:space="preserve">นางสาว พนิตา </t>
  </si>
  <si>
    <t xml:space="preserve">ชัยสิทธิ์ </t>
  </si>
  <si>
    <t xml:space="preserve">นางสาว ศิริรัตน์  </t>
  </si>
  <si>
    <t xml:space="preserve">เวชสิทธิ์ </t>
  </si>
  <si>
    <t xml:space="preserve">นางสาว มัทนา </t>
  </si>
  <si>
    <t>คุณเอนก</t>
  </si>
  <si>
    <t xml:space="preserve">ธนวันต์ทวีโชติ </t>
  </si>
  <si>
    <t xml:space="preserve">นาย พิสุทธิ์ </t>
  </si>
  <si>
    <t xml:space="preserve">จิระกาญจนากิจ </t>
  </si>
  <si>
    <t xml:space="preserve">แสนเขียววงศ์ </t>
  </si>
  <si>
    <t xml:space="preserve">นางสาว สุมลรัตน์ </t>
  </si>
  <si>
    <t xml:space="preserve">อามะจันทร์ตรี </t>
  </si>
  <si>
    <t>ชะนะภัย</t>
  </si>
  <si>
    <t xml:space="preserve">นาง ณิศชาญา </t>
  </si>
  <si>
    <t xml:space="preserve">บุญชนัง </t>
  </si>
  <si>
    <t>นางสาว ขวัญหทัย</t>
  </si>
  <si>
    <t>ห่วงแสง</t>
  </si>
  <si>
    <t>นาย บุศย์</t>
  </si>
  <si>
    <t>คำนันท์</t>
  </si>
  <si>
    <t xml:space="preserve">นาย ธัญญ์ </t>
  </si>
  <si>
    <t xml:space="preserve">ยศชนะ </t>
  </si>
  <si>
    <t xml:space="preserve">นาย รัฐศักดิ์ </t>
  </si>
  <si>
    <t>คุณโลหิต</t>
  </si>
  <si>
    <t xml:space="preserve">นางสาว อรวรรณ </t>
  </si>
  <si>
    <t xml:space="preserve">ศิริเอนก </t>
  </si>
  <si>
    <t>นางสาว ณัชชา</t>
  </si>
  <si>
    <t>ลอยแก้ว</t>
  </si>
  <si>
    <t>นาย สิทธิศักดิ์</t>
  </si>
  <si>
    <t>นางสาว ศิริรัตน์</t>
  </si>
  <si>
    <t>จังอินทร์</t>
  </si>
  <si>
    <t xml:space="preserve">นางสาว ภักดีพร </t>
  </si>
  <si>
    <t xml:space="preserve">ธรรมภักดี </t>
  </si>
  <si>
    <t xml:space="preserve">นาง สุภาสิตา </t>
  </si>
  <si>
    <t>มะโนใจ</t>
  </si>
  <si>
    <t>นางสาว รพีพร</t>
  </si>
  <si>
    <t>เพ็งผจญ</t>
  </si>
  <si>
    <t xml:space="preserve">นาย อภิเชษฐ </t>
  </si>
  <si>
    <t xml:space="preserve">หมื่นอร่าม </t>
  </si>
  <si>
    <t xml:space="preserve">นางสาว ณิชศิภา </t>
  </si>
  <si>
    <t xml:space="preserve">ชาวนาฟาง </t>
  </si>
  <si>
    <t>นางสาว สุลาวรรณ</t>
  </si>
  <si>
    <t>ชัยพรหม</t>
  </si>
  <si>
    <t>นาย ชยุทกฤดิ</t>
  </si>
  <si>
    <t xml:space="preserve">นาย สาโรจน์ </t>
  </si>
  <si>
    <t xml:space="preserve">ถันจันทร์ </t>
  </si>
  <si>
    <t xml:space="preserve">บูรณธนานุกิจ </t>
  </si>
  <si>
    <t>นางสาว เจือจันทร์</t>
  </si>
  <si>
    <t>ด้วงนาค</t>
  </si>
  <si>
    <t>นาง แสงอรุณ</t>
  </si>
  <si>
    <t>สุยจิว</t>
  </si>
  <si>
    <t>นาย วุฒิกร</t>
  </si>
  <si>
    <t>ศรีตนชัย</t>
  </si>
  <si>
    <t>ซิ้มพานิช</t>
  </si>
  <si>
    <t>นาย อภิชาต</t>
  </si>
  <si>
    <t>กาญจนโอภาส</t>
  </si>
  <si>
    <t>นาย อำพล</t>
  </si>
  <si>
    <t>นาง ชไมมาศ</t>
  </si>
  <si>
    <t>จันทร์พัฒน์</t>
  </si>
  <si>
    <t>นาย ณัฐกิตติ์</t>
  </si>
  <si>
    <t>นาง กรรณิการ์</t>
  </si>
  <si>
    <t>ประดิษฐ์ศิลปกุล</t>
  </si>
  <si>
    <t>ริ้วทอง</t>
  </si>
  <si>
    <t>นาย สิวชาติ</t>
  </si>
  <si>
    <t>แก้วมณี</t>
  </si>
  <si>
    <t>บูรณะภักดี</t>
  </si>
  <si>
    <t>โลหะศรี</t>
  </si>
  <si>
    <t>นาย ชัด</t>
  </si>
  <si>
    <t>หนูเหมือน</t>
  </si>
  <si>
    <t>นาง พิณธี</t>
  </si>
  <si>
    <t>นางสาว บุญลือ</t>
  </si>
  <si>
    <t>ยะระสิทธิ์</t>
  </si>
  <si>
    <t>นาย ชัยรัตน์</t>
  </si>
  <si>
    <t>ธนยากร</t>
  </si>
  <si>
    <t>พิบูลย์</t>
  </si>
  <si>
    <t>นาย ชูเกียรติ</t>
  </si>
  <si>
    <t>นาย เรืองยศ</t>
  </si>
  <si>
    <t>นาง ณัฐญามน</t>
  </si>
  <si>
    <t>กาญจนะ</t>
  </si>
  <si>
    <t>พ่วงวงษ์</t>
  </si>
  <si>
    <t>เคลือบสำราญ</t>
  </si>
  <si>
    <t>เชิดชูงาม</t>
  </si>
  <si>
    <t>นาย ไชยวัฒน์</t>
  </si>
  <si>
    <t>พรมแสง</t>
  </si>
  <si>
    <t>นาย เรวัต</t>
  </si>
  <si>
    <t>วงศ์แสงเอี่ยม</t>
  </si>
  <si>
    <t>นาง เครือวัลย์</t>
  </si>
  <si>
    <t>พิพิธจันทร์</t>
  </si>
  <si>
    <t>ศรีเจริญ</t>
  </si>
  <si>
    <t>เกษณียบุตร</t>
  </si>
  <si>
    <t>นาย พิษณุ</t>
  </si>
  <si>
    <t>เทพลิบ</t>
  </si>
  <si>
    <t>นาย เชาว์</t>
  </si>
  <si>
    <t>พินอุไร</t>
  </si>
  <si>
    <t>เชยบาล</t>
  </si>
  <si>
    <t>นาย คนึง</t>
  </si>
  <si>
    <t>กลับกลาย</t>
  </si>
  <si>
    <t>หมีรักษา</t>
  </si>
  <si>
    <t>คณะวรรณ</t>
  </si>
  <si>
    <t>ศิริวัฒนโยธิน</t>
  </si>
  <si>
    <t>นาย วิรัต</t>
  </si>
  <si>
    <t>ตันศรี</t>
  </si>
  <si>
    <t>พ้นชั่ว</t>
  </si>
  <si>
    <t>สายพนัส</t>
  </si>
  <si>
    <t>นาย ศักดิ์ชัย</t>
  </si>
  <si>
    <t>ศรีสุวรรณ</t>
  </si>
  <si>
    <t>นาย สุพิศ</t>
  </si>
  <si>
    <t>ตรีพลอักษร</t>
  </si>
  <si>
    <t>ตันเส็ง</t>
  </si>
  <si>
    <t>เกิดขาว</t>
  </si>
  <si>
    <t>นาง รัตนา</t>
  </si>
  <si>
    <t>รังสิโย</t>
  </si>
  <si>
    <t>นางสาว รุ่งฤดี</t>
  </si>
  <si>
    <t>กัณฐโรจน์</t>
  </si>
  <si>
    <t>เทศโหมด</t>
  </si>
  <si>
    <t>นิโรจน์สุวรรณ</t>
  </si>
  <si>
    <t>นาย พเยาว์</t>
  </si>
  <si>
    <t>เกื้อเพชรแก้ว</t>
  </si>
  <si>
    <t xml:space="preserve">นาง ชื่นสุข </t>
  </si>
  <si>
    <t xml:space="preserve">ชัยสวัสดิ์ </t>
  </si>
  <si>
    <t xml:space="preserve">นาง จีรภรณ์ </t>
  </si>
  <si>
    <t>ประคองวงค์ศรี</t>
  </si>
  <si>
    <t>นาง นางจันทนา</t>
  </si>
  <si>
    <t>นะติกา</t>
  </si>
  <si>
    <t>นาย บรรเทิง</t>
  </si>
  <si>
    <t>ป่วนกระโทก</t>
  </si>
  <si>
    <t>เงินเจริญ</t>
  </si>
  <si>
    <t>นาย สมรัตน์</t>
  </si>
  <si>
    <t>มนทบ</t>
  </si>
  <si>
    <t>นาง ทองร่วม</t>
  </si>
  <si>
    <t>ศรีสุนทร</t>
  </si>
  <si>
    <t>นางสาว เบญจา</t>
  </si>
  <si>
    <t>คุณะศรี</t>
  </si>
  <si>
    <t>นางสาว พิมพ์ประไพ</t>
  </si>
  <si>
    <t>สันอุดร</t>
  </si>
  <si>
    <t>นาง พักตร์นดา</t>
  </si>
  <si>
    <t>จงเจริญ</t>
  </si>
  <si>
    <t xml:space="preserve">นาย วสันต์ </t>
  </si>
  <si>
    <t xml:space="preserve">สุขช่วย </t>
  </si>
  <si>
    <t xml:space="preserve">นางสาว สิรินทิพย์ </t>
  </si>
  <si>
    <t xml:space="preserve">บุดดา </t>
  </si>
  <si>
    <t>นางสาว นฤนารถ</t>
  </si>
  <si>
    <t>อินสว่าง</t>
  </si>
  <si>
    <t>นางสาว อภิชญา</t>
  </si>
  <si>
    <t>เทียนประทีป</t>
  </si>
  <si>
    <t>ฤทธิ์เหมาะ</t>
  </si>
  <si>
    <t>แก้วมั่นคง</t>
  </si>
  <si>
    <t xml:space="preserve">บุญเสมา </t>
  </si>
  <si>
    <t xml:space="preserve">นางสาว ธัญญรัตน์ </t>
  </si>
  <si>
    <t>นางสาว นิศารัตน์</t>
  </si>
  <si>
    <t>สุวรรณสวัสดิ์</t>
  </si>
  <si>
    <t xml:space="preserve">นาย สุชาติ </t>
  </si>
  <si>
    <t xml:space="preserve">คำภีระวงษ์ </t>
  </si>
  <si>
    <t>นางสาว สุนิสา</t>
  </si>
  <si>
    <t>จันสารี</t>
  </si>
  <si>
    <t>เข็มกำเนิด</t>
  </si>
  <si>
    <t>นาง อรัญญา</t>
  </si>
  <si>
    <t>พันธุมจินดา</t>
  </si>
  <si>
    <t>นาย สุทัศน์</t>
  </si>
  <si>
    <t>นางสาว วารุณี</t>
  </si>
  <si>
    <t>เหยน้อย</t>
  </si>
  <si>
    <t>นางสาว ปฏิญญา</t>
  </si>
  <si>
    <t>โม่งเม้า</t>
  </si>
  <si>
    <t xml:space="preserve">นางสาว นิภาดา </t>
  </si>
  <si>
    <t>เจริญธนกิจกุล</t>
  </si>
  <si>
    <t xml:space="preserve">นาง ธัญญลักษณ์ </t>
  </si>
  <si>
    <t xml:space="preserve">เตาะกะโทก </t>
  </si>
  <si>
    <t xml:space="preserve">นางสาว วัชรี </t>
  </si>
  <si>
    <t>ป่างปู</t>
  </si>
  <si>
    <t>เทพรัตน์</t>
  </si>
  <si>
    <t>นาง ธันยาภรณ์</t>
  </si>
  <si>
    <t>อินทปัชฌาย์</t>
  </si>
  <si>
    <t>นาย นิยม</t>
  </si>
  <si>
    <t>ขันแก้ว</t>
  </si>
  <si>
    <t>ยังให้ผล</t>
  </si>
  <si>
    <t>ทัศศิริ</t>
  </si>
  <si>
    <t>นาย ประยูร</t>
  </si>
  <si>
    <t>แก้วปลอด</t>
  </si>
  <si>
    <t>นาย สุชล</t>
  </si>
  <si>
    <t>วงษ์ทอง</t>
  </si>
  <si>
    <t>นาง ณัฐชญา</t>
  </si>
  <si>
    <t>มิ่งมงคล</t>
  </si>
  <si>
    <t>นาย นิธิวรรธน์</t>
  </si>
  <si>
    <t>ตันไล้</t>
  </si>
  <si>
    <t>นาย สมโภชน์</t>
  </si>
  <si>
    <t>นาคแก้ว</t>
  </si>
  <si>
    <t>นาย สมมาตร์</t>
  </si>
  <si>
    <t>ยศโชติ</t>
  </si>
  <si>
    <t>ลิ้มประสิทธิศักดิ์</t>
  </si>
  <si>
    <t>นาง อัญชนะ</t>
  </si>
  <si>
    <t>เกงขุนทด</t>
  </si>
  <si>
    <t>นางสาว มะลิวัลย์</t>
  </si>
  <si>
    <t>มะลิรักษ์</t>
  </si>
  <si>
    <t>นางสาว จริยา</t>
  </si>
  <si>
    <t>นิยมพานิช</t>
  </si>
  <si>
    <t>จิระวัฒน์</t>
  </si>
  <si>
    <t>นางสาว สุนันท์</t>
  </si>
  <si>
    <t>สมสวัสดิ์</t>
  </si>
  <si>
    <t>นาง สิวรดา</t>
  </si>
  <si>
    <t>สุวรรณรัตนศรี</t>
  </si>
  <si>
    <t>นางสาว สุทธดา</t>
  </si>
  <si>
    <t>ภู่อร่าม</t>
  </si>
  <si>
    <t xml:space="preserve">นางสาว ราณี </t>
  </si>
  <si>
    <t xml:space="preserve">มูหะหมัด </t>
  </si>
  <si>
    <t xml:space="preserve">นาง เนาวรัตน์ </t>
  </si>
  <si>
    <t xml:space="preserve">ทิพสุวรรณ์ </t>
  </si>
  <si>
    <t xml:space="preserve">นางสาว จิราวดี </t>
  </si>
  <si>
    <t xml:space="preserve">สุแดงน้อย </t>
  </si>
  <si>
    <t>นางสาว พิมพ์พิชชา</t>
  </si>
  <si>
    <t>ระมิงค์เมือง</t>
  </si>
  <si>
    <t>ครุฑพิชัย</t>
  </si>
  <si>
    <t>บุญปัญญา</t>
  </si>
  <si>
    <t>นาย ปฏิวัติ</t>
  </si>
  <si>
    <t>นามทัศน์</t>
  </si>
  <si>
    <t>นาง กัญจน์นภัส</t>
  </si>
  <si>
    <t>เพิ่มทรัพย์</t>
  </si>
  <si>
    <t>ฉ่ำสมบูรณ์</t>
  </si>
  <si>
    <t>ว่าที่ ร.ต. รักพงษ์</t>
  </si>
  <si>
    <t>วงศ์รอด</t>
  </si>
  <si>
    <t>นางสาว วรรณพร</t>
  </si>
  <si>
    <t>อยู่มั่นคง</t>
  </si>
  <si>
    <t xml:space="preserve">นาย โฆสิต </t>
  </si>
  <si>
    <t xml:space="preserve">บุญเอก </t>
  </si>
  <si>
    <t>เล็กชอุ่ม</t>
  </si>
  <si>
    <t xml:space="preserve">นาย วัชร </t>
  </si>
  <si>
    <t xml:space="preserve">ลิ้มวรรณดี </t>
  </si>
  <si>
    <t xml:space="preserve">นาย อภิภู </t>
  </si>
  <si>
    <t xml:space="preserve">พัฒนยินดี </t>
  </si>
  <si>
    <t xml:space="preserve">นาย ดนัย </t>
  </si>
  <si>
    <t xml:space="preserve">ปัญจพิทยากุล </t>
  </si>
  <si>
    <t xml:space="preserve">นางสาว พิริยาภรณ์ </t>
  </si>
  <si>
    <t>สุดฉิม</t>
  </si>
  <si>
    <t xml:space="preserve">นาย อภิสิทธิ์ </t>
  </si>
  <si>
    <t xml:space="preserve">นาย ศุภมิตร </t>
  </si>
  <si>
    <t xml:space="preserve">ส่องแสงจันทร์ </t>
  </si>
  <si>
    <t>นาง ดวงตา</t>
  </si>
  <si>
    <t>ทองเพ็ง</t>
  </si>
  <si>
    <t xml:space="preserve">นาย มนตรี </t>
  </si>
  <si>
    <t>นาย สมรักษ์</t>
  </si>
  <si>
    <t>สื่อสกุล</t>
  </si>
  <si>
    <t>นางสาว อาภาภรณ์</t>
  </si>
  <si>
    <t>ชูเกียรติศิริ</t>
  </si>
  <si>
    <t xml:space="preserve">นาย ศุภกิจ </t>
  </si>
  <si>
    <t xml:space="preserve">นาเจริญ </t>
  </si>
  <si>
    <t xml:space="preserve">นางสาว ลดาวัลย์ </t>
  </si>
  <si>
    <t xml:space="preserve">แก้วประดับ </t>
  </si>
  <si>
    <t>นาย วรนันท์</t>
  </si>
  <si>
    <t>หาญสุด</t>
  </si>
  <si>
    <t xml:space="preserve">นางสาว ผกามาศ </t>
  </si>
  <si>
    <t>กูร์ณา</t>
  </si>
  <si>
    <t xml:space="preserve">นางสาว อรพรรณ </t>
  </si>
  <si>
    <t>ชุติวศิน</t>
  </si>
  <si>
    <t xml:space="preserve">นาย สุรวุฒิ </t>
  </si>
  <si>
    <t xml:space="preserve">แสนพันธ์ </t>
  </si>
  <si>
    <t xml:space="preserve">นางสาว สุธาทิพย์ </t>
  </si>
  <si>
    <t>คำเกิด</t>
  </si>
  <si>
    <t>กมลคร</t>
  </si>
  <si>
    <t xml:space="preserve">นางสาว กัญญศร </t>
  </si>
  <si>
    <t>สังข์ตรีเศียร</t>
  </si>
  <si>
    <t>สิงห์เถื่อน</t>
  </si>
  <si>
    <t xml:space="preserve">นางสาว จิรนันท์ </t>
  </si>
  <si>
    <t>นนทะนำ</t>
  </si>
  <si>
    <t>ลี้นะวัฒนา</t>
  </si>
  <si>
    <t>นาย ภณกฤด</t>
  </si>
  <si>
    <t xml:space="preserve">อุ่นพิพัฒน์ </t>
  </si>
  <si>
    <t xml:space="preserve">นางสาว สุนิสา </t>
  </si>
  <si>
    <t xml:space="preserve">พุ่มโพธิ์ทอง </t>
  </si>
  <si>
    <t>นางสาว ศรีวรรณ</t>
  </si>
  <si>
    <t>เลอสรวง</t>
  </si>
  <si>
    <t>นางสาว นลินอร</t>
  </si>
  <si>
    <t>มงคลหัตถี</t>
  </si>
  <si>
    <t>สีลาจันทร์</t>
  </si>
  <si>
    <t xml:space="preserve">นางสาว ทิพาภรณ์ </t>
  </si>
  <si>
    <t xml:space="preserve">เต็มพร้อม </t>
  </si>
  <si>
    <t>นางสาว วันวิสาข์</t>
  </si>
  <si>
    <t>พวงสั้น</t>
  </si>
  <si>
    <t>เทพทอง</t>
  </si>
  <si>
    <t xml:space="preserve">กวีมงคลรัตน์ </t>
  </si>
  <si>
    <t>นาย สุรเชษฐ์</t>
  </si>
  <si>
    <t>คำจันทร์</t>
  </si>
  <si>
    <t>นาย คำฟอง</t>
  </si>
  <si>
    <t>พินัน</t>
  </si>
  <si>
    <t>ปิยวาจานุสรณ์</t>
  </si>
  <si>
    <t>นิ่มแนบ</t>
  </si>
  <si>
    <t>นาย จำลอง</t>
  </si>
  <si>
    <t>วงษ์นิกร</t>
  </si>
  <si>
    <t>นาง สายหล่วน</t>
  </si>
  <si>
    <t>ปรีชา</t>
  </si>
  <si>
    <t>นางสาว ทวีแสง</t>
  </si>
  <si>
    <t>รัตน์เจริญ</t>
  </si>
  <si>
    <t>คุ้มกัน</t>
  </si>
  <si>
    <t>นาย ไชยณุพงศ์</t>
  </si>
  <si>
    <t>นุ่มแสง</t>
  </si>
  <si>
    <t>นางสาว วิมลวรรณ</t>
  </si>
  <si>
    <t>แสงเพ็ชร</t>
  </si>
  <si>
    <t>นางสาว จิตสุภา</t>
  </si>
  <si>
    <t>บิดาทอง</t>
  </si>
  <si>
    <t>นางสาว ปิยาภรณ์</t>
  </si>
  <si>
    <t>มฤคพันธุ์</t>
  </si>
  <si>
    <t>นาย ฤทธิชัย</t>
  </si>
  <si>
    <t>เชี่ยวชาญ</t>
  </si>
  <si>
    <t>นาง ฐานะ</t>
  </si>
  <si>
    <t>แก้วเกษม</t>
  </si>
  <si>
    <t>นาย ดำรงค์</t>
  </si>
  <si>
    <t>อานิสงฆ์</t>
  </si>
  <si>
    <t>ธรรมรักษ์</t>
  </si>
  <si>
    <t>พลอยอร่าม</t>
  </si>
  <si>
    <t>เผ่าจินดา</t>
  </si>
  <si>
    <t>โสภาผล</t>
  </si>
  <si>
    <t>แซมเพชร</t>
  </si>
  <si>
    <t>สุขอยู่</t>
  </si>
  <si>
    <t>นาย สุทัศพล</t>
  </si>
  <si>
    <t>สกุลเดช</t>
  </si>
  <si>
    <t>สังข์ชื่น</t>
  </si>
  <si>
    <t>นาง มยุรี</t>
  </si>
  <si>
    <t>วงษ์จิราษฎร์</t>
  </si>
  <si>
    <t>นาง สุดาวรรณ</t>
  </si>
  <si>
    <t>นุสสะ</t>
  </si>
  <si>
    <t>ลาภอิทธิ์สันต์</t>
  </si>
  <si>
    <t>ชื่นบาน</t>
  </si>
  <si>
    <t>ชื่นวงศา</t>
  </si>
  <si>
    <t>นาง บังอร</t>
  </si>
  <si>
    <t>เหมือนสมัย</t>
  </si>
  <si>
    <t>ธรรมวิชญ์</t>
  </si>
  <si>
    <t>นาง โสภี</t>
  </si>
  <si>
    <t>วงษ์สวัสดิ์</t>
  </si>
  <si>
    <t>ทองสนธิ</t>
  </si>
  <si>
    <t>จันทเปรมจิตต์</t>
  </si>
  <si>
    <t>กลั่นนุช</t>
  </si>
  <si>
    <t>นาง แน่งน้อย</t>
  </si>
  <si>
    <t>วรรณไชย</t>
  </si>
  <si>
    <t>นาง ศาตพร</t>
  </si>
  <si>
    <t>ทองศรี</t>
  </si>
  <si>
    <t>นางสาว อลิสา</t>
  </si>
  <si>
    <t>เพชรจันทร์</t>
  </si>
  <si>
    <t>นาง กรรณิกา</t>
  </si>
  <si>
    <t>มงคลแก้ว</t>
  </si>
  <si>
    <t>นาย พงษ์ศักดิ์</t>
  </si>
  <si>
    <t>เอมดวง</t>
  </si>
  <si>
    <t>นาย มานิตย์</t>
  </si>
  <si>
    <t>โพธิ์ธรรม</t>
  </si>
  <si>
    <t>นาง เยาวนาถ</t>
  </si>
  <si>
    <t>ใหญ่ผล</t>
  </si>
  <si>
    <t>นางสาว สุมนา</t>
  </si>
  <si>
    <t>เจริญสุข</t>
  </si>
  <si>
    <t>ด่านปาน</t>
  </si>
  <si>
    <t>นาย ธีรพงศ์</t>
  </si>
  <si>
    <t>เหล่าสมบูรณ์</t>
  </si>
  <si>
    <t>นาง สมวรรณ</t>
  </si>
  <si>
    <t>เจตน์จันทร์</t>
  </si>
  <si>
    <t>นาย สมบัติ</t>
  </si>
  <si>
    <t>ทรงโฉม</t>
  </si>
  <si>
    <t>พลอยงาม</t>
  </si>
  <si>
    <t>นาย พิเชฐ</t>
  </si>
  <si>
    <t>พวงดี</t>
  </si>
  <si>
    <t>บรรลุผล</t>
  </si>
  <si>
    <t>นาย สุรเทพ</t>
  </si>
  <si>
    <t>แสงวิโรจน์ฤทธิ์</t>
  </si>
  <si>
    <t>นาง ไพเราะห์</t>
  </si>
  <si>
    <t>นาง กนกพร</t>
  </si>
  <si>
    <t>โกสาวรรณ์</t>
  </si>
  <si>
    <t>นาย โสภณ</t>
  </si>
  <si>
    <t>บูรประทีป</t>
  </si>
  <si>
    <t>นาย ทินกร</t>
  </si>
  <si>
    <t>ศรีลาจารย์</t>
  </si>
  <si>
    <t>พงษ์พันธุ์</t>
  </si>
  <si>
    <t>นาย ธนิต</t>
  </si>
  <si>
    <t>ภิญญากรณ์</t>
  </si>
  <si>
    <t>ศิริจรรยา</t>
  </si>
  <si>
    <t xml:space="preserve">วิยะรันดร์ </t>
  </si>
  <si>
    <t>คงเกลี้ยง</t>
  </si>
  <si>
    <t>นางสาว สุดใจ</t>
  </si>
  <si>
    <t>พจนะไพบูลย์</t>
  </si>
  <si>
    <t>เหล่าหัชกุล</t>
  </si>
  <si>
    <t>โกสุมวัชราภรณ์</t>
  </si>
  <si>
    <t>นาย มานะ</t>
  </si>
  <si>
    <t>นิธิประทีป</t>
  </si>
  <si>
    <t>นาย ต่อศักดิ์</t>
  </si>
  <si>
    <t>โพธิ์กราน</t>
  </si>
  <si>
    <t>นาย ไพศาล</t>
  </si>
  <si>
    <t>นางสาว สุรีย์พร</t>
  </si>
  <si>
    <t>เหลี่ยมวรางกูร</t>
  </si>
  <si>
    <t>นาง นิภาภรณ์</t>
  </si>
  <si>
    <t>สนิทพันธุ์</t>
  </si>
  <si>
    <t>นางสาว อารี</t>
  </si>
  <si>
    <t>สร้อยสกุล</t>
  </si>
  <si>
    <t>นาง อ้อยทิพย์</t>
  </si>
  <si>
    <t>ชะตางาม</t>
  </si>
  <si>
    <t>แก้วปราณีต</t>
  </si>
  <si>
    <t>นาย เริงศักดิ์</t>
  </si>
  <si>
    <t>แสงสุวรรณ์</t>
  </si>
  <si>
    <t>นาง กมลลักษณ์</t>
  </si>
  <si>
    <t>ปลอดโปร่ง</t>
  </si>
  <si>
    <t>นาย พงศ์ศักดิ์</t>
  </si>
  <si>
    <t>รัตนมังคลานนท์</t>
  </si>
  <si>
    <t>สร้อยทอง</t>
  </si>
  <si>
    <t>นาง สุชาดา</t>
  </si>
  <si>
    <t>สุดประเสริฐ</t>
  </si>
  <si>
    <t>ร.ต. สุขุมาภรณ์</t>
  </si>
  <si>
    <t>สุขใส</t>
  </si>
  <si>
    <t>นาง เริงจิตร</t>
  </si>
  <si>
    <t>พรหมสถิต</t>
  </si>
  <si>
    <t>นาง ยุกุลทร</t>
  </si>
  <si>
    <t>กาญจนะคช</t>
  </si>
  <si>
    <t>นาง ผ่องใส</t>
  </si>
  <si>
    <t>สุคาคม</t>
  </si>
  <si>
    <t>มุทาวุฒิกร</t>
  </si>
  <si>
    <t>เพียรธรรม</t>
  </si>
  <si>
    <t xml:space="preserve">นาย มาณพ </t>
  </si>
  <si>
    <t>นางสาว วันทิพา</t>
  </si>
  <si>
    <t>บุรีเทศ</t>
  </si>
  <si>
    <t>แสงเจริญ</t>
  </si>
  <si>
    <t>ศรีพงษ์</t>
  </si>
  <si>
    <t>เอกจรัสภิวัฒน์</t>
  </si>
  <si>
    <t>นางสาว ประมวล</t>
  </si>
  <si>
    <t>นาง มานพ</t>
  </si>
  <si>
    <t>นาย สุพรชัย</t>
  </si>
  <si>
    <t>วิชัยขัดคะ</t>
  </si>
  <si>
    <t>รามณู</t>
  </si>
  <si>
    <t xml:space="preserve">นาย สุวิทย์ </t>
  </si>
  <si>
    <t xml:space="preserve">ทองนอก </t>
  </si>
  <si>
    <t>นาง นัยนา</t>
  </si>
  <si>
    <t>วัฒนะกุล</t>
  </si>
  <si>
    <t xml:space="preserve">นางสาว อริศรา </t>
  </si>
  <si>
    <t xml:space="preserve">ชูเกียรติ </t>
  </si>
  <si>
    <t>นางสาว วรรณวิลัย</t>
  </si>
  <si>
    <t>สิทธิบุรี</t>
  </si>
  <si>
    <t>แก้วปัญญา</t>
  </si>
  <si>
    <t>นางสาว สิริรัตน์</t>
  </si>
  <si>
    <t>แมงทับ</t>
  </si>
  <si>
    <t>สินธุภูมิ</t>
  </si>
  <si>
    <t>ธะณีสัน</t>
  </si>
  <si>
    <t>นาย ประกอบ</t>
  </si>
  <si>
    <t>คำพานิชย์</t>
  </si>
  <si>
    <t>ทองอ่ำ</t>
  </si>
  <si>
    <t>นาย นพณัช</t>
  </si>
  <si>
    <t>พัทธเสมากูล</t>
  </si>
  <si>
    <t>นาง ดวงภรณ์</t>
  </si>
  <si>
    <t>โตอนันต์</t>
  </si>
  <si>
    <t>ทองจีน</t>
  </si>
  <si>
    <t>นาง ณัฐนันท์</t>
  </si>
  <si>
    <t>มังคละกนก</t>
  </si>
  <si>
    <t>นางสาว นงขวัญ</t>
  </si>
  <si>
    <t>ภู่พุ่ม</t>
  </si>
  <si>
    <t>นาย บุญลือ</t>
  </si>
  <si>
    <t>คงสูงเนิน</t>
  </si>
  <si>
    <t xml:space="preserve">พลหินลาด </t>
  </si>
  <si>
    <t>นาย ยศวัฒน์</t>
  </si>
  <si>
    <t>รุ่งสิริชัยรัชต์</t>
  </si>
  <si>
    <t>นางสาว ประพีร์</t>
  </si>
  <si>
    <t>วัฒนะ</t>
  </si>
  <si>
    <t>นาง ยุพา</t>
  </si>
  <si>
    <t>พลอมร</t>
  </si>
  <si>
    <t>นาย นฤพนธ์</t>
  </si>
  <si>
    <t>อยู่สมบูรณ์</t>
  </si>
  <si>
    <t>นาง สุวิสาส์</t>
  </si>
  <si>
    <t>กันตอนันตพร</t>
  </si>
  <si>
    <t>นางสาว จิรวรรณ</t>
  </si>
  <si>
    <t>สุวรรณพูล</t>
  </si>
  <si>
    <t>เลิศศิริ</t>
  </si>
  <si>
    <t>นาย รัตนะ</t>
  </si>
  <si>
    <t>สวัสดี</t>
  </si>
  <si>
    <t>นางสาว สุชิรา</t>
  </si>
  <si>
    <t>ลายรัตน์</t>
  </si>
  <si>
    <t>สมเจริญ</t>
  </si>
  <si>
    <t xml:space="preserve">นางสาว มนณกร </t>
  </si>
  <si>
    <t xml:space="preserve">จุติมา </t>
  </si>
  <si>
    <t xml:space="preserve">นาย ระพีภัทร์ </t>
  </si>
  <si>
    <t xml:space="preserve">เสริมสุขจิระโชติ </t>
  </si>
  <si>
    <t>นางสาว ดาวใจ</t>
  </si>
  <si>
    <t>ดอกไม้คลี่</t>
  </si>
  <si>
    <t xml:space="preserve">นาย วีระวิทย์ </t>
  </si>
  <si>
    <t xml:space="preserve">ปถวีนิธิ </t>
  </si>
  <si>
    <t xml:space="preserve">นาง ปิญพร </t>
  </si>
  <si>
    <t>บุญเยี่ยม</t>
  </si>
  <si>
    <t>นางสาว ฐิตารัตน์</t>
  </si>
  <si>
    <t>โชติพันธ์กัลยา</t>
  </si>
  <si>
    <t xml:space="preserve">นางสาว วารุณี </t>
  </si>
  <si>
    <t xml:space="preserve">พิมพ์แพทย์ </t>
  </si>
  <si>
    <t xml:space="preserve">นางสาว ศุทธวดี </t>
  </si>
  <si>
    <t xml:space="preserve">เจริญทรัพย์ </t>
  </si>
  <si>
    <t>บุญสวัสดิ์</t>
  </si>
  <si>
    <t xml:space="preserve">นางสาว วรุณดา </t>
  </si>
  <si>
    <t xml:space="preserve">อินจินดา </t>
  </si>
  <si>
    <t xml:space="preserve">เกษมสู่บุญ </t>
  </si>
  <si>
    <t xml:space="preserve">นางสาว รุ่งทิวา </t>
  </si>
  <si>
    <t xml:space="preserve">แพงมี </t>
  </si>
  <si>
    <t xml:space="preserve">นาย สุรเชษฐ์ </t>
  </si>
  <si>
    <t xml:space="preserve">สงึมรัมย์ </t>
  </si>
  <si>
    <t xml:space="preserve">นาย ดรงฤทธิ์  </t>
  </si>
  <si>
    <t xml:space="preserve">แก้วรุ่งเรือง </t>
  </si>
  <si>
    <t>นางสาว สุทธินี</t>
  </si>
  <si>
    <t>ตันติปัญญาเทพ</t>
  </si>
  <si>
    <t>นางสาว ธิติมา</t>
  </si>
  <si>
    <t>คุ้มโต</t>
  </si>
  <si>
    <t>นาย อนุวัฒน์</t>
  </si>
  <si>
    <t>ชื่นชม</t>
  </si>
  <si>
    <t>นางสาว สาธินี</t>
  </si>
  <si>
    <t>โพธิ์คลี่</t>
  </si>
  <si>
    <t>วาวงค์</t>
  </si>
  <si>
    <t>นางสาว ธนนันท์</t>
  </si>
  <si>
    <t>ศรีสุวะ</t>
  </si>
  <si>
    <t xml:space="preserve">สุนทรวิภาต </t>
  </si>
  <si>
    <t xml:space="preserve">นาง ธนัญญ์สร </t>
  </si>
  <si>
    <t xml:space="preserve">อินตะมะ </t>
  </si>
  <si>
    <t xml:space="preserve">นาย ธวัชชัย </t>
  </si>
  <si>
    <t xml:space="preserve">พินิจใหม่ </t>
  </si>
  <si>
    <t>ทองพิมพ์</t>
  </si>
  <si>
    <t>นางสาว เสาวลักษณ์</t>
  </si>
  <si>
    <t>ศักดิ์สกุลคุณากร</t>
  </si>
  <si>
    <t>เครือทองศรี</t>
  </si>
  <si>
    <t>นาย ปัฐวนันท์</t>
  </si>
  <si>
    <t>พันธุมาตร</t>
  </si>
  <si>
    <t xml:space="preserve">นางสาว จิราพร </t>
  </si>
  <si>
    <t xml:space="preserve">วิทาโน </t>
  </si>
  <si>
    <t xml:space="preserve">นาง มะลิวัลย์ </t>
  </si>
  <si>
    <t xml:space="preserve">วงศ์สุรินทร์ </t>
  </si>
  <si>
    <t xml:space="preserve">นาย ธนากร </t>
  </si>
  <si>
    <t xml:space="preserve">ก้องเกียรติธารา </t>
  </si>
  <si>
    <t xml:space="preserve">นาย ณัฐรัชต์ </t>
  </si>
  <si>
    <t xml:space="preserve">เตชะเนตร </t>
  </si>
  <si>
    <t>นางสาว ปทิตตา</t>
  </si>
  <si>
    <t>ดีสงวน</t>
  </si>
  <si>
    <t xml:space="preserve">นางสาว นาริสา </t>
  </si>
  <si>
    <t xml:space="preserve">เย็นรักษา </t>
  </si>
  <si>
    <t>นาง สมพิศ</t>
  </si>
  <si>
    <t>หิรัญคำ</t>
  </si>
  <si>
    <t>พูลสุข</t>
  </si>
  <si>
    <t>นาย ชัยพร</t>
  </si>
  <si>
    <t>สินทักษ์ทรัพย์</t>
  </si>
  <si>
    <t>นาย กฤษฎา</t>
  </si>
  <si>
    <t>ฉิมอินทร์</t>
  </si>
  <si>
    <t>นาย เมษา</t>
  </si>
  <si>
    <t>นาคกลับ</t>
  </si>
  <si>
    <t>แย้มโพธิ์</t>
  </si>
  <si>
    <t>นาง อุดม</t>
  </si>
  <si>
    <t>ดีแจ่ม</t>
  </si>
  <si>
    <t>วราชุน</t>
  </si>
  <si>
    <t>อ่ำจุ้ย</t>
  </si>
  <si>
    <t>นาย อนิรุธ</t>
  </si>
  <si>
    <t>อินต่าย</t>
  </si>
  <si>
    <t xml:space="preserve">นางสาว สุรีรัตน์ </t>
  </si>
  <si>
    <t>วงษ์ชื่น</t>
  </si>
  <si>
    <t xml:space="preserve">นาย ภิเชษฐ์ </t>
  </si>
  <si>
    <t xml:space="preserve">สายพิณ </t>
  </si>
  <si>
    <t>ชีวะประวัติ</t>
  </si>
  <si>
    <t>นาง ทำนอง</t>
  </si>
  <si>
    <t>นามวิชัย</t>
  </si>
  <si>
    <t>นางสาว สุมลนาถ</t>
  </si>
  <si>
    <t xml:space="preserve">โสสุทธิ์ </t>
  </si>
  <si>
    <t>นาย นิรุจน์</t>
  </si>
  <si>
    <t>หัวใจฉ่ำ</t>
  </si>
  <si>
    <t>นางสาว ปาจรีย์</t>
  </si>
  <si>
    <t>คล้ายสุขโข</t>
  </si>
  <si>
    <t>นางสาว พุทธรักษา</t>
  </si>
  <si>
    <t>เสรี</t>
  </si>
  <si>
    <t>นางสาว กาญจนา</t>
  </si>
  <si>
    <t xml:space="preserve">เรียงเล็กจำนงค์ </t>
  </si>
  <si>
    <t xml:space="preserve">นาย นพดล </t>
  </si>
  <si>
    <t>เปี้ยอุ๊ด</t>
  </si>
  <si>
    <t>นาย บรรพต</t>
  </si>
  <si>
    <t>เชื้อเพชร</t>
  </si>
  <si>
    <t xml:space="preserve">นางสาว รัตติกาล </t>
  </si>
  <si>
    <t xml:space="preserve">กลัดเข็มทอง </t>
  </si>
  <si>
    <t>นาย มนูญ</t>
  </si>
  <si>
    <t>แก้วพิกุล</t>
  </si>
  <si>
    <t>อัมระนันทน์</t>
  </si>
  <si>
    <t>เภาสมบัติ</t>
  </si>
  <si>
    <t>นาง วงเดือน</t>
  </si>
  <si>
    <t>มณี</t>
  </si>
  <si>
    <t>นาย จเร</t>
  </si>
  <si>
    <t>เจตนะจิตร</t>
  </si>
  <si>
    <t>นาง ภาวิณี</t>
  </si>
  <si>
    <t>อ่ำทอง</t>
  </si>
  <si>
    <t>ทันนิเทศ</t>
  </si>
  <si>
    <t>นาง ลำเอียง</t>
  </si>
  <si>
    <t>นักปราชญ์</t>
  </si>
  <si>
    <t>นาย เอนก</t>
  </si>
  <si>
    <t>อิ่มจิตร</t>
  </si>
  <si>
    <t>นาย สราวุธ</t>
  </si>
  <si>
    <t>พิพัฒน์บุญทอง</t>
  </si>
  <si>
    <t>นาง ศรีสำอางค์</t>
  </si>
  <si>
    <t>กลัดภู่</t>
  </si>
  <si>
    <t>นาย ภิรมย์</t>
  </si>
  <si>
    <t>โล่ชัยยะกุล</t>
  </si>
  <si>
    <t>นาย สิรวิศ</t>
  </si>
  <si>
    <t>กรียาอาภรณ์</t>
  </si>
  <si>
    <t>นาง เกษร</t>
  </si>
  <si>
    <t>อินทร์พงษ์นุวัฒน์</t>
  </si>
  <si>
    <t>หนูพรม</t>
  </si>
  <si>
    <t>เดชี</t>
  </si>
  <si>
    <t>สุขสบาย</t>
  </si>
  <si>
    <t>ม่วงทอง</t>
  </si>
  <si>
    <t>นาย วัชระชัย</t>
  </si>
  <si>
    <t>แววเพ็ชร์</t>
  </si>
  <si>
    <t>สุขสำราญ</t>
  </si>
  <si>
    <t>เมฆอินทร์</t>
  </si>
  <si>
    <t>นาย ชลอ</t>
  </si>
  <si>
    <t>ม้าทอง</t>
  </si>
  <si>
    <t>พัชรกิตติคุณ</t>
  </si>
  <si>
    <t>นาง เบญจมาศ</t>
  </si>
  <si>
    <t>นิรันดรไชย</t>
  </si>
  <si>
    <t>แสงตะคร้อ</t>
  </si>
  <si>
    <t>ไชยเทพ</t>
  </si>
  <si>
    <t>นาง นันทนา</t>
  </si>
  <si>
    <t>ทองคุ้ม</t>
  </si>
  <si>
    <t>รอดอ่อน</t>
  </si>
  <si>
    <t>เสือรักษ์</t>
  </si>
  <si>
    <t>นาย เชน</t>
  </si>
  <si>
    <t>กรณ์ผึ้ง</t>
  </si>
  <si>
    <t>มาฆพัฒนสิน</t>
  </si>
  <si>
    <t>โพธิ์ยี่</t>
  </si>
  <si>
    <t>นาย สินสมุทร</t>
  </si>
  <si>
    <t>ภาณุเวช</t>
  </si>
  <si>
    <t>นาย เฉลย</t>
  </si>
  <si>
    <t>ปิ่นทอง</t>
  </si>
  <si>
    <t>รัตนสัมฤทธิ์</t>
  </si>
  <si>
    <t>นาย ศุภโชค</t>
  </si>
  <si>
    <t>นาคสัมฤทธิ์</t>
  </si>
  <si>
    <t>นาย ประยุทธ</t>
  </si>
  <si>
    <t>พงศ์สุวรรณ</t>
  </si>
  <si>
    <t>เอี่ยมตาล</t>
  </si>
  <si>
    <t>นาย วุฒิพงษ์</t>
  </si>
  <si>
    <t>มลทิพย์เกษร</t>
  </si>
  <si>
    <t>วิรัตน์เกษม</t>
  </si>
  <si>
    <t>บุญประสิทธิ์</t>
  </si>
  <si>
    <t>นาย สำรวย</t>
  </si>
  <si>
    <t>สุขโต</t>
  </si>
  <si>
    <t>นิลรัตน์</t>
  </si>
  <si>
    <t>นาย วิศณุ</t>
  </si>
  <si>
    <t>ธรรมถาวร</t>
  </si>
  <si>
    <t>บางแสง</t>
  </si>
  <si>
    <t>สวัสดิ์วงศ์</t>
  </si>
  <si>
    <t>นาย มีชัย</t>
  </si>
  <si>
    <t>เหลืองอภิชาตกุล</t>
  </si>
  <si>
    <t>นาย สุภชัย</t>
  </si>
  <si>
    <t>สงวนพงษ์</t>
  </si>
  <si>
    <t>เกิดเอี่ยม</t>
  </si>
  <si>
    <t>นาย สานิต</t>
  </si>
  <si>
    <t>อ่วมแก้ว</t>
  </si>
  <si>
    <t>นาย ลำพูล</t>
  </si>
  <si>
    <t>วิมลเศรษฐ์</t>
  </si>
  <si>
    <t>อัฒพุธ</t>
  </si>
  <si>
    <t>นาย อนุกุล</t>
  </si>
  <si>
    <t>แก้วนวล</t>
  </si>
  <si>
    <t>นางสาว สมคิด</t>
  </si>
  <si>
    <t>พุ่มโพธิ์</t>
  </si>
  <si>
    <t>นาย วราวุธ</t>
  </si>
  <si>
    <t>เกตุอ่ำ</t>
  </si>
  <si>
    <t>นาย ขุนไกร</t>
  </si>
  <si>
    <t>เปรมทอง</t>
  </si>
  <si>
    <t>นาย ชิง</t>
  </si>
  <si>
    <t>คำเครือ</t>
  </si>
  <si>
    <t>นาย ประโรม</t>
  </si>
  <si>
    <t>หาญปราบ</t>
  </si>
  <si>
    <t>ขุนทอง</t>
  </si>
  <si>
    <t>นาง วรารัตน์</t>
  </si>
  <si>
    <t>ฤาชา</t>
  </si>
  <si>
    <t xml:space="preserve">แซ่หลิน </t>
  </si>
  <si>
    <t>สุวานิช</t>
  </si>
  <si>
    <t xml:space="preserve">นางสาว พจนีย์ </t>
  </si>
  <si>
    <t xml:space="preserve">รักเรืองรอง </t>
  </si>
  <si>
    <t>นาย กิตติชาติ</t>
  </si>
  <si>
    <t>ชาติยานนท์</t>
  </si>
  <si>
    <t>นาง ลมูล</t>
  </si>
  <si>
    <t>จันทร์วงค์</t>
  </si>
  <si>
    <t>นาง วัชรี</t>
  </si>
  <si>
    <t>เอี่ยมรอด</t>
  </si>
  <si>
    <t>นาย อารมย์</t>
  </si>
  <si>
    <t>เกตุมาก</t>
  </si>
  <si>
    <t>น้อยเกิด</t>
  </si>
  <si>
    <t>นาง ชนิกา</t>
  </si>
  <si>
    <t>ขันธนิยม</t>
  </si>
  <si>
    <t>หะยาจันทา</t>
  </si>
  <si>
    <t>นาย ประสาร</t>
  </si>
  <si>
    <t>จำนงค์นารถ</t>
  </si>
  <si>
    <t>นางสาว ฉันท์สินี</t>
  </si>
  <si>
    <t>จบศรี</t>
  </si>
  <si>
    <t>นาย ประจิน</t>
  </si>
  <si>
    <t>เอมอุทัย</t>
  </si>
  <si>
    <t>ขำเอี่ยม</t>
  </si>
  <si>
    <t>นิลวิสุทธิ์</t>
  </si>
  <si>
    <t>นักฟ้อน</t>
  </si>
  <si>
    <t>อ่อนดำ</t>
  </si>
  <si>
    <t>ภูสินคงธาวิน</t>
  </si>
  <si>
    <t>นางสาว ชมภูนุช</t>
  </si>
  <si>
    <t>หน่อทอง</t>
  </si>
  <si>
    <t>นางสาว วรรณษมน</t>
  </si>
  <si>
    <t>นิลพลับ</t>
  </si>
  <si>
    <t xml:space="preserve">จันอิน </t>
  </si>
  <si>
    <t xml:space="preserve">นาง นวรัตน์ </t>
  </si>
  <si>
    <t>ไทยเลิศ</t>
  </si>
  <si>
    <t xml:space="preserve">นางสาว มุกรวี </t>
  </si>
  <si>
    <t>ขวัญเผือก</t>
  </si>
  <si>
    <t xml:space="preserve">นางสาว วิษากรานต์ </t>
  </si>
  <si>
    <t>ตุ่นทอง</t>
  </si>
  <si>
    <t>นาย ชัยวุฒิ</t>
  </si>
  <si>
    <t>แย้มวัด</t>
  </si>
  <si>
    <t>นางสาว วราทิพย์</t>
  </si>
  <si>
    <t xml:space="preserve">ปาคำ </t>
  </si>
  <si>
    <t>นาย สุรัชชัย</t>
  </si>
  <si>
    <t xml:space="preserve">เปียวิเศษ </t>
  </si>
  <si>
    <t>ธรรมศักดิ์</t>
  </si>
  <si>
    <t xml:space="preserve">นางสาว น้ำฝน </t>
  </si>
  <si>
    <t xml:space="preserve">แช่มบำรุง </t>
  </si>
  <si>
    <t xml:space="preserve">นางสาว ปฐมาภรณ์ </t>
  </si>
  <si>
    <t xml:space="preserve">ยอดฉิมมา </t>
  </si>
  <si>
    <t xml:space="preserve">นาย นิกูล </t>
  </si>
  <si>
    <t xml:space="preserve">ชูสมัย </t>
  </si>
  <si>
    <t xml:space="preserve">นางสาว สุทธินี </t>
  </si>
  <si>
    <t xml:space="preserve">นาคสูตร </t>
  </si>
  <si>
    <t>นาย อิทธิพล</t>
  </si>
  <si>
    <t>สดสอาด</t>
  </si>
  <si>
    <t>นาย ชาคริต</t>
  </si>
  <si>
    <t>บุญศิริ</t>
  </si>
  <si>
    <t xml:space="preserve">นาง วิมลนภา </t>
  </si>
  <si>
    <t>โสภาศรีพันธ์</t>
  </si>
  <si>
    <t>คล้ายสุบรรณ</t>
  </si>
  <si>
    <t>นางสาว ทิพวัลย์</t>
  </si>
  <si>
    <t>ชุ่มชื่น</t>
  </si>
  <si>
    <t>นางสาว กนกวรรณ</t>
  </si>
  <si>
    <t>เกษมณี</t>
  </si>
  <si>
    <t>นางสาว ภรณ์ทิพย์</t>
  </si>
  <si>
    <t>ศรีละไม้</t>
  </si>
  <si>
    <t>นาย เอกพนธ์</t>
  </si>
  <si>
    <t>พิพัฒรังสรรค์</t>
  </si>
  <si>
    <t>นางสาว ศิรอร</t>
  </si>
  <si>
    <t>อาภรณ์ผล</t>
  </si>
  <si>
    <t>ชาตกุล</t>
  </si>
  <si>
    <t>นาง ศิริรักษ์</t>
  </si>
  <si>
    <t>พิชยภิญโญ</t>
  </si>
  <si>
    <t>นาย ทรงสรรค์</t>
  </si>
  <si>
    <t>พลเจียก</t>
  </si>
  <si>
    <t>นาย ลำพอง</t>
  </si>
  <si>
    <t>พันธ์ใจธรรม</t>
  </si>
  <si>
    <t>นาย วรพล</t>
  </si>
  <si>
    <t>พูลรอด</t>
  </si>
  <si>
    <t>นาย ยอดธงไชย</t>
  </si>
  <si>
    <t>รอดแก้ว</t>
  </si>
  <si>
    <t>นาย บพิตร</t>
  </si>
  <si>
    <t>ปริปุณณากร</t>
  </si>
  <si>
    <t>นางสาว เพชรี</t>
  </si>
  <si>
    <t>คุ้มศิริ</t>
  </si>
  <si>
    <t>นาง นิรมล</t>
  </si>
  <si>
    <t>สนิทชาติ</t>
  </si>
  <si>
    <t>ตุ้มโท</t>
  </si>
  <si>
    <t xml:space="preserve">นาย ประธาน  </t>
  </si>
  <si>
    <t xml:space="preserve">สอนทรัพย์ </t>
  </si>
  <si>
    <t>นาง ปริษา</t>
  </si>
  <si>
    <t>จีราพันธ์</t>
  </si>
  <si>
    <t>เถื่อนยัง</t>
  </si>
  <si>
    <t>นาคปาน</t>
  </si>
  <si>
    <t>นาย ไพวงศ์</t>
  </si>
  <si>
    <t>แสงชัชวาลวงศ์</t>
  </si>
  <si>
    <t>จุลพันธ์</t>
  </si>
  <si>
    <t xml:space="preserve">นางสาว พรพิรุณ </t>
  </si>
  <si>
    <t xml:space="preserve">โยมงาม </t>
  </si>
  <si>
    <t xml:space="preserve">นาง อ้อนจันทร์ </t>
  </si>
  <si>
    <t xml:space="preserve">ปาลวัฒน์ </t>
  </si>
  <si>
    <t>อยู่สุข</t>
  </si>
  <si>
    <t>ขวัญสูงเนิน</t>
  </si>
  <si>
    <t>นางสาว จริญญา</t>
  </si>
  <si>
    <t>สมบัติทิพย์</t>
  </si>
  <si>
    <t>นาย มานพ</t>
  </si>
  <si>
    <t>พลายแสง</t>
  </si>
  <si>
    <t>นาย ชอบ</t>
  </si>
  <si>
    <t>คุ่ยเสด็จ</t>
  </si>
  <si>
    <t>นาย สุเจน</t>
  </si>
  <si>
    <t>น้ำทองดี</t>
  </si>
  <si>
    <t>สอนรอด</t>
  </si>
  <si>
    <t>สอนพูล</t>
  </si>
  <si>
    <t>นาย ชัชชัย</t>
  </si>
  <si>
    <t>คงกะพันธ์</t>
  </si>
  <si>
    <t>ทนงจิตรไพศาล</t>
  </si>
  <si>
    <t>เหลืองทองวัฒนา</t>
  </si>
  <si>
    <t>สวนแก้ว</t>
  </si>
  <si>
    <t xml:space="preserve">นางสาว จุฑาทิพย์ </t>
  </si>
  <si>
    <t>เกิดศรี</t>
  </si>
  <si>
    <t>นาย ภาณุ</t>
  </si>
  <si>
    <t>นาย บรรจวบ</t>
  </si>
  <si>
    <t>ปกิจเฟื่องฟู</t>
  </si>
  <si>
    <t>นาง ชื่นจิต</t>
  </si>
  <si>
    <t>ตอพล</t>
  </si>
  <si>
    <t>ดียา</t>
  </si>
  <si>
    <t>นาย ยวดยง</t>
  </si>
  <si>
    <t>พระจันทร์</t>
  </si>
  <si>
    <t>สิมาเพชร</t>
  </si>
  <si>
    <t>นาย สังคม</t>
  </si>
  <si>
    <t>เติมผล</t>
  </si>
  <si>
    <t>นาย บวร</t>
  </si>
  <si>
    <t>สืบนุการวัฒนา</t>
  </si>
  <si>
    <t>นางสาว จุนิภา</t>
  </si>
  <si>
    <t>เพชรล้ำ</t>
  </si>
  <si>
    <t>นาย บุญภพ</t>
  </si>
  <si>
    <t>ชัยศรี</t>
  </si>
  <si>
    <t>นาง ศิริ</t>
  </si>
  <si>
    <t>นาคดิลก</t>
  </si>
  <si>
    <t>นาง รัชฎาภรณ์</t>
  </si>
  <si>
    <t>ปันนิถา</t>
  </si>
  <si>
    <t>ตาปราบ</t>
  </si>
  <si>
    <t>นาย วัชร์ชัยนันท์</t>
  </si>
  <si>
    <t>ญาติพร้อม</t>
  </si>
  <si>
    <t>นาง พัชรินทร์</t>
  </si>
  <si>
    <t>เด่นเทศ</t>
  </si>
  <si>
    <t>สาขา</t>
  </si>
  <si>
    <t>นาง กาญจนาภรณ์</t>
  </si>
  <si>
    <t>พงค์ศรี</t>
  </si>
  <si>
    <t>นาง ผุสดี</t>
  </si>
  <si>
    <t>สบาย</t>
  </si>
  <si>
    <t>นาย พูนศักดิ์</t>
  </si>
  <si>
    <t>ศรีชุมพร</t>
  </si>
  <si>
    <t>พงศนันทน์</t>
  </si>
  <si>
    <t>นาย จิตรภาณุ</t>
  </si>
  <si>
    <t>สิทธิวงศ์</t>
  </si>
  <si>
    <t>นาย ธรรมศาสตร์</t>
  </si>
  <si>
    <t>แสนสุข</t>
  </si>
  <si>
    <t>นาง ประคอง</t>
  </si>
  <si>
    <t>รัตนเมือง</t>
  </si>
  <si>
    <t>นาย ทองคูณ</t>
  </si>
  <si>
    <t>ศรีณรงค์</t>
  </si>
  <si>
    <t>นาย ธนสืบ</t>
  </si>
  <si>
    <t>ประจงค้า</t>
  </si>
  <si>
    <t>นาย ไพจิตร</t>
  </si>
  <si>
    <t>ศรีไพจิตรวรกุล</t>
  </si>
  <si>
    <t>นาย ชาญวิทย์</t>
  </si>
  <si>
    <t>พงษ์สุพรรณ</t>
  </si>
  <si>
    <t>ไทยน้อย</t>
  </si>
  <si>
    <t>นาง เพชรรัตน์</t>
  </si>
  <si>
    <t>นาง สมสิน</t>
  </si>
  <si>
    <t>สมบัติหลาย</t>
  </si>
  <si>
    <t>ว่าที่ พ.ต. วิเวก</t>
  </si>
  <si>
    <t>จงสูงเนิน</t>
  </si>
  <si>
    <t>นาย วีระชาติ</t>
  </si>
  <si>
    <t>คำสุภีร์</t>
  </si>
  <si>
    <t>หลวงจันทร์</t>
  </si>
  <si>
    <t>นาง ลำเยาว์</t>
  </si>
  <si>
    <t>วงค์สุขสิน</t>
  </si>
  <si>
    <t>นาง ภัชรินทร์</t>
  </si>
  <si>
    <t>วงษ์บุตร</t>
  </si>
  <si>
    <t>ใจเสมอ</t>
  </si>
  <si>
    <t>นาย ทนงชัย</t>
  </si>
  <si>
    <t>อัยยะจักร์</t>
  </si>
  <si>
    <t>บุญนา</t>
  </si>
  <si>
    <t>นาย เสรี</t>
  </si>
  <si>
    <t>พานิชย์</t>
  </si>
  <si>
    <t>นาง ประณีต</t>
  </si>
  <si>
    <t>ศรีอินทร์</t>
  </si>
  <si>
    <t>นาย เจิมศักดิ์</t>
  </si>
  <si>
    <t>เพิ่มปัญญา</t>
  </si>
  <si>
    <t>นาย มณฑล</t>
  </si>
  <si>
    <t>แก้วเบ้า</t>
  </si>
  <si>
    <t>นาย ชาณิช</t>
  </si>
  <si>
    <t>ภูแลนปิว</t>
  </si>
  <si>
    <t>นาง ประไพศรี</t>
  </si>
  <si>
    <t>วัฒนสาครกุล</t>
  </si>
  <si>
    <t>นาย สมปอง</t>
  </si>
  <si>
    <t>ภู่สูงเนิน</t>
  </si>
  <si>
    <t>แพนทิพย์</t>
  </si>
  <si>
    <t>อุปศรี</t>
  </si>
  <si>
    <t>นาย จุลพงษ์</t>
  </si>
  <si>
    <t>ดำรงค์ภูมิ</t>
  </si>
  <si>
    <t>กาแก้ว</t>
  </si>
  <si>
    <t>นาง ศศิธร</t>
  </si>
  <si>
    <t>ชัยยุทธ</t>
  </si>
  <si>
    <t>ชูสกุล</t>
  </si>
  <si>
    <t>สาลีวงศ์</t>
  </si>
  <si>
    <t xml:space="preserve">นางสาว วารินทร์รัตน์ </t>
  </si>
  <si>
    <t>พันธุ์สง่า</t>
  </si>
  <si>
    <t>ศรีหมื่นไวย</t>
  </si>
  <si>
    <t>รักษ์มณี</t>
  </si>
  <si>
    <t>ภิรมย์ภักดิ์</t>
  </si>
  <si>
    <t>นาย ทรงสันต์</t>
  </si>
  <si>
    <t>วิจารย์วงษ์</t>
  </si>
  <si>
    <t>นาง ไปรยา</t>
  </si>
  <si>
    <t>ดวงมณี</t>
  </si>
  <si>
    <t xml:space="preserve">นาย ณัฐวัฒน์ </t>
  </si>
  <si>
    <t>มะเริงสิทธิ์</t>
  </si>
  <si>
    <t>นาย สวาสดิ์</t>
  </si>
  <si>
    <t>ศรีบุบผา</t>
  </si>
  <si>
    <t>นาย ดิเรก</t>
  </si>
  <si>
    <t>นาย ไฉน</t>
  </si>
  <si>
    <t>ภูมอนท์</t>
  </si>
  <si>
    <t>นาย ไชยะ</t>
  </si>
  <si>
    <t>นาง อร่ามศรี</t>
  </si>
  <si>
    <t>พลเดชา</t>
  </si>
  <si>
    <t>นาย วีรเกียรติ</t>
  </si>
  <si>
    <t>เนาว์แก้ว</t>
  </si>
  <si>
    <t>ซาทัน</t>
  </si>
  <si>
    <t>นาง ทองวิลัย</t>
  </si>
  <si>
    <t>พิทักษ์ชาติ</t>
  </si>
  <si>
    <t>นาย ชัยสิทธิ์</t>
  </si>
  <si>
    <t>สมานพันธ์</t>
  </si>
  <si>
    <t>ดานประสิทธิ์</t>
  </si>
  <si>
    <t>นาย นิรันดร์</t>
  </si>
  <si>
    <t>โพธิ</t>
  </si>
  <si>
    <t>นาง ชนกแก้ว</t>
  </si>
  <si>
    <t>บุญโนนแต้</t>
  </si>
  <si>
    <t>นางสาว จีระพา</t>
  </si>
  <si>
    <t>ยืนชีวิต</t>
  </si>
  <si>
    <t>สนชัย</t>
  </si>
  <si>
    <t>คันทรง</t>
  </si>
  <si>
    <t>เสมา</t>
  </si>
  <si>
    <t>นางสาว จีรวรรณ</t>
  </si>
  <si>
    <t xml:space="preserve">ชาลีรินทร์ </t>
  </si>
  <si>
    <t>นาย พันธมิตร</t>
  </si>
  <si>
    <t>แซ่ค่ง</t>
  </si>
  <si>
    <t>นางสาว ฉัตรพร</t>
  </si>
  <si>
    <t>อรุณฉายแสง</t>
  </si>
  <si>
    <t xml:space="preserve">นาย เฉลิมศักดิ์ </t>
  </si>
  <si>
    <t xml:space="preserve">เฉลิมบุตร </t>
  </si>
  <si>
    <t>นาย สุรัตน์</t>
  </si>
  <si>
    <t>ดิษฐเชาวลิต</t>
  </si>
  <si>
    <t>เกษประทุม</t>
  </si>
  <si>
    <t>นาย สุภางค์</t>
  </si>
  <si>
    <t>ประภาร</t>
  </si>
  <si>
    <t>นาง รัญชนา</t>
  </si>
  <si>
    <t>มีชำนาญ</t>
  </si>
  <si>
    <t>นาง ธัญธิตา</t>
  </si>
  <si>
    <t>บุญญมณีกุล</t>
  </si>
  <si>
    <t xml:space="preserve">มากมูล </t>
  </si>
  <si>
    <t xml:space="preserve">นาย นิยม </t>
  </si>
  <si>
    <t xml:space="preserve">ศรีอภัย </t>
  </si>
  <si>
    <t xml:space="preserve">นาย ยุทธนา </t>
  </si>
  <si>
    <t xml:space="preserve">ศรีมุกดา </t>
  </si>
  <si>
    <t>นาย ภุชพงษ์</t>
  </si>
  <si>
    <t>พรามจร</t>
  </si>
  <si>
    <t>นางสาว อาทิตยา</t>
  </si>
  <si>
    <t>ศรทิพย์</t>
  </si>
  <si>
    <t>นางสาว นิกร</t>
  </si>
  <si>
    <t>สมมุ่ง</t>
  </si>
  <si>
    <t>นาย จรินทร์</t>
  </si>
  <si>
    <t>เกริ่นสระน้อย</t>
  </si>
  <si>
    <t>ศรีกรินทร์</t>
  </si>
  <si>
    <t>นาย สาคร</t>
  </si>
  <si>
    <t>มะลิดา</t>
  </si>
  <si>
    <t>นาง พนารัตน์</t>
  </si>
  <si>
    <t>ทวีศักดิ์</t>
  </si>
  <si>
    <t>นาย ทองพูน</t>
  </si>
  <si>
    <t>แซงภูเขียว</t>
  </si>
  <si>
    <t>นาง วิไลลักษณ์</t>
  </si>
  <si>
    <t>ยางป้อม</t>
  </si>
  <si>
    <t>นาย ชัยชนะ</t>
  </si>
  <si>
    <t>ภูมิคอนสาร</t>
  </si>
  <si>
    <t>ทวีชีพ</t>
  </si>
  <si>
    <t>เที่ยงคำ</t>
  </si>
  <si>
    <t>นาง มนชยา</t>
  </si>
  <si>
    <t>อินทรสกุล</t>
  </si>
  <si>
    <t>ขำสมบัติ</t>
  </si>
  <si>
    <t>นาง สุทธิพร</t>
  </si>
  <si>
    <t>พรมวิชัย</t>
  </si>
  <si>
    <t>นาง เย็นจิต</t>
  </si>
  <si>
    <t>อ่อนพะไล</t>
  </si>
  <si>
    <t>ดวงแสงจันทร์</t>
  </si>
  <si>
    <t>งามเสน่ห์</t>
  </si>
  <si>
    <t>นาย ณรงค์ชัย</t>
  </si>
  <si>
    <t>ชัยภักดี</t>
  </si>
  <si>
    <t>นาย อวยชัย</t>
  </si>
  <si>
    <t>หาญเวช</t>
  </si>
  <si>
    <t>นาง วิชุลดา</t>
  </si>
  <si>
    <t>อาสาสู้</t>
  </si>
  <si>
    <t>นาง กองพันธ์</t>
  </si>
  <si>
    <t>ยศกิจ</t>
  </si>
  <si>
    <t>นาย นิตินัย</t>
  </si>
  <si>
    <t>อาจกมล</t>
  </si>
  <si>
    <t>แก้วหย่อง</t>
  </si>
  <si>
    <t>จอกนาค</t>
  </si>
  <si>
    <t>นาย วุฒิ</t>
  </si>
  <si>
    <t>ยืนยง</t>
  </si>
  <si>
    <t>จันทร์บัว</t>
  </si>
  <si>
    <t>แก้วไพทูลย์</t>
  </si>
  <si>
    <t>เสมียนชัย</t>
  </si>
  <si>
    <t>นาย สุทธินันท์</t>
  </si>
  <si>
    <t>พองชัยภูมิ</t>
  </si>
  <si>
    <t>นาย สมควร</t>
  </si>
  <si>
    <t>ทะนารี</t>
  </si>
  <si>
    <t>นาย ธนพัต</t>
  </si>
  <si>
    <t>โพธิสิทธิประเสริฐ</t>
  </si>
  <si>
    <t>แก้งทอง</t>
  </si>
  <si>
    <t>นาง ศจี (ศศิธร)</t>
  </si>
  <si>
    <t>ประชากูล</t>
  </si>
  <si>
    <t>นางสาว ละม่อม</t>
  </si>
  <si>
    <t>สิงห์สุวรรณ</t>
  </si>
  <si>
    <t>นาย บุญพร้อม</t>
  </si>
  <si>
    <t>วงศ์ษา</t>
  </si>
  <si>
    <t>นาง ทองวัน</t>
  </si>
  <si>
    <t>ลีกอก</t>
  </si>
  <si>
    <t>นางสาว อารยา</t>
  </si>
  <si>
    <t>สงวนบุญ</t>
  </si>
  <si>
    <t>คันสูงเนิน</t>
  </si>
  <si>
    <t>นาง สราลี</t>
  </si>
  <si>
    <t xml:space="preserve">ภูสวัสดิ์เจริญ </t>
  </si>
  <si>
    <t>นาง ทิพาพร</t>
  </si>
  <si>
    <t>ไพรเขียว</t>
  </si>
  <si>
    <t>นาย มิตร</t>
  </si>
  <si>
    <t>ศรีโฉม</t>
  </si>
  <si>
    <t>นาง เนตรนภา</t>
  </si>
  <si>
    <t>ชมกิจ</t>
  </si>
  <si>
    <t>ใจวังโลก</t>
  </si>
  <si>
    <t>นาย นัตทวิช</t>
  </si>
  <si>
    <t>นาง พรพิตร</t>
  </si>
  <si>
    <t>ฉายแสง</t>
  </si>
  <si>
    <t xml:space="preserve">นาง ศิรินันท์ </t>
  </si>
  <si>
    <t xml:space="preserve">บริพันธ์ </t>
  </si>
  <si>
    <t>นาง จันทร์เพ็ญ</t>
  </si>
  <si>
    <t xml:space="preserve">เทวา </t>
  </si>
  <si>
    <t xml:space="preserve">นางสาว มยุรา </t>
  </si>
  <si>
    <t xml:space="preserve">ประยูรพันธ์ </t>
  </si>
  <si>
    <t xml:space="preserve">นางสาว ไฉทยา </t>
  </si>
  <si>
    <t xml:space="preserve">เพชรบูลย์ </t>
  </si>
  <si>
    <t xml:space="preserve">นางสาว ธีรตา </t>
  </si>
  <si>
    <t>อาจโยธา</t>
  </si>
  <si>
    <t xml:space="preserve">นางสาว สุพรรษา </t>
  </si>
  <si>
    <t>โตชัยภูมิ</t>
  </si>
  <si>
    <t xml:space="preserve">อาจกล้า </t>
  </si>
  <si>
    <t xml:space="preserve">ต่อสกุล </t>
  </si>
  <si>
    <t xml:space="preserve">นางสาว ลลิดา </t>
  </si>
  <si>
    <t xml:space="preserve">ชัยเนตร </t>
  </si>
  <si>
    <t>นาง กัญญาณัฐ</t>
  </si>
  <si>
    <t>รอดรังษี</t>
  </si>
  <si>
    <t>นางสาว สุปราณี</t>
  </si>
  <si>
    <t>อินบ้านผือ</t>
  </si>
  <si>
    <t>โคตรพรม</t>
  </si>
  <si>
    <t>นาย สุวสันต์</t>
  </si>
  <si>
    <t>ดวงจันทร์โชติ</t>
  </si>
  <si>
    <t xml:space="preserve">นาย ปิยวัช </t>
  </si>
  <si>
    <t xml:space="preserve">ชัยศรี </t>
  </si>
  <si>
    <t xml:space="preserve">นางสาว ปรียานุช </t>
  </si>
  <si>
    <t xml:space="preserve">มั่งมี </t>
  </si>
  <si>
    <t xml:space="preserve">นาย อนุพงษ์ </t>
  </si>
  <si>
    <t xml:space="preserve">คำสุภาพ </t>
  </si>
  <si>
    <t xml:space="preserve">นางสาว มัลลิกา </t>
  </si>
  <si>
    <t>จินดาจำนงค์</t>
  </si>
  <si>
    <t xml:space="preserve">นาย วีระยุทธ </t>
  </si>
  <si>
    <t xml:space="preserve">ละอองเอี่ยม </t>
  </si>
  <si>
    <t>นางสาว พุทธชาด</t>
  </si>
  <si>
    <t>สำราญวงษ์</t>
  </si>
  <si>
    <t xml:space="preserve">นางสาว ทัศยา </t>
  </si>
  <si>
    <t xml:space="preserve">ตาปราบ </t>
  </si>
  <si>
    <t xml:space="preserve">นางสาว อนุสรณ์ </t>
  </si>
  <si>
    <t>ขุนโนนเขวา</t>
  </si>
  <si>
    <t>ปัชชาเขียว</t>
  </si>
  <si>
    <t>โกยทรัพย์มา</t>
  </si>
  <si>
    <t xml:space="preserve">นาย สุขสรร </t>
  </si>
  <si>
    <t xml:space="preserve">น้อยยะ </t>
  </si>
  <si>
    <t xml:space="preserve">นางสาว ประทุมพร </t>
  </si>
  <si>
    <t xml:space="preserve">คำภาสุข </t>
  </si>
  <si>
    <t xml:space="preserve">นางสาว เกียรติสุดา </t>
  </si>
  <si>
    <t xml:space="preserve">มาศไตร </t>
  </si>
  <si>
    <t xml:space="preserve">นาง ชลลดา </t>
  </si>
  <si>
    <t xml:space="preserve">จันทร์ฟอง </t>
  </si>
  <si>
    <t>นาย ชัยกุล</t>
  </si>
  <si>
    <t>วงษ์สำราญ</t>
  </si>
  <si>
    <t>นางสาว ชุติกาญจน์</t>
  </si>
  <si>
    <t>ชัยคิรินทร์</t>
  </si>
  <si>
    <t xml:space="preserve">นาย เกียรติทวี </t>
  </si>
  <si>
    <t xml:space="preserve">วงษ์มาตร </t>
  </si>
  <si>
    <t>นาย คมจิตร์</t>
  </si>
  <si>
    <t>คามตะศิลา</t>
  </si>
  <si>
    <t>นางสาว พิลัยพร</t>
  </si>
  <si>
    <t>ดื่มโชค</t>
  </si>
  <si>
    <t>นาย จิรพนธ์</t>
  </si>
  <si>
    <t>คำอิน</t>
  </si>
  <si>
    <t>ว่าที่ ร.ต.หญิง สุภิญญ์ธรัชต์</t>
  </si>
  <si>
    <t>ไพรบูรณ์</t>
  </si>
  <si>
    <t>นางสาว อารียา</t>
  </si>
  <si>
    <t>กัณฑะโรจน์</t>
  </si>
  <si>
    <t>นางสาว มัสยา</t>
  </si>
  <si>
    <t>เอื้อประชา</t>
  </si>
  <si>
    <t xml:space="preserve">นาย นรินทร์ชาติ </t>
  </si>
  <si>
    <t>วีระพงษ์สุชาติ</t>
  </si>
  <si>
    <t>นางสาว ขวัญสุดา</t>
  </si>
  <si>
    <t>ขันบุตร</t>
  </si>
  <si>
    <t>นาย โพยม</t>
  </si>
  <si>
    <t>ศรวิชัย</t>
  </si>
  <si>
    <t>นางสาว ศมพร</t>
  </si>
  <si>
    <t>นางสาว ศศิวิมล</t>
  </si>
  <si>
    <t>คำทองสุข</t>
  </si>
  <si>
    <t>นาย อัฐพล</t>
  </si>
  <si>
    <t>แก้วหานาม</t>
  </si>
  <si>
    <t xml:space="preserve">นางสาว ธิติพร </t>
  </si>
  <si>
    <t xml:space="preserve">สีตานันท์ </t>
  </si>
  <si>
    <t xml:space="preserve">นางสาว ดวงกมล </t>
  </si>
  <si>
    <t>เริ่มตระกูล</t>
  </si>
  <si>
    <t xml:space="preserve">นางสาว ยุพดี </t>
  </si>
  <si>
    <t xml:space="preserve">เจริญรัตนไพฑูรย์ </t>
  </si>
  <si>
    <t xml:space="preserve">นาย วรวิทย์ </t>
  </si>
  <si>
    <t xml:space="preserve">ดำรักษ์ </t>
  </si>
  <si>
    <t>วรุณศรี</t>
  </si>
  <si>
    <t xml:space="preserve">นาย ภูริวัฒน์ </t>
  </si>
  <si>
    <t>สุขศิริ</t>
  </si>
  <si>
    <t xml:space="preserve">นางสาว ฉวีลาวัลย์ </t>
  </si>
  <si>
    <t xml:space="preserve">พิเศษศักดิ์ </t>
  </si>
  <si>
    <t xml:space="preserve">นางสาว สมกมล </t>
  </si>
  <si>
    <t xml:space="preserve">สมบัติใหม่ </t>
  </si>
  <si>
    <t xml:space="preserve">นางสาว เนตรชนนี </t>
  </si>
  <si>
    <t xml:space="preserve">คำสัตย์ </t>
  </si>
  <si>
    <t xml:space="preserve">นางสาว วลีพรรณ </t>
  </si>
  <si>
    <t xml:space="preserve">อาบสุวรรณ </t>
  </si>
  <si>
    <t>นาย ไกรศร</t>
  </si>
  <si>
    <t>แจ่มจันทร์</t>
  </si>
  <si>
    <t>นาย ธนพันธ์</t>
  </si>
  <si>
    <t>สุวรรณสโรช</t>
  </si>
  <si>
    <t xml:space="preserve">นาย ชลธี </t>
  </si>
  <si>
    <t xml:space="preserve">หมุกแก้ว </t>
  </si>
  <si>
    <t>นาง จำเนียร</t>
  </si>
  <si>
    <t>สุทธิศาสตร์สกุล</t>
  </si>
  <si>
    <t>นาง ประภาพร</t>
  </si>
  <si>
    <t>นางสาว ณัฐรดา</t>
  </si>
  <si>
    <t>ประกิจ</t>
  </si>
  <si>
    <t>นางสาว นิดาภรณ์</t>
  </si>
  <si>
    <t>นะที</t>
  </si>
  <si>
    <t>นางสาว ณัฐจิรา</t>
  </si>
  <si>
    <t>ชูเดช</t>
  </si>
  <si>
    <t>นาง นิภา</t>
  </si>
  <si>
    <t>เยาวละออง</t>
  </si>
  <si>
    <t>นาย ไมตรี</t>
  </si>
  <si>
    <t>ภู่ขวัญเมือง</t>
  </si>
  <si>
    <t>นาย โชติ</t>
  </si>
  <si>
    <t>สุขอนันต์</t>
  </si>
  <si>
    <t>นาย ไชยยงค์</t>
  </si>
  <si>
    <t>คงตรีแก้ว</t>
  </si>
  <si>
    <t>นาย เกษตรศิลป์</t>
  </si>
  <si>
    <t>นวลสะอาด</t>
  </si>
  <si>
    <t>นาย บุญโชติ</t>
  </si>
  <si>
    <t>วัลลภา</t>
  </si>
  <si>
    <t>นาย พิสิฐ</t>
  </si>
  <si>
    <t>วิรัตินันท์</t>
  </si>
  <si>
    <t>นาย ถวัช</t>
  </si>
  <si>
    <t>นพเกื้อ</t>
  </si>
  <si>
    <t>นาย เหมวงศ์</t>
  </si>
  <si>
    <t>ประกอบบุญศิลป์</t>
  </si>
  <si>
    <t>ขำบุญเกิด</t>
  </si>
  <si>
    <t>คุณวุฒิ</t>
  </si>
  <si>
    <t>นาย นิเทศก์</t>
  </si>
  <si>
    <t>ซังธาดา</t>
  </si>
  <si>
    <t>ช่างกลึงเหมาะ</t>
  </si>
  <si>
    <t>นาย สะเทื้อน</t>
  </si>
  <si>
    <t>แจ้งจุล</t>
  </si>
  <si>
    <t>คงแก้ว</t>
  </si>
  <si>
    <t>รัตนหาญ</t>
  </si>
  <si>
    <t>นาง สมจิตร</t>
  </si>
  <si>
    <t>ภุกาม</t>
  </si>
  <si>
    <t>แย้มโสพิศ</t>
  </si>
  <si>
    <t>นาง มะลิ</t>
  </si>
  <si>
    <t>ไสยสุวรรณ</t>
  </si>
  <si>
    <t>นาย เกรียงศักดิ์</t>
  </si>
  <si>
    <t>พรหมเกิดทอง</t>
  </si>
  <si>
    <t>นาง อาภรณ์</t>
  </si>
  <si>
    <t>ภักษา</t>
  </si>
  <si>
    <t>รื่นฤทัย</t>
  </si>
  <si>
    <t>นางสาว วิรวรรณ</t>
  </si>
  <si>
    <t>โกกิฬา</t>
  </si>
  <si>
    <t>นาย เกษมศักดิ์</t>
  </si>
  <si>
    <t>พงษ์พันธ์เกษม</t>
  </si>
  <si>
    <t>นาง ภานี</t>
  </si>
  <si>
    <t>อบแพทย์</t>
  </si>
  <si>
    <t>ภักดีคง</t>
  </si>
  <si>
    <t>นาง นิศราวรรณ</t>
  </si>
  <si>
    <t>นาย สฤษฎิ์พร</t>
  </si>
  <si>
    <t>ขาวชู</t>
  </si>
  <si>
    <t>นาย วิมล</t>
  </si>
  <si>
    <t>บัวชาวเกาะ</t>
  </si>
  <si>
    <t>นาย สุขุม</t>
  </si>
  <si>
    <t>สุขเสวียด</t>
  </si>
  <si>
    <t>กลางณรงค์</t>
  </si>
  <si>
    <t>นาย สุพิชัย</t>
  </si>
  <si>
    <t>หมายเมฆ</t>
  </si>
  <si>
    <t>นาย สมหวัง</t>
  </si>
  <si>
    <t>กิ้มจันทร์</t>
  </si>
  <si>
    <t>นาย ตรัยรัตน์</t>
  </si>
  <si>
    <t>อิสรภาค</t>
  </si>
  <si>
    <t>นาง สายใจ</t>
  </si>
  <si>
    <t>ปุญจุบัน</t>
  </si>
  <si>
    <t>นาย คณารัฐ</t>
  </si>
  <si>
    <t>บ่าวแอ</t>
  </si>
  <si>
    <t>จินสกุล</t>
  </si>
  <si>
    <t>ศศิสนธิ์</t>
  </si>
  <si>
    <t>เสน่ห์ภักดี</t>
  </si>
  <si>
    <t>จักรมานนท์</t>
  </si>
  <si>
    <t>นาย บรรยง</t>
  </si>
  <si>
    <t>สันติพิทักษ์</t>
  </si>
  <si>
    <t>วรรธนะนาถ</t>
  </si>
  <si>
    <t>บุญทิพย์</t>
  </si>
  <si>
    <t>นาย เลอฉัตร</t>
  </si>
  <si>
    <t>ชัยสงคราม</t>
  </si>
  <si>
    <t>นวลขาว</t>
  </si>
  <si>
    <t>ไหมพรหม</t>
  </si>
  <si>
    <t xml:space="preserve">แสงบางกา </t>
  </si>
  <si>
    <t>หนูตะเภา</t>
  </si>
  <si>
    <t>นาย จำเนียร</t>
  </si>
  <si>
    <t>ทองเอียง</t>
  </si>
  <si>
    <t>วรังอาจ</t>
  </si>
  <si>
    <t xml:space="preserve">นาย ศรายุทธ </t>
  </si>
  <si>
    <t xml:space="preserve">นวลเนาว์ </t>
  </si>
  <si>
    <t xml:space="preserve">นางสาว พรรณวดี </t>
  </si>
  <si>
    <t xml:space="preserve">อรุณทัต </t>
  </si>
  <si>
    <t>นางสาว สุวรรณ์</t>
  </si>
  <si>
    <t>โกเมน</t>
  </si>
  <si>
    <t>นางสาว จุลีย์</t>
  </si>
  <si>
    <t>จอมปุก</t>
  </si>
  <si>
    <t>นาง เจนจิรา</t>
  </si>
  <si>
    <t>สังข์ทอง</t>
  </si>
  <si>
    <t xml:space="preserve">นางสาว อัมพวรรณ </t>
  </si>
  <si>
    <t xml:space="preserve">มณีโชติ </t>
  </si>
  <si>
    <t>ชุมคง</t>
  </si>
  <si>
    <t>จงหวัง</t>
  </si>
  <si>
    <t xml:space="preserve">นาย เทวินทร์ </t>
  </si>
  <si>
    <t>พุทธวันท์</t>
  </si>
  <si>
    <t>เพชรมุนี</t>
  </si>
  <si>
    <t>พิมลศรี</t>
  </si>
  <si>
    <t>นาง พัฒนา</t>
  </si>
  <si>
    <t xml:space="preserve">ครุฑกาศ </t>
  </si>
  <si>
    <t>นางสาว จุมพิตตา</t>
  </si>
  <si>
    <t>คชวงศ์</t>
  </si>
  <si>
    <t>ปานเมือง</t>
  </si>
  <si>
    <t>ตามพะปัณณะ</t>
  </si>
  <si>
    <t>นาย ไชยรัตน์</t>
  </si>
  <si>
    <t>ศรีท่าซอม</t>
  </si>
  <si>
    <t>ยอดอุดม</t>
  </si>
  <si>
    <t>นาง ประเทือง</t>
  </si>
  <si>
    <t>นาง คนึงนิจ</t>
  </si>
  <si>
    <t>มาช่วย</t>
  </si>
  <si>
    <t>ยอดไหม</t>
  </si>
  <si>
    <t>แพ่งแสง</t>
  </si>
  <si>
    <t>ยังจีน</t>
  </si>
  <si>
    <t>บุญเกื้อ</t>
  </si>
  <si>
    <t>บุญเจริญ</t>
  </si>
  <si>
    <t>บุญเทศ</t>
  </si>
  <si>
    <t>สินเสวตร</t>
  </si>
  <si>
    <t>แผ่ดิลกกุล</t>
  </si>
  <si>
    <t>นาง นันทนีย์</t>
  </si>
  <si>
    <t>สินทรัพย์</t>
  </si>
  <si>
    <t>นาย นบพรรัตน์</t>
  </si>
  <si>
    <t>พันธ์แทน</t>
  </si>
  <si>
    <t>นาง สุณีย์</t>
  </si>
  <si>
    <t>สมหมาย</t>
  </si>
  <si>
    <t>นาง อุธารา</t>
  </si>
  <si>
    <t>เถาเล็ก</t>
  </si>
  <si>
    <t>นาย สุทธิศักดิ์</t>
  </si>
  <si>
    <t>ด่านสวัสดิ์</t>
  </si>
  <si>
    <t>นาง ภิรมย์รัตน์</t>
  </si>
  <si>
    <t>นาง พัฒรา</t>
  </si>
  <si>
    <t>บุญรอด</t>
  </si>
  <si>
    <t>นางสาว นพเกล้า</t>
  </si>
  <si>
    <t>ดวงหิรัญภักดี</t>
  </si>
  <si>
    <t>นาง เขมจิรา</t>
  </si>
  <si>
    <t>ศาริตวรรธน์</t>
  </si>
  <si>
    <t>นางสาว ณัทฐิมา</t>
  </si>
  <si>
    <t>นางสาว มัณฑนา</t>
  </si>
  <si>
    <t>ไทยละออง</t>
  </si>
  <si>
    <t>นางสาว จิรัชยา</t>
  </si>
  <si>
    <t>จักรน้อย</t>
  </si>
  <si>
    <t xml:space="preserve">นางสาว หทัยรัตน์ </t>
  </si>
  <si>
    <t xml:space="preserve">สินสวัสดิ์ </t>
  </si>
  <si>
    <t>นาง จุฑาทิพย์</t>
  </si>
  <si>
    <t xml:space="preserve">ไชยสอน </t>
  </si>
  <si>
    <t>นางสาว น้ำฝน</t>
  </si>
  <si>
    <t>ลือขจร</t>
  </si>
  <si>
    <t xml:space="preserve">นาง ธิรารัตน์ </t>
  </si>
  <si>
    <t xml:space="preserve">สุวรรณเล็ก </t>
  </si>
  <si>
    <t xml:space="preserve">นาง พจณีย์ </t>
  </si>
  <si>
    <t xml:space="preserve">นางสาว อรกมล </t>
  </si>
  <si>
    <t xml:space="preserve">ฤคดี </t>
  </si>
  <si>
    <t xml:space="preserve">นางสาว วรุณย์พันธ์ </t>
  </si>
  <si>
    <t xml:space="preserve">บัวสงค์ </t>
  </si>
  <si>
    <t xml:space="preserve">นางสาว อรอุมา </t>
  </si>
  <si>
    <t xml:space="preserve">เทศรัตน์ </t>
  </si>
  <si>
    <t>รัตนพันธ์</t>
  </si>
  <si>
    <t>นุ้ยเมือง</t>
  </si>
  <si>
    <t>พุ่มขจร</t>
  </si>
  <si>
    <t>นาย เดชจรัส</t>
  </si>
  <si>
    <t xml:space="preserve">ยังพลขันธ์ </t>
  </si>
  <si>
    <t xml:space="preserve">นาง ยินดี </t>
  </si>
  <si>
    <t>แสงแก้ว</t>
  </si>
  <si>
    <t xml:space="preserve">นางสาว ชฏารัตน์ </t>
  </si>
  <si>
    <t xml:space="preserve">พรหมศิลา </t>
  </si>
  <si>
    <t>นางสาว ทิพวิมล</t>
  </si>
  <si>
    <t>จันทร์สุริย์</t>
  </si>
  <si>
    <t>นาย ถิรวุฒิ</t>
  </si>
  <si>
    <t>หนูเสน</t>
  </si>
  <si>
    <t>ช่วยสุข</t>
  </si>
  <si>
    <t>นาคฉายา</t>
  </si>
  <si>
    <t xml:space="preserve">นาย วทัญญู  </t>
  </si>
  <si>
    <t>สุขประวิทย์</t>
  </si>
  <si>
    <t>นางสาว จันทร์จิรา</t>
  </si>
  <si>
    <t>แก้วเรือง</t>
  </si>
  <si>
    <t xml:space="preserve">นาย เอกศักดิ์ </t>
  </si>
  <si>
    <t xml:space="preserve">ดุลยพัชร์ </t>
  </si>
  <si>
    <t>นางสาว ภัทรา</t>
  </si>
  <si>
    <t>ฉัตรชัยพันธ์</t>
  </si>
  <si>
    <t xml:space="preserve">นาย กีรติ </t>
  </si>
  <si>
    <t xml:space="preserve">อุสาหวงษ์ </t>
  </si>
  <si>
    <t xml:space="preserve">นาย สันติ </t>
  </si>
  <si>
    <t>นางสาว ชนัญพร</t>
  </si>
  <si>
    <t>หิรัญเรือง</t>
  </si>
  <si>
    <t>นาย สุวิทย์</t>
  </si>
  <si>
    <t>นาง วัลลภา</t>
  </si>
  <si>
    <t>ปิ่นจอม</t>
  </si>
  <si>
    <t>กำเหนิดโทน</t>
  </si>
  <si>
    <t>นาย อดิศร</t>
  </si>
  <si>
    <t>อินทองคำ</t>
  </si>
  <si>
    <t>รัตนโกมล</t>
  </si>
  <si>
    <t>นาย วรพงษ์</t>
  </si>
  <si>
    <t>หอมแก่นจันทร์</t>
  </si>
  <si>
    <t>นาย มิ่งขวัญ</t>
  </si>
  <si>
    <t>ประทุมมณี</t>
  </si>
  <si>
    <t>ไผ่ผาด</t>
  </si>
  <si>
    <t>กมลหาญ</t>
  </si>
  <si>
    <t>วิจักขณาภรณ์</t>
  </si>
  <si>
    <t>นาย วัชระ</t>
  </si>
  <si>
    <t>แก้วเทียน</t>
  </si>
  <si>
    <t>นุเสน</t>
  </si>
  <si>
    <t>นาง จิรวรรณ</t>
  </si>
  <si>
    <t>ประเสริฐสันติ</t>
  </si>
  <si>
    <t>ชีวะสาธน์</t>
  </si>
  <si>
    <t>นาย อติรุจ</t>
  </si>
  <si>
    <t>จันทรา</t>
  </si>
  <si>
    <t>นาย จำนงค์</t>
  </si>
  <si>
    <t>สร้อยแก้ว</t>
  </si>
  <si>
    <t>นาง รัชนี</t>
  </si>
  <si>
    <t>พิมพ์อุบล</t>
  </si>
  <si>
    <t>นางสาว นิตยา</t>
  </si>
  <si>
    <t>ประพันธ์วงค์</t>
  </si>
  <si>
    <t>นาง สุภาวรรณ</t>
  </si>
  <si>
    <t>กิตติพัฒนวิทย์</t>
  </si>
  <si>
    <t>นาง โชติกา</t>
  </si>
  <si>
    <t>เนียมม่วง</t>
  </si>
  <si>
    <t>ทิพย์รัตน์</t>
  </si>
  <si>
    <t>สมบัติใหม่</t>
  </si>
  <si>
    <t>นาย ปองภพ</t>
  </si>
  <si>
    <t>อิตา</t>
  </si>
  <si>
    <t>นาย ตรีเดช</t>
  </si>
  <si>
    <t>ศรีเจริญพันธ์</t>
  </si>
  <si>
    <t>นาย ประสาน</t>
  </si>
  <si>
    <t>ศรีธิเดช</t>
  </si>
  <si>
    <t>นาย จุมพล</t>
  </si>
  <si>
    <t>หงษาคำ</t>
  </si>
  <si>
    <t>นาย พรศักดิ์</t>
  </si>
  <si>
    <t>นันตะรัตน์</t>
  </si>
  <si>
    <t>นาย สืบวงศ์</t>
  </si>
  <si>
    <t>ขัดสงคราม</t>
  </si>
  <si>
    <t>นางสาว สมศรี</t>
  </si>
  <si>
    <t>นาง สายรุ้ง</t>
  </si>
  <si>
    <t>วงศ์สุภา</t>
  </si>
  <si>
    <t>พาที</t>
  </si>
  <si>
    <t>ชัยเขต</t>
  </si>
  <si>
    <t>เครื่องพนัส</t>
  </si>
  <si>
    <t>สวยงาม</t>
  </si>
  <si>
    <t>จิตไพโรจน์</t>
  </si>
  <si>
    <t>ถาแปง</t>
  </si>
  <si>
    <t>นาย ขิณรัตน์</t>
  </si>
  <si>
    <t>สินสิทธิพล</t>
  </si>
  <si>
    <t>นาย เกษตรนพ</t>
  </si>
  <si>
    <t>ยามี</t>
  </si>
  <si>
    <t>จีระยา</t>
  </si>
  <si>
    <t>วังมณี</t>
  </si>
  <si>
    <t>นาย อวิรุทธ์</t>
  </si>
  <si>
    <t>ธรรมราช</t>
  </si>
  <si>
    <t>นาย สุพินท์</t>
  </si>
  <si>
    <t>บัวหลวง</t>
  </si>
  <si>
    <t>นาย อุทิศ</t>
  </si>
  <si>
    <t>ชูยัง</t>
  </si>
  <si>
    <t>นาย อานนท์</t>
  </si>
  <si>
    <t>นาระถี</t>
  </si>
  <si>
    <t>สุทธิ์เตนันท์</t>
  </si>
  <si>
    <t>นาง ประเสริฐศรี</t>
  </si>
  <si>
    <t>เกียรติพรศักดา</t>
  </si>
  <si>
    <t>นาย สยาม</t>
  </si>
  <si>
    <t>เขื่อนมงคล</t>
  </si>
  <si>
    <t>สุรัตน์</t>
  </si>
  <si>
    <t>นาย สุมิตร</t>
  </si>
  <si>
    <t>ปินใจ</t>
  </si>
  <si>
    <t>โนวิชัย</t>
  </si>
  <si>
    <t>วันดี</t>
  </si>
  <si>
    <t>นาย สุภพ</t>
  </si>
  <si>
    <t>พรหมมินทร์</t>
  </si>
  <si>
    <t>นาย พันธ์ศักดิ์</t>
  </si>
  <si>
    <t>เตปันวงศ์</t>
  </si>
  <si>
    <t>กิติรัตน์</t>
  </si>
  <si>
    <t>นาง สร้อยแก้ว</t>
  </si>
  <si>
    <t>อุตสาห์ปัน</t>
  </si>
  <si>
    <t>ยศแสน</t>
  </si>
  <si>
    <t>นาย สกณธ์</t>
  </si>
  <si>
    <t>พูนประพันธ์</t>
  </si>
  <si>
    <t>ศิริเทพ</t>
  </si>
  <si>
    <t>นาง แก้วพา</t>
  </si>
  <si>
    <t>คุ้มกล่ำ</t>
  </si>
  <si>
    <t>สังเวียนวงศ์</t>
  </si>
  <si>
    <t>แสงออมสิน</t>
  </si>
  <si>
    <t>นาง ทองดี</t>
  </si>
  <si>
    <t>อริยสุกริม</t>
  </si>
  <si>
    <t>พวงมาลัย</t>
  </si>
  <si>
    <t>นาย สุพันธ์</t>
  </si>
  <si>
    <t>แสนบ้าน</t>
  </si>
  <si>
    <t>คำแสง</t>
  </si>
  <si>
    <t>นาย อาลี</t>
  </si>
  <si>
    <t>ปัญญาวิชัย</t>
  </si>
  <si>
    <t>นาย วิสิษฐ์</t>
  </si>
  <si>
    <t>โสภาภูมิ</t>
  </si>
  <si>
    <t>นาง กมลวรรณ</t>
  </si>
  <si>
    <t>กุมารัตน์</t>
  </si>
  <si>
    <t>อินตาพรหม</t>
  </si>
  <si>
    <t>นาง วิไล</t>
  </si>
  <si>
    <t>อินต๊ะลือ</t>
  </si>
  <si>
    <t>นาง ศุภวรรณ</t>
  </si>
  <si>
    <t>รูปสวย</t>
  </si>
  <si>
    <t>นาย พิพัฒน์</t>
  </si>
  <si>
    <t>เครือใจยา</t>
  </si>
  <si>
    <t>วีระพันธ์</t>
  </si>
  <si>
    <t>นาย เรืองชัย</t>
  </si>
  <si>
    <t>มงคลดี</t>
  </si>
  <si>
    <t>นาง ไพวรรณ์</t>
  </si>
  <si>
    <t>ศิริสัญลักษณ์</t>
  </si>
  <si>
    <t>นาง วัฒนา</t>
  </si>
  <si>
    <t>มโนหาญ</t>
  </si>
  <si>
    <t>นาย บุญมา</t>
  </si>
  <si>
    <t>ยุวพลธนากร</t>
  </si>
  <si>
    <t>ทานศิลา</t>
  </si>
  <si>
    <t>วงศ์ไชยยา</t>
  </si>
  <si>
    <t>นาย สพล</t>
  </si>
  <si>
    <t>พรหมเทพ</t>
  </si>
  <si>
    <t>นาย สัมภาษณ์</t>
  </si>
  <si>
    <t>ดาวเด่น</t>
  </si>
  <si>
    <t>นาย ทนงศักดิ์</t>
  </si>
  <si>
    <t>หน่อสุวรรณ</t>
  </si>
  <si>
    <t>ทางลิขิตกุล</t>
  </si>
  <si>
    <t>นาย สำเภา</t>
  </si>
  <si>
    <t>ดีใจ</t>
  </si>
  <si>
    <t>นาย อุเดช</t>
  </si>
  <si>
    <t>นาง กาญจนีย์</t>
  </si>
  <si>
    <t>วิชารัตน์</t>
  </si>
  <si>
    <t>นาย อุดมศักดิ์</t>
  </si>
  <si>
    <t>คำมูล</t>
  </si>
  <si>
    <t>นาย ทรงเสด็จ</t>
  </si>
  <si>
    <t>ศิริชัย</t>
  </si>
  <si>
    <t>นาย สัญชัย</t>
  </si>
  <si>
    <t>อึ้งรังษี</t>
  </si>
  <si>
    <t>นาย ประพล</t>
  </si>
  <si>
    <t>สลุงอยู่</t>
  </si>
  <si>
    <t>นางสาว ยุพิน</t>
  </si>
  <si>
    <t>เพ็ญภินันท์</t>
  </si>
  <si>
    <t>นาย นพดล</t>
  </si>
  <si>
    <t>สุวรรณะ</t>
  </si>
  <si>
    <t>ไชยทารินทร์</t>
  </si>
  <si>
    <t xml:space="preserve">นางสาว ธันยนันท์ </t>
  </si>
  <si>
    <t>พันธ์รังสิต</t>
  </si>
  <si>
    <t>ริยะสาร</t>
  </si>
  <si>
    <t>นาย มาโนชญ์</t>
  </si>
  <si>
    <t>ชีช้าง</t>
  </si>
  <si>
    <t>นาย เวนิส</t>
  </si>
  <si>
    <t>จันทร์พานิช</t>
  </si>
  <si>
    <t>นาย ดำรง</t>
  </si>
  <si>
    <t>อินทร์ปิ่น</t>
  </si>
  <si>
    <t xml:space="preserve">นาย ทวี </t>
  </si>
  <si>
    <t xml:space="preserve">ทิพยศักดิ์ </t>
  </si>
  <si>
    <t xml:space="preserve">นาง ศิริพร </t>
  </si>
  <si>
    <t xml:space="preserve">ชีช้าง </t>
  </si>
  <si>
    <t>ไชยชมภู</t>
  </si>
  <si>
    <t>นาย นพรัตน์</t>
  </si>
  <si>
    <t>นาย อิ่มคำ</t>
  </si>
  <si>
    <t>มะโนวรรณ์</t>
  </si>
  <si>
    <t>นาย รุ่งพิทัย</t>
  </si>
  <si>
    <t>นาย วุฒินันท์</t>
  </si>
  <si>
    <t>จินตกานนท์</t>
  </si>
  <si>
    <t>นาย จีระศักดิ์</t>
  </si>
  <si>
    <t>อะทะวงษา</t>
  </si>
  <si>
    <t>นาย เสน่ห์</t>
  </si>
  <si>
    <t>บุตรดี</t>
  </si>
  <si>
    <t xml:space="preserve">นางสาว อรทัย </t>
  </si>
  <si>
    <t xml:space="preserve">งูเขียว </t>
  </si>
  <si>
    <t>นาย สุรัจ</t>
  </si>
  <si>
    <t>เลิศวิชัยกุล</t>
  </si>
  <si>
    <t>นางสาว พัชรา</t>
  </si>
  <si>
    <t>นางสาว กัลย์ธีรา</t>
  </si>
  <si>
    <t>คันธา</t>
  </si>
  <si>
    <t xml:space="preserve">นางสาว อ้อ </t>
  </si>
  <si>
    <t xml:space="preserve">แปงสมุทร </t>
  </si>
  <si>
    <t xml:space="preserve">นาย สุรินทร์ </t>
  </si>
  <si>
    <t xml:space="preserve">ต๊ะกาบโพธิ์ </t>
  </si>
  <si>
    <t xml:space="preserve">นางสาว เจนธิรา </t>
  </si>
  <si>
    <t xml:space="preserve">ไทยกรณ์ </t>
  </si>
  <si>
    <t xml:space="preserve">นาย อนุวัฒน์ </t>
  </si>
  <si>
    <t xml:space="preserve">สิทธิปัญญา </t>
  </si>
  <si>
    <t xml:space="preserve">กันหา </t>
  </si>
  <si>
    <t xml:space="preserve">นาย ดุสิต </t>
  </si>
  <si>
    <t xml:space="preserve">บุญฤทธิ์ </t>
  </si>
  <si>
    <t>นาง นงนุช</t>
  </si>
  <si>
    <t xml:space="preserve">นาง นงลักษณ์ </t>
  </si>
  <si>
    <t>แสงคำ</t>
  </si>
  <si>
    <t>นาง ดวงเด่น</t>
  </si>
  <si>
    <t>เสธา</t>
  </si>
  <si>
    <t xml:space="preserve">นางสาว วิภาวดี </t>
  </si>
  <si>
    <t>ศรีโยทัย</t>
  </si>
  <si>
    <t>นาง ทิวาวรรณ์</t>
  </si>
  <si>
    <t>วรรณคำ</t>
  </si>
  <si>
    <t>นาย สรายุทธ</t>
  </si>
  <si>
    <t>พุทธรักษา</t>
  </si>
  <si>
    <t xml:space="preserve">นางสาว วีร์สุดา </t>
  </si>
  <si>
    <t xml:space="preserve">ศรีจันทร์ </t>
  </si>
  <si>
    <t>นาย ทองชุม</t>
  </si>
  <si>
    <t>กันทา</t>
  </si>
  <si>
    <t>นาย สุรพลไชย</t>
  </si>
  <si>
    <t>ผดุงพงษ์ศิริ</t>
  </si>
  <si>
    <t>นาง ศยามล</t>
  </si>
  <si>
    <t>จิตตางกูร</t>
  </si>
  <si>
    <t>นาย ถาวร</t>
  </si>
  <si>
    <t>วงศ์ชัย</t>
  </si>
  <si>
    <t>นาง นงคราญ</t>
  </si>
  <si>
    <t>สองเมืองแก่น</t>
  </si>
  <si>
    <t>นาย สันติภาพ</t>
  </si>
  <si>
    <t>นางสาว จีรภัทร</t>
  </si>
  <si>
    <t>ภิระบรรณ์</t>
  </si>
  <si>
    <t>นาง ไพรวัลย์</t>
  </si>
  <si>
    <t>นาย ไพยนต์</t>
  </si>
  <si>
    <t>งานมูลเขียว</t>
  </si>
  <si>
    <t>นาย กำจร</t>
  </si>
  <si>
    <t>ขัติกันทา</t>
  </si>
  <si>
    <t>แสนบุญยงค์</t>
  </si>
  <si>
    <t>นาย สมรรถชัย</t>
  </si>
  <si>
    <t>มาลารัตน์</t>
  </si>
  <si>
    <t>ชัยวร</t>
  </si>
  <si>
    <t>พรมจันทร์ตา</t>
  </si>
  <si>
    <t>นางสาว กชพร</t>
  </si>
  <si>
    <t>สุนันต๊ะ</t>
  </si>
  <si>
    <t>นางสาว วาทินี</t>
  </si>
  <si>
    <t>จำนงสุทธเสถียร</t>
  </si>
  <si>
    <t xml:space="preserve">นางสาว วัชรินทร์ </t>
  </si>
  <si>
    <t xml:space="preserve">ปันก่อ </t>
  </si>
  <si>
    <t xml:space="preserve">นางสาว อรนุช </t>
  </si>
  <si>
    <t>มั่งมี</t>
  </si>
  <si>
    <t>นางสาว รัชนีกร</t>
  </si>
  <si>
    <t xml:space="preserve">บั้งเงิน </t>
  </si>
  <si>
    <t>นาย ดลพ</t>
  </si>
  <si>
    <t>สุภาวรรณ์</t>
  </si>
  <si>
    <t xml:space="preserve">ชัยชนะ </t>
  </si>
  <si>
    <t>นางสาว สิริลักษณ์</t>
  </si>
  <si>
    <t>มุนิจารวัฒนกุล</t>
  </si>
  <si>
    <t>นางสาว วรญา</t>
  </si>
  <si>
    <t xml:space="preserve">สิงห์สุริยะ </t>
  </si>
  <si>
    <t xml:space="preserve">นาย หิรัญญิกาภรณ์ </t>
  </si>
  <si>
    <t xml:space="preserve">ภูวชานนท์ </t>
  </si>
  <si>
    <t>นางสาว วราขวัญ</t>
  </si>
  <si>
    <t>บุญยัง</t>
  </si>
  <si>
    <t xml:space="preserve">นาย ยุทธพล </t>
  </si>
  <si>
    <t xml:space="preserve">ทองปรีชา </t>
  </si>
  <si>
    <t>นางสาว อุบลทิพย์</t>
  </si>
  <si>
    <t xml:space="preserve">วุฒิชมภู </t>
  </si>
  <si>
    <t xml:space="preserve">นาง วราพร </t>
  </si>
  <si>
    <t xml:space="preserve">มีสุภา </t>
  </si>
  <si>
    <t xml:space="preserve">นาง ปัญญิสา </t>
  </si>
  <si>
    <t xml:space="preserve">ชยนนท์ </t>
  </si>
  <si>
    <t>นาย ปราฌัญ</t>
  </si>
  <si>
    <t xml:space="preserve">จันทร์เป็งผัด </t>
  </si>
  <si>
    <t>นาย อรรถพล</t>
  </si>
  <si>
    <t>มนตรี</t>
  </si>
  <si>
    <t>นาย กรธีรวัจน์</t>
  </si>
  <si>
    <t>หมื่นเตียง</t>
  </si>
  <si>
    <t>นาย นัทพงศ์</t>
  </si>
  <si>
    <t>จันทรานนท์</t>
  </si>
  <si>
    <t>อุปละ</t>
  </si>
  <si>
    <t>นางสาว ปริศนา</t>
  </si>
  <si>
    <t>ต๊ะต้นยาง</t>
  </si>
  <si>
    <t>นางสาว สุพรรณี</t>
  </si>
  <si>
    <t>สุวรรณประภา</t>
  </si>
  <si>
    <t>ลีโชติวโรดม</t>
  </si>
  <si>
    <t>เงินเย็น</t>
  </si>
  <si>
    <t>พรินทรากุล</t>
  </si>
  <si>
    <t xml:space="preserve">นาย อาทิตย์ </t>
  </si>
  <si>
    <t xml:space="preserve">ทะระ </t>
  </si>
  <si>
    <t xml:space="preserve">วงศ์สีดา </t>
  </si>
  <si>
    <t xml:space="preserve">นาย บุญฤทธิ์ </t>
  </si>
  <si>
    <t xml:space="preserve">ศรีมาปัน </t>
  </si>
  <si>
    <t xml:space="preserve">ว่าที่ ร.ต.หญิง หทัยรัตน์ </t>
  </si>
  <si>
    <t xml:space="preserve">ปิงคำ </t>
  </si>
  <si>
    <t xml:space="preserve">นางสาว เมวิกา </t>
  </si>
  <si>
    <t xml:space="preserve">นางแล </t>
  </si>
  <si>
    <t xml:space="preserve">นางสาว ณัฐชยา </t>
  </si>
  <si>
    <t xml:space="preserve">ใจดี </t>
  </si>
  <si>
    <t xml:space="preserve">นาย เขลางค์ </t>
  </si>
  <si>
    <t xml:space="preserve">วงศ์โสภา </t>
  </si>
  <si>
    <t xml:space="preserve">นางสาว ผกากาญจน์ </t>
  </si>
  <si>
    <t>ถาหมี</t>
  </si>
  <si>
    <t xml:space="preserve">นาย โยธิน </t>
  </si>
  <si>
    <t xml:space="preserve">ทองจรัส </t>
  </si>
  <si>
    <t xml:space="preserve">ธรรมเสนา </t>
  </si>
  <si>
    <t xml:space="preserve">นางสาว สริยาภรณ์ </t>
  </si>
  <si>
    <t xml:space="preserve">ศรีนุช </t>
  </si>
  <si>
    <t xml:space="preserve">นาง ชาลินีย์ </t>
  </si>
  <si>
    <t xml:space="preserve">สิงหเสนี </t>
  </si>
  <si>
    <t xml:space="preserve">นางสาว พัทธพร </t>
  </si>
  <si>
    <t xml:space="preserve">วรรณใส </t>
  </si>
  <si>
    <t xml:space="preserve">นาย ณัฐศิลป์ </t>
  </si>
  <si>
    <t xml:space="preserve">ยาวิชัย </t>
  </si>
  <si>
    <t xml:space="preserve">นางสาว เศรษฐินี </t>
  </si>
  <si>
    <t xml:space="preserve">ศรีธิเมืองใจ </t>
  </si>
  <si>
    <t>นาง สนัญชญา</t>
  </si>
  <si>
    <t>เดชอูป</t>
  </si>
  <si>
    <t xml:space="preserve">นางสาว อรณิชา </t>
  </si>
  <si>
    <t xml:space="preserve">สุทธิแป้น </t>
  </si>
  <si>
    <t xml:space="preserve">นางสาว พนิดา </t>
  </si>
  <si>
    <t xml:space="preserve">คูหา </t>
  </si>
  <si>
    <t xml:space="preserve">นางสาว นวพร </t>
  </si>
  <si>
    <t xml:space="preserve">ชอบเดิน </t>
  </si>
  <si>
    <t xml:space="preserve">นางสาว โศภิตรา </t>
  </si>
  <si>
    <t xml:space="preserve">นางสาว ณฐมน </t>
  </si>
  <si>
    <t xml:space="preserve">เก่งกล้า </t>
  </si>
  <si>
    <t xml:space="preserve">นางสาว เบญจพร </t>
  </si>
  <si>
    <t xml:space="preserve">ยมนา </t>
  </si>
  <si>
    <t>นางสาว สุภาพร</t>
  </si>
  <si>
    <t>เตชะปิตุ</t>
  </si>
  <si>
    <t>ใจจันทรา</t>
  </si>
  <si>
    <t>นางสาว ชุติมา</t>
  </si>
  <si>
    <t>อธิคมธร</t>
  </si>
  <si>
    <t>พิกุลทอง</t>
  </si>
  <si>
    <t xml:space="preserve">นาย ชาญวิทย์ </t>
  </si>
  <si>
    <t>รอดเกิด</t>
  </si>
  <si>
    <t>นางสาว เยาวภา</t>
  </si>
  <si>
    <t>ชัยประจง</t>
  </si>
  <si>
    <t>นางสาว สุวรรณี</t>
  </si>
  <si>
    <t xml:space="preserve">คำมี </t>
  </si>
  <si>
    <t xml:space="preserve">นางสาว ธนวฏีฐ์ </t>
  </si>
  <si>
    <t xml:space="preserve">แก้วมณีนพโชติ </t>
  </si>
  <si>
    <t>นางสาว ณิชชา</t>
  </si>
  <si>
    <t>ดิษยนันท์</t>
  </si>
  <si>
    <t>รุ่งเกรียงสิทธิ์</t>
  </si>
  <si>
    <t>นาย จิตรกร</t>
  </si>
  <si>
    <t>จิตรสกุล</t>
  </si>
  <si>
    <t>นาย ณัฎฐนันท์</t>
  </si>
  <si>
    <t>ภูรีโรจน์</t>
  </si>
  <si>
    <t>นาง พรรณี</t>
  </si>
  <si>
    <t xml:space="preserve">นาย ธีรพัฒน์ </t>
  </si>
  <si>
    <t>ใจหาญ</t>
  </si>
  <si>
    <t xml:space="preserve">นาย อนุรักษ์ </t>
  </si>
  <si>
    <t>พากเพียร</t>
  </si>
  <si>
    <t xml:space="preserve">นาย วิสิษฐ์ </t>
  </si>
  <si>
    <t>คำสิงห์</t>
  </si>
  <si>
    <t xml:space="preserve">นาย ณัฐกุล </t>
  </si>
  <si>
    <t xml:space="preserve">บุญวงศ์ </t>
  </si>
  <si>
    <t>นางสาว ผ่องพรรณ</t>
  </si>
  <si>
    <t>วงศ์ก๋องแก้ว</t>
  </si>
  <si>
    <t>กสิปิยกุล</t>
  </si>
  <si>
    <t>คีรีแก้ว</t>
  </si>
  <si>
    <t>นาย มานัส</t>
  </si>
  <si>
    <t>ไชยศิริ</t>
  </si>
  <si>
    <t>นาย มาโนชย์</t>
  </si>
  <si>
    <t>เหล็กทอง</t>
  </si>
  <si>
    <t xml:space="preserve">นาง วีรภรณ์ </t>
  </si>
  <si>
    <t>อภิรัตน์เขื่อนคำ</t>
  </si>
  <si>
    <t>นาย บุญเป็ง</t>
  </si>
  <si>
    <t>โนกุล</t>
  </si>
  <si>
    <t>นาย สนธยา</t>
  </si>
  <si>
    <t>พรหมโวหาร</t>
  </si>
  <si>
    <t xml:space="preserve">นางสาว สุภานันท์ </t>
  </si>
  <si>
    <t xml:space="preserve">ประดิษฐ์ </t>
  </si>
  <si>
    <t>นางสาว มัลลิกา</t>
  </si>
  <si>
    <t>กันธะตา</t>
  </si>
  <si>
    <t>นาง วิภาพร</t>
  </si>
  <si>
    <t>บุญทักษ์</t>
  </si>
  <si>
    <t>ไชยพันธุ์</t>
  </si>
  <si>
    <t>นาย บุญทา</t>
  </si>
  <si>
    <t>สิงหกุล</t>
  </si>
  <si>
    <t>ชัยชนะบุตร</t>
  </si>
  <si>
    <t>อำพันธุ์</t>
  </si>
  <si>
    <t>นาย ชูชาติ</t>
  </si>
  <si>
    <t>อรุโณทยานันท์</t>
  </si>
  <si>
    <t>นาง พวงทอง</t>
  </si>
  <si>
    <t>เชษฐธง</t>
  </si>
  <si>
    <t>นาย สายัณห์</t>
  </si>
  <si>
    <t>เอี่ยมประชา</t>
  </si>
  <si>
    <t>นาย สุรพจน์</t>
  </si>
  <si>
    <t>นิมานนท์</t>
  </si>
  <si>
    <t>นาง จิราภรณ์</t>
  </si>
  <si>
    <t>วิศรุตวณิช</t>
  </si>
  <si>
    <t>นาย อาวุธ</t>
  </si>
  <si>
    <t>รินยา</t>
  </si>
  <si>
    <t>นาย วิศิษฏ์</t>
  </si>
  <si>
    <t>เพชรศักดา</t>
  </si>
  <si>
    <t>อภิวงศ์</t>
  </si>
  <si>
    <t>นาง จันทริกา</t>
  </si>
  <si>
    <t>กูลเรือน</t>
  </si>
  <si>
    <t>นาง อุษณีย์</t>
  </si>
  <si>
    <t>จันทนพันธ์</t>
  </si>
  <si>
    <t>นาย เสกสรรค์</t>
  </si>
  <si>
    <t>สุวรรณมาโจ</t>
  </si>
  <si>
    <t>ทองบ่อ</t>
  </si>
  <si>
    <t>ก้านจันทร์</t>
  </si>
  <si>
    <t>นาง อมรศิลป์</t>
  </si>
  <si>
    <t>นพบุรี</t>
  </si>
  <si>
    <t>นาย ศุภฤกษ์</t>
  </si>
  <si>
    <t>ไชยพันธ์</t>
  </si>
  <si>
    <t>ภัทรนาวิก</t>
  </si>
  <si>
    <t>จอมปัญญาเลิศ</t>
  </si>
  <si>
    <t xml:space="preserve">นาง วรวรรณ </t>
  </si>
  <si>
    <t>วงศ์ปรักไพศาล</t>
  </si>
  <si>
    <t>นาย อรรนพ</t>
  </si>
  <si>
    <t>ยาสมุทร์</t>
  </si>
  <si>
    <t>นาย พิทักษ์</t>
  </si>
  <si>
    <t>พิมสาร</t>
  </si>
  <si>
    <t>นาย รังสฤษดิ์</t>
  </si>
  <si>
    <t>มีชูวาศ</t>
  </si>
  <si>
    <t>นาย วีระยุทธ</t>
  </si>
  <si>
    <t>สุจริต</t>
  </si>
  <si>
    <t>นาง สุภมาส</t>
  </si>
  <si>
    <t>บุญแพง</t>
  </si>
  <si>
    <t>นาย ธรรมชาติ</t>
  </si>
  <si>
    <t>ช้างทอง</t>
  </si>
  <si>
    <t>นาย พยนต์</t>
  </si>
  <si>
    <t>จุลานนท์</t>
  </si>
  <si>
    <t>วัฒนาฤดี</t>
  </si>
  <si>
    <t>นาย ยุทธสิทธิ์</t>
  </si>
  <si>
    <t>เอมหฤทัย</t>
  </si>
  <si>
    <t>พาชี</t>
  </si>
  <si>
    <t>จึงอยู่สุข</t>
  </si>
  <si>
    <t>นางสาว ชนันพร</t>
  </si>
  <si>
    <t>จุลญาติ</t>
  </si>
  <si>
    <t>บุณยปรัตยุษ</t>
  </si>
  <si>
    <t>นาง วรานิษฐ์</t>
  </si>
  <si>
    <t>วีรเดชพิพัฒน์</t>
  </si>
  <si>
    <t>ทรัพย์ประดิษฐ์</t>
  </si>
  <si>
    <t>นาย อรรณพ</t>
  </si>
  <si>
    <t>มุ่งสวัสดิ์</t>
  </si>
  <si>
    <t>เอี่ยมโอภาส</t>
  </si>
  <si>
    <t>นาย โกเมษ</t>
  </si>
  <si>
    <t>ธนโชติ</t>
  </si>
  <si>
    <t>อภิชัย</t>
  </si>
  <si>
    <t>ชูชัยทัศน์</t>
  </si>
  <si>
    <t xml:space="preserve">นาย ชวัลดนย์ </t>
  </si>
  <si>
    <t>เจียมตน</t>
  </si>
  <si>
    <t>วิริยะวงษ์</t>
  </si>
  <si>
    <t>นาย ประหยัด</t>
  </si>
  <si>
    <t>อินทะอุด</t>
  </si>
  <si>
    <t>นาย สมมาตร</t>
  </si>
  <si>
    <t>ชาญชัย</t>
  </si>
  <si>
    <t>นาง หัสยา</t>
  </si>
  <si>
    <t>ทิพย์อักษร</t>
  </si>
  <si>
    <t>พรธรรม</t>
  </si>
  <si>
    <t>นาง วรรณิการ์</t>
  </si>
  <si>
    <t>หุ่นภู่</t>
  </si>
  <si>
    <t>เชียงพรหม</t>
  </si>
  <si>
    <t>นางสาว สมพร</t>
  </si>
  <si>
    <t>แสงบุญ</t>
  </si>
  <si>
    <t>นาย บุญนาค</t>
  </si>
  <si>
    <t>ศรีเปาระยะ</t>
  </si>
  <si>
    <t>นาย สโรช</t>
  </si>
  <si>
    <t>บุญ-หลง</t>
  </si>
  <si>
    <t>ปัญญาวุฒิ</t>
  </si>
  <si>
    <t>นาย รัศมี</t>
  </si>
  <si>
    <t>แสนนามวงศ์</t>
  </si>
  <si>
    <t>นาย นาคมงคล</t>
  </si>
  <si>
    <t>บูรณกูล</t>
  </si>
  <si>
    <t>นาย กฤษณะ</t>
  </si>
  <si>
    <t>เผ่าช่างทอง</t>
  </si>
  <si>
    <t xml:space="preserve">นาง พิจิตรา </t>
  </si>
  <si>
    <t>กาวิละวงศ์</t>
  </si>
  <si>
    <t>นาย สมพล</t>
  </si>
  <si>
    <t>ใหม่จันทร์</t>
  </si>
  <si>
    <t>หมั่นแสวง</t>
  </si>
  <si>
    <t>นาย โพธิชัย</t>
  </si>
  <si>
    <t>นาย เฉลิมภพ</t>
  </si>
  <si>
    <t>จงรักษ์ (ฉายาอดิฉันโท)</t>
  </si>
  <si>
    <t>นาย ราชันย์</t>
  </si>
  <si>
    <t>ชัยเรือนแก้ว</t>
  </si>
  <si>
    <t>นาง สุนทรี</t>
  </si>
  <si>
    <t>โรจนะหัสดิน</t>
  </si>
  <si>
    <t>ทองเที่ยง</t>
  </si>
  <si>
    <t>นาย มนต์ชัย</t>
  </si>
  <si>
    <t>อักษรดิษฐ์</t>
  </si>
  <si>
    <t>นาย นวพจน์</t>
  </si>
  <si>
    <t>หงส์หิรัญ</t>
  </si>
  <si>
    <t>นาย พัฒน์</t>
  </si>
  <si>
    <t>คีรีสัตยกุล</t>
  </si>
  <si>
    <t>แดงทองดี</t>
  </si>
  <si>
    <t>นาง พิชรา</t>
  </si>
  <si>
    <t>นวลอ่อน</t>
  </si>
  <si>
    <t>นาย วิสูตร</t>
  </si>
  <si>
    <t>เจริญเมืองมูล</t>
  </si>
  <si>
    <t>นาย สมเมฆ</t>
  </si>
  <si>
    <t>มหาวงศ์</t>
  </si>
  <si>
    <t>นาย เคลื่อน</t>
  </si>
  <si>
    <t>พรมมา</t>
  </si>
  <si>
    <t>นาย กุณฑล</t>
  </si>
  <si>
    <t>เทพจิตรา</t>
  </si>
  <si>
    <t>นาง ผ่องพรรณ</t>
  </si>
  <si>
    <t>ศัพท์พันธ์</t>
  </si>
  <si>
    <t>จันทร์ขาว</t>
  </si>
  <si>
    <t>นาย สมาน</t>
  </si>
  <si>
    <t>ทิพนี</t>
  </si>
  <si>
    <t>นาย ชลธาร</t>
  </si>
  <si>
    <t>มูลศิริ</t>
  </si>
  <si>
    <t>หัตถภาสุ</t>
  </si>
  <si>
    <t>แมนมาศวิหค</t>
  </si>
  <si>
    <t>นาย ณัฐชานนท์</t>
  </si>
  <si>
    <t>หมั่นเขตกิจ</t>
  </si>
  <si>
    <t>บุตรแก้ว</t>
  </si>
  <si>
    <t>นาย ยุทธยา</t>
  </si>
  <si>
    <t>เพ็ชรวัฒนา</t>
  </si>
  <si>
    <t>นาย สงวน</t>
  </si>
  <si>
    <t>ปัญญาแก้ว</t>
  </si>
  <si>
    <t>นาย พรหมพันธ์</t>
  </si>
  <si>
    <t>นาง จินดา</t>
  </si>
  <si>
    <t>จำปา</t>
  </si>
  <si>
    <t>นาย อินทร์เนตร</t>
  </si>
  <si>
    <t>เทพกุนา</t>
  </si>
  <si>
    <t>นาง สิณี</t>
  </si>
  <si>
    <t>ณ พัทลุง</t>
  </si>
  <si>
    <t>นาง อุปถัมภ์</t>
  </si>
  <si>
    <t>วนพานิช</t>
  </si>
  <si>
    <t>นาย วิธาน</t>
  </si>
  <si>
    <t>เชิญทอง</t>
  </si>
  <si>
    <t>เกิดมงคล</t>
  </si>
  <si>
    <t>บุญถนอม</t>
  </si>
  <si>
    <t>บริบูรณ์</t>
  </si>
  <si>
    <t>นาง เฉลิมวรรณ</t>
  </si>
  <si>
    <t>นาย ณฐพล</t>
  </si>
  <si>
    <t>ขันคำ</t>
  </si>
  <si>
    <t>นาย กุศล</t>
  </si>
  <si>
    <t>วงศ์ปาลีย์</t>
  </si>
  <si>
    <t>พรหมเมตจิต</t>
  </si>
  <si>
    <t>แสนคำ</t>
  </si>
  <si>
    <t>นาย ชัยเดช</t>
  </si>
  <si>
    <t>ต่อมโนวงค์</t>
  </si>
  <si>
    <t>เครือมณี</t>
  </si>
  <si>
    <t>นาย ชิตคณัญญ์</t>
  </si>
  <si>
    <t>ศรีชัยวงศ์</t>
  </si>
  <si>
    <t>นาง อำพันธ์</t>
  </si>
  <si>
    <t>นาย สุชิน</t>
  </si>
  <si>
    <t>สีเขียว</t>
  </si>
  <si>
    <t>ลมอ่อน</t>
  </si>
  <si>
    <t>แสนราชา</t>
  </si>
  <si>
    <t>นาง ปิยนันท์</t>
  </si>
  <si>
    <t>ศิริวรรณ</t>
  </si>
  <si>
    <t>ว่าที่ ร.ต. ดร.สมสวย</t>
  </si>
  <si>
    <t>ปัญญาสิทธิ์</t>
  </si>
  <si>
    <t>นาง สิริเพชร</t>
  </si>
  <si>
    <t>สมบูรณ์ชัย</t>
  </si>
  <si>
    <t>ชวนไชยสิทธิ์</t>
  </si>
  <si>
    <t>อินต๊ะ</t>
  </si>
  <si>
    <t>อุดมพันธ์</t>
  </si>
  <si>
    <t>มาปลิว</t>
  </si>
  <si>
    <t>นาย ปรามารถ</t>
  </si>
  <si>
    <t>ก้านเหลือง</t>
  </si>
  <si>
    <t>นาย สมทบ</t>
  </si>
  <si>
    <t>บุญประคอง</t>
  </si>
  <si>
    <t>ประดับ</t>
  </si>
  <si>
    <t>สิงห์ใจ</t>
  </si>
  <si>
    <t>นางสาว อรุณี</t>
  </si>
  <si>
    <t>ดวงบาล</t>
  </si>
  <si>
    <t>แก้วกลางเมือง</t>
  </si>
  <si>
    <t>นาง นุชธีรา</t>
  </si>
  <si>
    <t>สัตตทิพย์พงศ์</t>
  </si>
  <si>
    <t>นาง พวงผกา</t>
  </si>
  <si>
    <t>นาย ศักดิ์</t>
  </si>
  <si>
    <t>สุขอินต๊ะ</t>
  </si>
  <si>
    <t>ล้อวรลักษณ์</t>
  </si>
  <si>
    <t>อินทำ</t>
  </si>
  <si>
    <t>จันทร์พลอย</t>
  </si>
  <si>
    <t>วชิรวิทยากร</t>
  </si>
  <si>
    <t>วงศ์ชื่น</t>
  </si>
  <si>
    <t>นาง สุนภา</t>
  </si>
  <si>
    <t>โพทะยะ</t>
  </si>
  <si>
    <t>วิเทศ</t>
  </si>
  <si>
    <t>นาย สักรันต์</t>
  </si>
  <si>
    <t>วรินทร์</t>
  </si>
  <si>
    <t>นาย ดวงคำ</t>
  </si>
  <si>
    <t>นวลฝั้น</t>
  </si>
  <si>
    <t>นาง ประภาภรณ์</t>
  </si>
  <si>
    <t>ไชยวัง</t>
  </si>
  <si>
    <t>ประไพพงษ์</t>
  </si>
  <si>
    <t>นาง เกษศิรินทร์</t>
  </si>
  <si>
    <t>เกียรติสุทธากร</t>
  </si>
  <si>
    <t>นาย วรพันธ์</t>
  </si>
  <si>
    <t>วราหะ</t>
  </si>
  <si>
    <t>เครือเขื่อนเพชร</t>
  </si>
  <si>
    <t>แก้วเวียงจันทร์</t>
  </si>
  <si>
    <t>อัมโรจน์</t>
  </si>
  <si>
    <t>บุญชู</t>
  </si>
  <si>
    <t>นาย สุระชัย</t>
  </si>
  <si>
    <t>พลับพลาชัย</t>
  </si>
  <si>
    <t>นาย อดุลย์</t>
  </si>
  <si>
    <t>บุญตวย</t>
  </si>
  <si>
    <t>หงษ์ทอง</t>
  </si>
  <si>
    <t>นาง ลำแพน</t>
  </si>
  <si>
    <t>ขันกสิกรรม</t>
  </si>
  <si>
    <t>พิมพ์แสงจันทร์</t>
  </si>
  <si>
    <t>กันธวงศ์</t>
  </si>
  <si>
    <t>นาง กาญจนา</t>
  </si>
  <si>
    <t>ใหม่มงคล</t>
  </si>
  <si>
    <t>ธนะนู</t>
  </si>
  <si>
    <t>นาง พวงชมภู</t>
  </si>
  <si>
    <t>นิ่มหนู</t>
  </si>
  <si>
    <t>นาย นิวัต</t>
  </si>
  <si>
    <t>ใจรินทร์</t>
  </si>
  <si>
    <t>อินทะจันทร์</t>
  </si>
  <si>
    <t>นาง วันทนีย์</t>
  </si>
  <si>
    <t>นาย พานิชย์</t>
  </si>
  <si>
    <t>ปวงสวัสดิ์</t>
  </si>
  <si>
    <t>นาย ประมาณ</t>
  </si>
  <si>
    <t>เมณฑ์กุล</t>
  </si>
  <si>
    <t>นาย อินทร์โพธิ์</t>
  </si>
  <si>
    <t>สิงหล</t>
  </si>
  <si>
    <t>เชาวน์ตระกูล</t>
  </si>
  <si>
    <t>นาย สุรเชษฐ</t>
  </si>
  <si>
    <t>แฟงฟ้อย</t>
  </si>
  <si>
    <t>นาง ปุนรดา</t>
  </si>
  <si>
    <t>คุณาธารกุล</t>
  </si>
  <si>
    <t>นาย จิตร</t>
  </si>
  <si>
    <t>แสนนันตา</t>
  </si>
  <si>
    <t>สถาพรวรศักดิ์</t>
  </si>
  <si>
    <t>นาย สุภีร์</t>
  </si>
  <si>
    <t>ธนะสินธุ์</t>
  </si>
  <si>
    <t>ชัยเลิศ</t>
  </si>
  <si>
    <t>อินประมูล</t>
  </si>
  <si>
    <t>นาย สุขชัย</t>
  </si>
  <si>
    <t>เจรียงประเสริฐ</t>
  </si>
  <si>
    <t>ชัยญาณะ</t>
  </si>
  <si>
    <t>นาย สมโภช</t>
  </si>
  <si>
    <t>วรางคณาภรณ์</t>
  </si>
  <si>
    <t>นาง โรซา</t>
  </si>
  <si>
    <t>บุญเจิม</t>
  </si>
  <si>
    <t>นาง ยลวิไล</t>
  </si>
  <si>
    <t>ประสมสุข</t>
  </si>
  <si>
    <t>นาย เกริกฤทธิ์</t>
  </si>
  <si>
    <t>วงศ์ดาว</t>
  </si>
  <si>
    <t>วรรณภีร์</t>
  </si>
  <si>
    <t>นางสาว โสภา</t>
  </si>
  <si>
    <t xml:space="preserve">กิติชัยวรรณ </t>
  </si>
  <si>
    <t xml:space="preserve">นาย โกสินทร์ </t>
  </si>
  <si>
    <t xml:space="preserve">โกฏิแก้ว </t>
  </si>
  <si>
    <t>นาย ประจวบ</t>
  </si>
  <si>
    <t xml:space="preserve">ฉัตรกันยารัตน์ </t>
  </si>
  <si>
    <t xml:space="preserve">นาย ประพันธ์ </t>
  </si>
  <si>
    <t xml:space="preserve">ทิพยสหัสรังสี </t>
  </si>
  <si>
    <t xml:space="preserve">นาง ทวีลักษณ์ </t>
  </si>
  <si>
    <t>ขันทนันต์คำ</t>
  </si>
  <si>
    <t xml:space="preserve">นาง พัทธนันท์ </t>
  </si>
  <si>
    <t xml:space="preserve">หมั่นเขตกิจ </t>
  </si>
  <si>
    <t xml:space="preserve">นาย เมิน </t>
  </si>
  <si>
    <t>ฉัตรกันยารัตน์</t>
  </si>
  <si>
    <t xml:space="preserve">นาง สุนี </t>
  </si>
  <si>
    <t>นาง สุนิศา</t>
  </si>
  <si>
    <t>ไกรนรา</t>
  </si>
  <si>
    <t>นาง สุรีรัตน์</t>
  </si>
  <si>
    <t xml:space="preserve">นาย เกษม </t>
  </si>
  <si>
    <t xml:space="preserve">นาง วลัยพร </t>
  </si>
  <si>
    <t xml:space="preserve">เกียรติทับทิว </t>
  </si>
  <si>
    <t xml:space="preserve">นาย อิทธิพัทธ์ </t>
  </si>
  <si>
    <t xml:space="preserve">ประมาณ </t>
  </si>
  <si>
    <t>รัตนกมลกานต์</t>
  </si>
  <si>
    <t>นาง โสภิญ</t>
  </si>
  <si>
    <t>บัวเที่ยง</t>
  </si>
  <si>
    <t>นาย สุวรรณ์</t>
  </si>
  <si>
    <t>ทาเวียง</t>
  </si>
  <si>
    <t>มูลชัยลังการ์</t>
  </si>
  <si>
    <t>ถาสุยะ</t>
  </si>
  <si>
    <t>มหาวันชัย</t>
  </si>
  <si>
    <t>คำใส</t>
  </si>
  <si>
    <t>นาย แก้ว</t>
  </si>
  <si>
    <t>ฉัตรเงิน</t>
  </si>
  <si>
    <t>นาง ณีรนุช</t>
  </si>
  <si>
    <t>จันทร์คณา</t>
  </si>
  <si>
    <t>ฟุ้งสุนทร</t>
  </si>
  <si>
    <t>เพ็ชรทอง</t>
  </si>
  <si>
    <t>นาย อินทรัตน์</t>
  </si>
  <si>
    <t>นาย สวง</t>
  </si>
  <si>
    <t>สงวนศรี</t>
  </si>
  <si>
    <t>นาย บุญศรี</t>
  </si>
  <si>
    <t>คุณยศยิ่ง</t>
  </si>
  <si>
    <t xml:space="preserve">นาย อินทร </t>
  </si>
  <si>
    <t>พงษ์เขียว</t>
  </si>
  <si>
    <t>นาง ละไมพร</t>
  </si>
  <si>
    <t>วณิชย์สายทอง</t>
  </si>
  <si>
    <t>นาย นพสิทธิ์</t>
  </si>
  <si>
    <t>อรรถสิริสิทธิ์</t>
  </si>
  <si>
    <t>นางสาว วิลาวัณย์</t>
  </si>
  <si>
    <t>มะโนวงษ์</t>
  </si>
  <si>
    <t>แดงศักดิ์</t>
  </si>
  <si>
    <t>ฟองสินธุ์</t>
  </si>
  <si>
    <t>นาง แจ่มจันทร์</t>
  </si>
  <si>
    <t>ล่ามช้าง</t>
  </si>
  <si>
    <t>นาง ละออ</t>
  </si>
  <si>
    <t>ริญญา</t>
  </si>
  <si>
    <t>ลังกาพิน</t>
  </si>
  <si>
    <t>สนธิคุณ</t>
  </si>
  <si>
    <t>นาง สิริพร</t>
  </si>
  <si>
    <t>นาง รติมา</t>
  </si>
  <si>
    <t>หล้าอินเชื้อ</t>
  </si>
  <si>
    <t>จันทร์เสนา</t>
  </si>
  <si>
    <t>นาย ฉัตรติพงศ์</t>
  </si>
  <si>
    <t>เปอะปิน</t>
  </si>
  <si>
    <t>นิตย์อำนวยผล</t>
  </si>
  <si>
    <t>แสนสม</t>
  </si>
  <si>
    <t>พานพบ</t>
  </si>
  <si>
    <t>สุมาลี</t>
  </si>
  <si>
    <t>ศรีโพธิ์งาม</t>
  </si>
  <si>
    <t>จุลละสุภา</t>
  </si>
  <si>
    <t>นาง ฐนจงพร</t>
  </si>
  <si>
    <t>เนียมทอง</t>
  </si>
  <si>
    <t>ต๊ะเสน</t>
  </si>
  <si>
    <t>พรหมวรรณ</t>
  </si>
  <si>
    <t>นาย เสกสรร</t>
  </si>
  <si>
    <t>บัลลังก์</t>
  </si>
  <si>
    <t>นางสาว จิรฐา</t>
  </si>
  <si>
    <t>หินเดช</t>
  </si>
  <si>
    <t>นาง ผุสดีวรรณ</t>
  </si>
  <si>
    <t>นาง สายสุนี</t>
  </si>
  <si>
    <t>ผลศรัทธา</t>
  </si>
  <si>
    <t>ธรรมสอน</t>
  </si>
  <si>
    <t>นาย ปฐมชาติ</t>
  </si>
  <si>
    <t>ศรีเจริญจิตร์</t>
  </si>
  <si>
    <t>นาง เขมวรรณ</t>
  </si>
  <si>
    <t>ดวงจันทร์</t>
  </si>
  <si>
    <t>นางสาว กรรณิการ์</t>
  </si>
  <si>
    <t>ใบบอกบุญ</t>
  </si>
  <si>
    <t>นาง ศรีลา</t>
  </si>
  <si>
    <t>อินสุยะ</t>
  </si>
  <si>
    <t>มนูแสง</t>
  </si>
  <si>
    <t>ไชยวุฒิ</t>
  </si>
  <si>
    <t>นาง จารุรัตน์</t>
  </si>
  <si>
    <t>ใจการ</t>
  </si>
  <si>
    <t>นาง สุรัสวดี</t>
  </si>
  <si>
    <t>วรวุฒิพุทธพงศ์</t>
  </si>
  <si>
    <t>นาง มัฑนา</t>
  </si>
  <si>
    <t>ธรรมใจ</t>
  </si>
  <si>
    <t>นาง รัชนีวรรณ์</t>
  </si>
  <si>
    <t>เป็งพรม</t>
  </si>
  <si>
    <t>เชื้อเมืองพาน</t>
  </si>
  <si>
    <t>นาง ลาวัณย์</t>
  </si>
  <si>
    <t xml:space="preserve">อุ่นจัน </t>
  </si>
  <si>
    <t xml:space="preserve">นาง ฐิติชญาน์ </t>
  </si>
  <si>
    <t>ประยูรยวง</t>
  </si>
  <si>
    <t>ว่าที่ ร.ต. อโนทัย</t>
  </si>
  <si>
    <t>เกื้อปัญญา</t>
  </si>
  <si>
    <t>นางสาว พิมพรรณ</t>
  </si>
  <si>
    <t>นันต๊ะภูมิ</t>
  </si>
  <si>
    <t>นาย เอกนรินทร์</t>
  </si>
  <si>
    <t>ปินทะนา</t>
  </si>
  <si>
    <t>นางสาว พัฒน์นรี</t>
  </si>
  <si>
    <t>เขียวทิพย์</t>
  </si>
  <si>
    <t>นาย รัตนากร</t>
  </si>
  <si>
    <t>ยอดใจเพ็ชร</t>
  </si>
  <si>
    <t>นาย วารินทร์</t>
  </si>
  <si>
    <t>พงษ์ตา</t>
  </si>
  <si>
    <t>นาง ปาณิสรา</t>
  </si>
  <si>
    <t>ขำเหม</t>
  </si>
  <si>
    <t>ประสงค์สุข</t>
  </si>
  <si>
    <t>นางสาว กฤตวรรณ</t>
  </si>
  <si>
    <t>เวชกิจ</t>
  </si>
  <si>
    <t>ศรีวรรณ</t>
  </si>
  <si>
    <t>เตจ๊ะยา</t>
  </si>
  <si>
    <t>ขยันการ</t>
  </si>
  <si>
    <t>นาย ธนภูมิ</t>
  </si>
  <si>
    <t xml:space="preserve">มีธรรม </t>
  </si>
  <si>
    <t>นาง วันวิสา</t>
  </si>
  <si>
    <t>ตระกูลวรปัญญา</t>
  </si>
  <si>
    <t>คำทอง</t>
  </si>
  <si>
    <t>เมฆเจริญ</t>
  </si>
  <si>
    <t xml:space="preserve">นาง พรฤดี </t>
  </si>
  <si>
    <t xml:space="preserve">ซาวแซ่คัด </t>
  </si>
  <si>
    <t xml:space="preserve">นางสาว พิมภรณ์ </t>
  </si>
  <si>
    <t xml:space="preserve">วันมาละ </t>
  </si>
  <si>
    <t xml:space="preserve">ศรีสุวรรณ </t>
  </si>
  <si>
    <t xml:space="preserve">แก้วเลิศตระกูล </t>
  </si>
  <si>
    <t xml:space="preserve">นางสาว สุพรรณี </t>
  </si>
  <si>
    <t xml:space="preserve">สนธิคุณ </t>
  </si>
  <si>
    <t>นาง ปวีณา</t>
  </si>
  <si>
    <t xml:space="preserve">สุเมธาโชติพงศ์ </t>
  </si>
  <si>
    <t xml:space="preserve">นางสาว มณีพรรณ </t>
  </si>
  <si>
    <t xml:space="preserve">หาญใจ </t>
  </si>
  <si>
    <t xml:space="preserve">นาย อานนท์ </t>
  </si>
  <si>
    <t xml:space="preserve">แสนสามก๋อง </t>
  </si>
  <si>
    <t xml:space="preserve">ว่าที่ ร.ต. ชัชวาลย์ </t>
  </si>
  <si>
    <t>ศรีอุบล</t>
  </si>
  <si>
    <t xml:space="preserve">นาง เกษร </t>
  </si>
  <si>
    <t xml:space="preserve">อักษรรัตน์ </t>
  </si>
  <si>
    <t>ทนันไชย</t>
  </si>
  <si>
    <t xml:space="preserve">นาย อธิพันธ์ </t>
  </si>
  <si>
    <t xml:space="preserve">สร้อยญาณะ </t>
  </si>
  <si>
    <t xml:space="preserve">ตาสุข </t>
  </si>
  <si>
    <t>นาย ก้องปฐพี</t>
  </si>
  <si>
    <t xml:space="preserve">ตันสุชาติ </t>
  </si>
  <si>
    <t xml:space="preserve">นาย กฤษนันท์ </t>
  </si>
  <si>
    <t>นางสาว อรพรรณ</t>
  </si>
  <si>
    <t xml:space="preserve">ขันสุรินทร์ </t>
  </si>
  <si>
    <t>นาง กฤษฏาพร</t>
  </si>
  <si>
    <t xml:space="preserve">นางสาว เบญจมาศ </t>
  </si>
  <si>
    <t xml:space="preserve">ธาตุอินจันทร์ </t>
  </si>
  <si>
    <t xml:space="preserve">บุญนาค </t>
  </si>
  <si>
    <t>นางสาว สุพรรษา</t>
  </si>
  <si>
    <t>อินตา</t>
  </si>
  <si>
    <t>กาบบัว</t>
  </si>
  <si>
    <t xml:space="preserve">ตันจินะ </t>
  </si>
  <si>
    <t>ทาศักดิ์</t>
  </si>
  <si>
    <t>นาย เนติพล</t>
  </si>
  <si>
    <t>นนทธรรม</t>
  </si>
  <si>
    <t>นาง สาวิตรี</t>
  </si>
  <si>
    <t>ตาทา</t>
  </si>
  <si>
    <t>นาย ปอร์</t>
  </si>
  <si>
    <t>อุดม</t>
  </si>
  <si>
    <t>ฟูแสง</t>
  </si>
  <si>
    <t>นาย ธีระพงศ์</t>
  </si>
  <si>
    <t>ทาหล้า</t>
  </si>
  <si>
    <t>นางสาว ภรณ์สุดา</t>
  </si>
  <si>
    <t>ปัญญานิล</t>
  </si>
  <si>
    <t>แก้วมูล</t>
  </si>
  <si>
    <t>นาย กอบลาภ</t>
  </si>
  <si>
    <t>วงค์เขียว</t>
  </si>
  <si>
    <t xml:space="preserve">นาง ดารุณี </t>
  </si>
  <si>
    <t xml:space="preserve">ศรีภูธร </t>
  </si>
  <si>
    <t xml:space="preserve">นาง ผกามาศ </t>
  </si>
  <si>
    <t>ขันไข</t>
  </si>
  <si>
    <t xml:space="preserve">เนียมทรัพย์ </t>
  </si>
  <si>
    <t xml:space="preserve">นาง กิ่งกาญจน์ </t>
  </si>
  <si>
    <t>ชัยการ</t>
  </si>
  <si>
    <t xml:space="preserve">นาง นิสารัตน์ </t>
  </si>
  <si>
    <t>เต๋จ๊ะ</t>
  </si>
  <si>
    <t>พรพินิตโภคิน</t>
  </si>
  <si>
    <t xml:space="preserve">นางสาว เจนจิตร </t>
  </si>
  <si>
    <t xml:space="preserve">เทพนันท์ </t>
  </si>
  <si>
    <t xml:space="preserve">นางสาว รรินธร </t>
  </si>
  <si>
    <t xml:space="preserve">รินสินจ้อย </t>
  </si>
  <si>
    <t xml:space="preserve">นาย ศรัณย์ </t>
  </si>
  <si>
    <t xml:space="preserve">โสมขันเงิน </t>
  </si>
  <si>
    <t xml:space="preserve">นางสาว ณัฐธิดา </t>
  </si>
  <si>
    <t xml:space="preserve">กระจ่างรัตน์ </t>
  </si>
  <si>
    <t xml:space="preserve">นางสาว เนตรนภา </t>
  </si>
  <si>
    <t>ไชยเป็ง</t>
  </si>
  <si>
    <t xml:space="preserve">นาย ณัชพล </t>
  </si>
  <si>
    <t xml:space="preserve">อยู่เย็น </t>
  </si>
  <si>
    <t>ชุ่มชัย</t>
  </si>
  <si>
    <t>นางสาว ดารารัตน์</t>
  </si>
  <si>
    <t>แสงแก้วกาศ</t>
  </si>
  <si>
    <t xml:space="preserve">นางสาว จารุนันท์ </t>
  </si>
  <si>
    <t>จอมทัน</t>
  </si>
  <si>
    <t xml:space="preserve">นางสาว พวงเพชร </t>
  </si>
  <si>
    <t xml:space="preserve">ทะใจ </t>
  </si>
  <si>
    <t>แสนใหม่</t>
  </si>
  <si>
    <t>วงศ์แสนสี</t>
  </si>
  <si>
    <t xml:space="preserve">นาง วราภรณ์ </t>
  </si>
  <si>
    <t xml:space="preserve">หมื่นอาภัย </t>
  </si>
  <si>
    <t>นาง เกษรา</t>
  </si>
  <si>
    <t xml:space="preserve">นางสาว พิชามญชุ์ </t>
  </si>
  <si>
    <t>อินใย</t>
  </si>
  <si>
    <t>นางสาว เบญจรินทร์</t>
  </si>
  <si>
    <t>รัตนสิงห์ขรณ์</t>
  </si>
  <si>
    <t>นาง ภณิดา</t>
  </si>
  <si>
    <t>ชัยปัญญา</t>
  </si>
  <si>
    <t xml:space="preserve">นาย แสนเมือง </t>
  </si>
  <si>
    <t xml:space="preserve">ภูษิตยืนยง </t>
  </si>
  <si>
    <t>นางสาว ธิดาวรรณ</t>
  </si>
  <si>
    <t>กันธิมา</t>
  </si>
  <si>
    <t xml:space="preserve">นาง พัทธ์ธีรา </t>
  </si>
  <si>
    <t xml:space="preserve">อินทร์จันทร์ </t>
  </si>
  <si>
    <t>นาย ฐานพัชร์</t>
  </si>
  <si>
    <t xml:space="preserve">เลิศจารุอนันต์ </t>
  </si>
  <si>
    <t>นางสาว จิตตนันท์</t>
  </si>
  <si>
    <t>แก้วมณีสุข</t>
  </si>
  <si>
    <t xml:space="preserve">นาง ทชาอร </t>
  </si>
  <si>
    <t>นางสาว ภัทรพร</t>
  </si>
  <si>
    <t>มาลาพล</t>
  </si>
  <si>
    <t xml:space="preserve">นางสาว วิชุลดา </t>
  </si>
  <si>
    <t>แสงกุล</t>
  </si>
  <si>
    <t>นาง สินีนาฏ</t>
  </si>
  <si>
    <t>กาญจนเกียรติกุล</t>
  </si>
  <si>
    <t>นาง สายสมร</t>
  </si>
  <si>
    <t>เขื่อนสิริมงคล</t>
  </si>
  <si>
    <t>นาย พะเนิน</t>
  </si>
  <si>
    <t>พรมมี</t>
  </si>
  <si>
    <t>นางสาว จุฑามาส</t>
  </si>
  <si>
    <t>จันทร์ทองศรี</t>
  </si>
  <si>
    <t>นาย พัชญ์ธน</t>
  </si>
  <si>
    <t>วิกัน</t>
  </si>
  <si>
    <t>นางสาว ศิริลักษณ์</t>
  </si>
  <si>
    <t>กมล</t>
  </si>
  <si>
    <t>นางสาว สุดสวาท</t>
  </si>
  <si>
    <t>ศักดิ์ทอง</t>
  </si>
  <si>
    <t>เจริญสนองกุล</t>
  </si>
  <si>
    <t>นาย บวรศักดิ์</t>
  </si>
  <si>
    <t>นาง คชาภรณ์</t>
  </si>
  <si>
    <t xml:space="preserve">วงศ์พรหมศิลป์ </t>
  </si>
  <si>
    <t xml:space="preserve">นาย นันทิวัฒน์ </t>
  </si>
  <si>
    <t xml:space="preserve">ศรีคาน </t>
  </si>
  <si>
    <t xml:space="preserve">นางสาว ศศิธร </t>
  </si>
  <si>
    <t xml:space="preserve">พานิชกุล </t>
  </si>
  <si>
    <t xml:space="preserve">นางสาว ปานศิริ </t>
  </si>
  <si>
    <t xml:space="preserve">นิบุญธรรม </t>
  </si>
  <si>
    <t xml:space="preserve">นางสาว สุภาวดี </t>
  </si>
  <si>
    <t xml:space="preserve">อินโต </t>
  </si>
  <si>
    <t xml:space="preserve">นิลพันธ์ </t>
  </si>
  <si>
    <t xml:space="preserve">นางสาว ณัฐณิชา </t>
  </si>
  <si>
    <t xml:space="preserve">นันเต๋ </t>
  </si>
  <si>
    <t xml:space="preserve">นาย จาตุรนต์ </t>
  </si>
  <si>
    <t xml:space="preserve">สุวรรณพินท์ </t>
  </si>
  <si>
    <t xml:space="preserve">นางสาว สุพรพรรณ์ </t>
  </si>
  <si>
    <t>ไชยเฉพาะ</t>
  </si>
  <si>
    <t xml:space="preserve">นาย ปริวรรต </t>
  </si>
  <si>
    <t xml:space="preserve">ปัญจะ </t>
  </si>
  <si>
    <t>นางสาว กนกขวัญ</t>
  </si>
  <si>
    <t>ชัยสิทธิ์</t>
  </si>
  <si>
    <t>พันธชาติ</t>
  </si>
  <si>
    <t>กรมแก้ว</t>
  </si>
  <si>
    <t>นางสาว ปวริศา</t>
  </si>
  <si>
    <t>ชัยปินตา</t>
  </si>
  <si>
    <t xml:space="preserve">นางสาว ชาลินี </t>
  </si>
  <si>
    <t>จอมอินท์ตา</t>
  </si>
  <si>
    <t>ชายะกุล</t>
  </si>
  <si>
    <t xml:space="preserve">นาย ศราวุธ </t>
  </si>
  <si>
    <t xml:space="preserve">พานทอง </t>
  </si>
  <si>
    <t>ชะนะชมภู</t>
  </si>
  <si>
    <t>อโนมา</t>
  </si>
  <si>
    <t>นาย ทัศน์</t>
  </si>
  <si>
    <t>พรมเพ็ชร</t>
  </si>
  <si>
    <t xml:space="preserve">นาง สุจิน </t>
  </si>
  <si>
    <t>สุวรรณา</t>
  </si>
  <si>
    <t xml:space="preserve">แสงมณี </t>
  </si>
  <si>
    <t xml:space="preserve">นางสาว พรพรรณ </t>
  </si>
  <si>
    <t xml:space="preserve">ทองสุทธิ </t>
  </si>
  <si>
    <t xml:space="preserve">นางสาว ยุวธิดา </t>
  </si>
  <si>
    <t>บุญทาตุ้ย</t>
  </si>
  <si>
    <t xml:space="preserve">นางสาว ชุลีรัตน์ </t>
  </si>
  <si>
    <t>เกียรติมณีรัตน์</t>
  </si>
  <si>
    <t>นาย ธารากร</t>
  </si>
  <si>
    <t>สมฤทธิ์</t>
  </si>
  <si>
    <t>นาย ทิพย์</t>
  </si>
  <si>
    <t>ปันด้วง</t>
  </si>
  <si>
    <t>ปาระมี</t>
  </si>
  <si>
    <t>นางสาว วิภาพร</t>
  </si>
  <si>
    <t>อาภา</t>
  </si>
  <si>
    <t>กันธะวงค์</t>
  </si>
  <si>
    <t xml:space="preserve">นาง อาทิตยา </t>
  </si>
  <si>
    <t>นาย นภัทร</t>
  </si>
  <si>
    <t xml:space="preserve">จักร์แก้ว </t>
  </si>
  <si>
    <t>นาย ขวัญชัย</t>
  </si>
  <si>
    <t>ไชยวันดี</t>
  </si>
  <si>
    <t>กัญญาราช</t>
  </si>
  <si>
    <t>นาย ธนพงศ์</t>
  </si>
  <si>
    <t>สำเภาลอย</t>
  </si>
  <si>
    <t>นาย ส่งศักดิ์</t>
  </si>
  <si>
    <t>คำชัยลึก</t>
  </si>
  <si>
    <t>นาย ธราทิพย์</t>
  </si>
  <si>
    <t>ปาวะระ</t>
  </si>
  <si>
    <t>นาย นิวัตน์</t>
  </si>
  <si>
    <t>ภู่นุช</t>
  </si>
  <si>
    <t>นางสาว พิชญากร</t>
  </si>
  <si>
    <t>เพ็ชรดี</t>
  </si>
  <si>
    <t>สุมามาลย์</t>
  </si>
  <si>
    <t>ผัดยา</t>
  </si>
  <si>
    <t>นางสาว จุลัยรัตน์</t>
  </si>
  <si>
    <t>ยาฝั้น</t>
  </si>
  <si>
    <t>นางสาว นุชจารี</t>
  </si>
  <si>
    <t>วนาศิริ</t>
  </si>
  <si>
    <t>นาย ยุทธนา</t>
  </si>
  <si>
    <t>เดือนดาว</t>
  </si>
  <si>
    <t xml:space="preserve">ปิงเขียว </t>
  </si>
  <si>
    <t xml:space="preserve">นาง ปุณฑริกา </t>
  </si>
  <si>
    <t xml:space="preserve">ไชยวันดี </t>
  </si>
  <si>
    <t>นางสาว วิยะดา</t>
  </si>
  <si>
    <t>แก้วเคียงคำ</t>
  </si>
  <si>
    <t xml:space="preserve">นาย อนุพนธ์ </t>
  </si>
  <si>
    <t>ปิยะปง</t>
  </si>
  <si>
    <t xml:space="preserve">จำปา </t>
  </si>
  <si>
    <t>นาย นิโรจน์</t>
  </si>
  <si>
    <t>ประถมวงศ์</t>
  </si>
  <si>
    <t>นาง สุรัตนา</t>
  </si>
  <si>
    <t>จันทร์จรูญ</t>
  </si>
  <si>
    <t>นาย ฉลาม</t>
  </si>
  <si>
    <t>หงษาชาติ</t>
  </si>
  <si>
    <t>นาย วีระพล</t>
  </si>
  <si>
    <t>ศุภอักษร</t>
  </si>
  <si>
    <t>นาย สายหยุด</t>
  </si>
  <si>
    <t>อาบสุวรรณ</t>
  </si>
  <si>
    <t>นาย โกมล</t>
  </si>
  <si>
    <t>ผิวสอาด</t>
  </si>
  <si>
    <t>นาง วรรษิดา</t>
  </si>
  <si>
    <t>หรี่จินดา</t>
  </si>
  <si>
    <t>ฉัตรเท</t>
  </si>
  <si>
    <t>นาย เฉลียว</t>
  </si>
  <si>
    <t>เมืองวงษ์</t>
  </si>
  <si>
    <t>ธีระวงศ์สกุล</t>
  </si>
  <si>
    <t>อิ๊ดเหล็ง</t>
  </si>
  <si>
    <t>ชอบรส</t>
  </si>
  <si>
    <t>ตระกูลชินรัตน์</t>
  </si>
  <si>
    <t>กัญญาคำ</t>
  </si>
  <si>
    <t>ถนอมกุล</t>
  </si>
  <si>
    <t>นาง จุฑามาศ</t>
  </si>
  <si>
    <t>เหล่าสินชัย</t>
  </si>
  <si>
    <t>อนันต์</t>
  </si>
  <si>
    <t>บุญพร้อมอาษา</t>
  </si>
  <si>
    <t xml:space="preserve">นาย ปัญญา </t>
  </si>
  <si>
    <t xml:space="preserve">สุเนตร </t>
  </si>
  <si>
    <t xml:space="preserve">นาง บุญทิม </t>
  </si>
  <si>
    <t xml:space="preserve">เจริญกิจ </t>
  </si>
  <si>
    <t>สิทธิแพทย์</t>
  </si>
  <si>
    <t>จอมพันธ์</t>
  </si>
  <si>
    <t>นางสาว ศริณประภา</t>
  </si>
  <si>
    <t>ประเสริฐ</t>
  </si>
  <si>
    <t xml:space="preserve">นางสาว อัญชลี </t>
  </si>
  <si>
    <t xml:space="preserve">กล้าเหลือ </t>
  </si>
  <si>
    <t>นาง นลทวรรณ</t>
  </si>
  <si>
    <t>มากหลาย</t>
  </si>
  <si>
    <t>นางสาว วิชชุดา</t>
  </si>
  <si>
    <t>ตองอ่อน</t>
  </si>
  <si>
    <t>เอี่ยมใบพฤกษ์</t>
  </si>
  <si>
    <t xml:space="preserve">นาง กัณฑรีย์ </t>
  </si>
  <si>
    <t>บุญตูบ</t>
  </si>
  <si>
    <t>นาย พิศิษ</t>
  </si>
  <si>
    <t>กัณฑิโกวิท</t>
  </si>
  <si>
    <t>นาง เยาวรัตน์</t>
  </si>
  <si>
    <t>ไชยหงษ์</t>
  </si>
  <si>
    <t>อุ่นไธสง</t>
  </si>
  <si>
    <t>ขยันยิ่ง</t>
  </si>
  <si>
    <t>นาย สายชล</t>
  </si>
  <si>
    <t>เจริญพร</t>
  </si>
  <si>
    <t>เสนกุล</t>
  </si>
  <si>
    <t>โตสิงห์</t>
  </si>
  <si>
    <t>นางสาว จินตนา</t>
  </si>
  <si>
    <t>ฉันทสุทธิ</t>
  </si>
  <si>
    <t>นางสาว มรกต</t>
  </si>
  <si>
    <t>ทองจันทร์</t>
  </si>
  <si>
    <t>นางสาว ชนิภา</t>
  </si>
  <si>
    <t xml:space="preserve">เขียวณรงค์ </t>
  </si>
  <si>
    <t xml:space="preserve">นาง พิภัทรา </t>
  </si>
  <si>
    <t xml:space="preserve">พานิชนาวา </t>
  </si>
  <si>
    <t>นาย พระรถ</t>
  </si>
  <si>
    <t>ถาวรวงษ์</t>
  </si>
  <si>
    <t>นางสาว นภาวรรณ</t>
  </si>
  <si>
    <t>โตสติ</t>
  </si>
  <si>
    <t>นางสาว ธัญญาภรณ์</t>
  </si>
  <si>
    <t>บอนแดง</t>
  </si>
  <si>
    <t>นางสาว อิงสุรัจจ์</t>
  </si>
  <si>
    <t xml:space="preserve">สังข์เงิน </t>
  </si>
  <si>
    <t xml:space="preserve">นาย เสกสรรค์ </t>
  </si>
  <si>
    <t>สิทธิไทย</t>
  </si>
  <si>
    <t xml:space="preserve">นางสาว น้ำทิพย์ </t>
  </si>
  <si>
    <t xml:space="preserve">รัศมีรณชัย </t>
  </si>
  <si>
    <t xml:space="preserve">เจริญใจ </t>
  </si>
  <si>
    <t xml:space="preserve">นางสาว ธารทิพย์ </t>
  </si>
  <si>
    <t xml:space="preserve">สุธรรม </t>
  </si>
  <si>
    <t>เอี่ยมหนู</t>
  </si>
  <si>
    <t xml:space="preserve">นาย จตุรงค์ </t>
  </si>
  <si>
    <t xml:space="preserve">แก้วประสิทธิ์ </t>
  </si>
  <si>
    <t>คงทอง</t>
  </si>
  <si>
    <t xml:space="preserve">นาย ทรงศักดิ์ </t>
  </si>
  <si>
    <t>สีหานาค</t>
  </si>
  <si>
    <t xml:space="preserve">นางสาว ครองทรัพย์ </t>
  </si>
  <si>
    <t xml:space="preserve">สิงหราช </t>
  </si>
  <si>
    <t>สุทธิพัฒน์อนันต์</t>
  </si>
  <si>
    <t>วรินทรา</t>
  </si>
  <si>
    <t>นาย วาด</t>
  </si>
  <si>
    <t>วานิช</t>
  </si>
  <si>
    <t>นาง ไพรินทร์</t>
  </si>
  <si>
    <t>กล่ำโภชน์</t>
  </si>
  <si>
    <t>อินต๊ะซาว</t>
  </si>
  <si>
    <t>นาย บุญเลื่อน</t>
  </si>
  <si>
    <t>วงศ์หาญ</t>
  </si>
  <si>
    <t>วงกลม</t>
  </si>
  <si>
    <t>ตะนาวรรณ์</t>
  </si>
  <si>
    <t>จินาติ</t>
  </si>
  <si>
    <t>นาง ปิ่นรัตน์</t>
  </si>
  <si>
    <t>วรพันธ์</t>
  </si>
  <si>
    <t>นาง เพลินพิศ</t>
  </si>
  <si>
    <t>กาศสกูล</t>
  </si>
  <si>
    <t>นาย บุญยืน</t>
  </si>
  <si>
    <t>สิทธิบาล</t>
  </si>
  <si>
    <t>สืบบัวบาน</t>
  </si>
  <si>
    <t>นาย พิรุณ</t>
  </si>
  <si>
    <t>พรหมหมวก</t>
  </si>
  <si>
    <t>แกระวงค์</t>
  </si>
  <si>
    <t>นาง สายพร</t>
  </si>
  <si>
    <t>ใจมูล</t>
  </si>
  <si>
    <t xml:space="preserve">นาย บรรจง </t>
  </si>
  <si>
    <t xml:space="preserve">สุยะพันธ์ </t>
  </si>
  <si>
    <t xml:space="preserve">นาย จุมพล </t>
  </si>
  <si>
    <t>สิงห์ศรีสันติ</t>
  </si>
  <si>
    <t>นาย ศักดิ์ชาย</t>
  </si>
  <si>
    <t>ช่างเสาร์</t>
  </si>
  <si>
    <t xml:space="preserve">นาง จันทิรา </t>
  </si>
  <si>
    <t xml:space="preserve">บวรรัตนสุภา </t>
  </si>
  <si>
    <t xml:space="preserve">นางสาว เพ็ญพรรณ </t>
  </si>
  <si>
    <t>โรจนประภายนต์</t>
  </si>
  <si>
    <t>รัฐเมือง</t>
  </si>
  <si>
    <t xml:space="preserve">นาง สุรีรัตน์ </t>
  </si>
  <si>
    <t xml:space="preserve">ทิมดอน </t>
  </si>
  <si>
    <t xml:space="preserve">นางสาว สุธัญญา </t>
  </si>
  <si>
    <t xml:space="preserve">นาย กฤษฎา </t>
  </si>
  <si>
    <t>นางสาว อัญชัน</t>
  </si>
  <si>
    <t>ขุนด้วง</t>
  </si>
  <si>
    <t xml:space="preserve">นาย ธเนศ </t>
  </si>
  <si>
    <t xml:space="preserve">วงษ์น้อย </t>
  </si>
  <si>
    <t>นาย ปพนธนัย</t>
  </si>
  <si>
    <t>ยองจา</t>
  </si>
  <si>
    <t xml:space="preserve">นาง ปิยนุช </t>
  </si>
  <si>
    <t xml:space="preserve">อาษากิจ </t>
  </si>
  <si>
    <t xml:space="preserve">นางสาว ลัดดาวัลย์ </t>
  </si>
  <si>
    <t xml:space="preserve">ก้อนทอง </t>
  </si>
  <si>
    <t>นาย การันต์</t>
  </si>
  <si>
    <t>กันใหม่</t>
  </si>
  <si>
    <t>นางสาว พุทธชาติฒ์</t>
  </si>
  <si>
    <t>คอทอง</t>
  </si>
  <si>
    <t>นางสาว ระพี</t>
  </si>
  <si>
    <t>เตชะสอน</t>
  </si>
  <si>
    <t>สมบัติเชื้อ</t>
  </si>
  <si>
    <t xml:space="preserve">นาง นฤมล </t>
  </si>
  <si>
    <t xml:space="preserve">พูลวงษ์ </t>
  </si>
  <si>
    <t>ขัดทองงาม</t>
  </si>
  <si>
    <t xml:space="preserve">พินทรากุล </t>
  </si>
  <si>
    <t>สิงตะนะ</t>
  </si>
  <si>
    <t xml:space="preserve">นางสาว วรรณฉวี </t>
  </si>
  <si>
    <t xml:space="preserve">งานดี </t>
  </si>
  <si>
    <t>นาย อนุพงษ์</t>
  </si>
  <si>
    <t>สารเข้าคำ</t>
  </si>
  <si>
    <t xml:space="preserve">นาย พุฒิภัทร </t>
  </si>
  <si>
    <t xml:space="preserve">ถาชุม </t>
  </si>
  <si>
    <t xml:space="preserve">นาย สงกรานต์ </t>
  </si>
  <si>
    <t xml:space="preserve">ผ่องไพรวรรณ </t>
  </si>
  <si>
    <t xml:space="preserve">นางสาว กาญจน์ </t>
  </si>
  <si>
    <t xml:space="preserve">โพบานไพร </t>
  </si>
  <si>
    <t>นาย เผด็จ</t>
  </si>
  <si>
    <t>บุญทอง</t>
  </si>
  <si>
    <t xml:space="preserve">นาย พิชิตชัย </t>
  </si>
  <si>
    <t>นาย คุณานนท์</t>
  </si>
  <si>
    <t>พลศร</t>
  </si>
  <si>
    <t>นาง วิมล</t>
  </si>
  <si>
    <t>อ่อนเหล็ก</t>
  </si>
  <si>
    <t>สายวงศ์คำ</t>
  </si>
  <si>
    <t>นาง อรพินทร์</t>
  </si>
  <si>
    <t>นาง พัชรา</t>
  </si>
  <si>
    <t>ผึ้งทอง</t>
  </si>
  <si>
    <t>ตาคำ</t>
  </si>
  <si>
    <t>นาย อภิชน</t>
  </si>
  <si>
    <t>อินทร์ชูพงษ์</t>
  </si>
  <si>
    <t>นาง ประพีร์</t>
  </si>
  <si>
    <t>มาคง</t>
  </si>
  <si>
    <t>นาย บุญนำ</t>
  </si>
  <si>
    <t>ภูมิประเทศ</t>
  </si>
  <si>
    <t>นาง ฤทัย</t>
  </si>
  <si>
    <t>อ้นเกตุ</t>
  </si>
  <si>
    <t>ใจใหญ่</t>
  </si>
  <si>
    <t>เทพารักษ์</t>
  </si>
  <si>
    <t>เสือเหลือง</t>
  </si>
  <si>
    <t>นางสาว ลัดดา</t>
  </si>
  <si>
    <t>อุ่นพวก</t>
  </si>
  <si>
    <t>นาง จันทร์จิรา</t>
  </si>
  <si>
    <t>นวลนิ่ม</t>
  </si>
  <si>
    <t>แก้วสุข</t>
  </si>
  <si>
    <t>นาย สุเชษฐ</t>
  </si>
  <si>
    <t>อินเจือจันทร์</t>
  </si>
  <si>
    <t>นาย พันธุ์เสน่ห์</t>
  </si>
  <si>
    <t>เปรมสัย</t>
  </si>
  <si>
    <t>นาง ประภัสสร</t>
  </si>
  <si>
    <t>แสนอ่อน</t>
  </si>
  <si>
    <t>นางสาว ศรินทิพย์</t>
  </si>
  <si>
    <t>หมื่นโกฎิ</t>
  </si>
  <si>
    <t>ใจแก้ว</t>
  </si>
  <si>
    <t>นาย ชัยภัทร</t>
  </si>
  <si>
    <t>แก้วแจ่ม</t>
  </si>
  <si>
    <t>นางสาว โลมฤทัย</t>
  </si>
  <si>
    <t>วงษ์น้อย</t>
  </si>
  <si>
    <t>นาง นิภาพร</t>
  </si>
  <si>
    <t>วงศ์สะอาด</t>
  </si>
  <si>
    <t xml:space="preserve">นางสาว เบญจกัลยาณี </t>
  </si>
  <si>
    <t xml:space="preserve">แสนคำ </t>
  </si>
  <si>
    <t xml:space="preserve">อิ่นแก้วเครือ </t>
  </si>
  <si>
    <t>นาง พรกมล</t>
  </si>
  <si>
    <t>ศรีจริยา</t>
  </si>
  <si>
    <t>ปู่คำปัน</t>
  </si>
  <si>
    <t xml:space="preserve">นาย สุระวิทย์ </t>
  </si>
  <si>
    <t>ปัญญา</t>
  </si>
  <si>
    <t>นาย ธนจิรพัชร</t>
  </si>
  <si>
    <t>พัฒนศักดิ์ภิญโญ</t>
  </si>
  <si>
    <t>นาง อนุชิดา</t>
  </si>
  <si>
    <t>สุดจิตต์</t>
  </si>
  <si>
    <t>นาย ธนบดินทร์</t>
  </si>
  <si>
    <t>วงษ์เมืองแก่น</t>
  </si>
  <si>
    <t xml:space="preserve">นาง เนตรนภา </t>
  </si>
  <si>
    <t>ปันทะ</t>
  </si>
  <si>
    <t xml:space="preserve">สกลรักษ์ </t>
  </si>
  <si>
    <t xml:space="preserve">นางสาว รัชนีวรรณ </t>
  </si>
  <si>
    <t xml:space="preserve">สิงห์ก๋า </t>
  </si>
  <si>
    <t xml:space="preserve">นางสาว จารุนิตย์ </t>
  </si>
  <si>
    <t xml:space="preserve">ธรรมชัย </t>
  </si>
  <si>
    <t>นาย ชาญณรงค์</t>
  </si>
  <si>
    <t>วันพุตธ</t>
  </si>
  <si>
    <t>วงศ์กิจ</t>
  </si>
  <si>
    <t>แซ่มี</t>
  </si>
  <si>
    <t xml:space="preserve">ป้อมแสง </t>
  </si>
  <si>
    <t xml:space="preserve">นางสาว ณัฐฐิกา </t>
  </si>
  <si>
    <t>เสวกะ</t>
  </si>
  <si>
    <t xml:space="preserve">นาย ภูวัต </t>
  </si>
  <si>
    <t xml:space="preserve">พงษ์กิจการุณ </t>
  </si>
  <si>
    <t>นาย ธนากร</t>
  </si>
  <si>
    <t>โปทิกำชัย</t>
  </si>
  <si>
    <t>นาย วสุภัค</t>
  </si>
  <si>
    <t>เอี่ยมใส</t>
  </si>
  <si>
    <t>นาย พัลลภ</t>
  </si>
  <si>
    <t>เงินทอง</t>
  </si>
  <si>
    <t>ศรีใหม่</t>
  </si>
  <si>
    <t>นาง นทีทิพย์</t>
  </si>
  <si>
    <t>แก้วลาย</t>
  </si>
  <si>
    <t>นาย สมภพ</t>
  </si>
  <si>
    <t>ฉิมพลี</t>
  </si>
  <si>
    <t>นาย เฉลิม</t>
  </si>
  <si>
    <t>คิดดี</t>
  </si>
  <si>
    <t>เสรีรักษ์</t>
  </si>
  <si>
    <t>นาง ฉลวย</t>
  </si>
  <si>
    <t>นาย สมจิตร์</t>
  </si>
  <si>
    <t>คงรอด</t>
  </si>
  <si>
    <t>อุดมคณารัตน์</t>
  </si>
  <si>
    <t>นาง วรรณทิพย์</t>
  </si>
  <si>
    <t>ปราบภัย</t>
  </si>
  <si>
    <t>นาย วิภาส</t>
  </si>
  <si>
    <t>แก้วบางพูด</t>
  </si>
  <si>
    <t>ทองมาก</t>
  </si>
  <si>
    <t>นาง จิตรัตน์</t>
  </si>
  <si>
    <t>นาง นพนาถ</t>
  </si>
  <si>
    <t>ไตรปิฎก</t>
  </si>
  <si>
    <t>วรานันตกุล</t>
  </si>
  <si>
    <t>ชัยวิเศษ</t>
  </si>
  <si>
    <t>นาย ธรรมยง</t>
  </si>
  <si>
    <t>ตันตยกุล</t>
  </si>
  <si>
    <t>นาง ศรีรัตน์</t>
  </si>
  <si>
    <t>กาญจนสุวรรณ</t>
  </si>
  <si>
    <t>ร่างเล็ก</t>
  </si>
  <si>
    <t>นาง ดวงสุดา</t>
  </si>
  <si>
    <t>นาย รัตนพงษ์</t>
  </si>
  <si>
    <t>พลอินทร์</t>
  </si>
  <si>
    <t>นางสาว กัญญา</t>
  </si>
  <si>
    <t>ลิ่มอรุณ</t>
  </si>
  <si>
    <t>แซ่ตัน</t>
  </si>
  <si>
    <t>นาย เพียร</t>
  </si>
  <si>
    <t>มีจิตร</t>
  </si>
  <si>
    <t>ทองธีรภาพ</t>
  </si>
  <si>
    <t>บริพันธ์</t>
  </si>
  <si>
    <t>นาย ดลธรรม</t>
  </si>
  <si>
    <t>ตั้งปอง</t>
  </si>
  <si>
    <t>เยื้อนแย้ม</t>
  </si>
  <si>
    <t>จันดี</t>
  </si>
  <si>
    <t>นาย ฤทธิพล</t>
  </si>
  <si>
    <t>อมรลักษณ์</t>
  </si>
  <si>
    <t>เพชรสีช่วง</t>
  </si>
  <si>
    <t>ชูคำ</t>
  </si>
  <si>
    <t>เพ็ชรเนตร</t>
  </si>
  <si>
    <t>ใจสมุทร</t>
  </si>
  <si>
    <t>ทอนหยี</t>
  </si>
  <si>
    <t>กั่วพานิช</t>
  </si>
  <si>
    <t>นาง ปรีดา</t>
  </si>
  <si>
    <t>คงบัน</t>
  </si>
  <si>
    <t>นาย สนัด</t>
  </si>
  <si>
    <t>กาญจนพรหม</t>
  </si>
  <si>
    <t>นาย ธีระ</t>
  </si>
  <si>
    <t>วิวัฒนานนท์</t>
  </si>
  <si>
    <t>นาง สมหมาย</t>
  </si>
  <si>
    <t>อังศุศตพรรษ</t>
  </si>
  <si>
    <t>นุ่นเอียด</t>
  </si>
  <si>
    <t>นาย บุญนึก</t>
  </si>
  <si>
    <t>สมสู่</t>
  </si>
  <si>
    <t>กิติพงษ์</t>
  </si>
  <si>
    <t>โอบอ้อม</t>
  </si>
  <si>
    <t>ทองย้อย</t>
  </si>
  <si>
    <t>นาง เสาวนิตย์</t>
  </si>
  <si>
    <t>ขุนฤทธิ์แก้ว</t>
  </si>
  <si>
    <t>ปานจันทร์</t>
  </si>
  <si>
    <t>นาง พูนทรัพย์</t>
  </si>
  <si>
    <t>อนรรฆธนะกุล</t>
  </si>
  <si>
    <t>นาย ผดุง</t>
  </si>
  <si>
    <t>เยี่ยมโชค</t>
  </si>
  <si>
    <t>นาย เวียง</t>
  </si>
  <si>
    <t>หนูนารถ</t>
  </si>
  <si>
    <t xml:space="preserve">นางสาว นิติกา </t>
  </si>
  <si>
    <t xml:space="preserve">จตุเทน </t>
  </si>
  <si>
    <t>นาย ฤทธิเดช</t>
  </si>
  <si>
    <t>สุขคง</t>
  </si>
  <si>
    <t>นางสาว ณัฏฐินี</t>
  </si>
  <si>
    <t>ตีรถะ</t>
  </si>
  <si>
    <t xml:space="preserve">จีนประสม </t>
  </si>
  <si>
    <t xml:space="preserve">นางสาว กรกช </t>
  </si>
  <si>
    <t xml:space="preserve">เรืองศรี </t>
  </si>
  <si>
    <t>นางสาว ณัฎนิชา</t>
  </si>
  <si>
    <t>เมืองกาญจน์</t>
  </si>
  <si>
    <t>นิลละออ</t>
  </si>
  <si>
    <t>นาย นนท์นภนต์</t>
  </si>
  <si>
    <t>นาพอ</t>
  </si>
  <si>
    <t>นางสาว กำไลทิพย์</t>
  </si>
  <si>
    <t>เศรษฐ์วิชัย</t>
  </si>
  <si>
    <t>นาย ธนาคม</t>
  </si>
  <si>
    <t>พรหมเพ็ญ</t>
  </si>
  <si>
    <t>นางสาว ศศิธร</t>
  </si>
  <si>
    <t>รักษ์เจริญ</t>
  </si>
  <si>
    <t xml:space="preserve">นางสาว พัชรีย์ </t>
  </si>
  <si>
    <t xml:space="preserve">ศรีนาวา </t>
  </si>
  <si>
    <t xml:space="preserve">นาง วรุณรัตน์ </t>
  </si>
  <si>
    <t xml:space="preserve">วัฒนพันธ์ </t>
  </si>
  <si>
    <t xml:space="preserve">นางสาว จันจิรา </t>
  </si>
  <si>
    <t xml:space="preserve">ขันเงิน </t>
  </si>
  <si>
    <t>ศรีสมโภชน์</t>
  </si>
  <si>
    <t xml:space="preserve">นาย ปิยวุฒิ </t>
  </si>
  <si>
    <t xml:space="preserve">แดงเหมือน </t>
  </si>
  <si>
    <t xml:space="preserve">นาง ปุณณิสา </t>
  </si>
  <si>
    <t xml:space="preserve">นนทะสร </t>
  </si>
  <si>
    <t>นาย ศิวกร</t>
  </si>
  <si>
    <t>เคี่ยมการ</t>
  </si>
  <si>
    <t>นางสาว พัทธนันท์</t>
  </si>
  <si>
    <t>บุญคง</t>
  </si>
  <si>
    <t xml:space="preserve">นางสาว ฐิตาภรณ์ </t>
  </si>
  <si>
    <t xml:space="preserve">อนุสาร </t>
  </si>
  <si>
    <t xml:space="preserve">นาง นิตยา </t>
  </si>
  <si>
    <t>นุ้ยหล๊ะ</t>
  </si>
  <si>
    <t xml:space="preserve">นางสาว โชติกา </t>
  </si>
  <si>
    <t>ธนภักดีโชติ</t>
  </si>
  <si>
    <t>นางสาว อภันตรี</t>
  </si>
  <si>
    <t>มีบุญ</t>
  </si>
  <si>
    <t>นาย สมุห์ภัทร์</t>
  </si>
  <si>
    <t>สังข์ไชย</t>
  </si>
  <si>
    <t>นาย ฮูสรี</t>
  </si>
  <si>
    <t>หีมมะหมัด</t>
  </si>
  <si>
    <t>โมรา</t>
  </si>
  <si>
    <t xml:space="preserve">ไม้เรียง </t>
  </si>
  <si>
    <t xml:space="preserve">ปะดุกา </t>
  </si>
  <si>
    <t>นางสาว วริสา</t>
  </si>
  <si>
    <t>สุวรรณกิจ</t>
  </si>
  <si>
    <t>นาง วิญญา</t>
  </si>
  <si>
    <t>คงประสม</t>
  </si>
  <si>
    <t>แก้วอัมพร</t>
  </si>
  <si>
    <t>ภักดีโชติ</t>
  </si>
  <si>
    <t>ทองเกลี้ยง</t>
  </si>
  <si>
    <t>ปาติปาเลท</t>
  </si>
  <si>
    <t>เตชชีวพงศ์</t>
  </si>
  <si>
    <t>นาย จิระพงษ์</t>
  </si>
  <si>
    <t>ทองพิทักษ์</t>
  </si>
  <si>
    <t>ทองขาว</t>
  </si>
  <si>
    <t>จันทร์ประทีป</t>
  </si>
  <si>
    <t>นาย สรวง</t>
  </si>
  <si>
    <t>พรหมบุญทอง</t>
  </si>
  <si>
    <t>ศรีสุข</t>
  </si>
  <si>
    <t>เซ่งเซี่ยง</t>
  </si>
  <si>
    <t>สีนา</t>
  </si>
  <si>
    <t>นาง สุชิรา</t>
  </si>
  <si>
    <t>อินทอง</t>
  </si>
  <si>
    <t>กุญชรินทร์</t>
  </si>
  <si>
    <t>นาง สิริรัตน์</t>
  </si>
  <si>
    <t>รองเดช</t>
  </si>
  <si>
    <t>เวียนคำ</t>
  </si>
  <si>
    <t>รักราวี</t>
  </si>
  <si>
    <t>นาย ญันยงค์</t>
  </si>
  <si>
    <t>ปล้องอ่อน</t>
  </si>
  <si>
    <t>นาย บัญชา</t>
  </si>
  <si>
    <t>เกิดล่อง</t>
  </si>
  <si>
    <t>นางสาว เพ็ญพร</t>
  </si>
  <si>
    <t>นาง บุญญาพร</t>
  </si>
  <si>
    <t>กายเพ็ชร</t>
  </si>
  <si>
    <t>นางสาว จิรัตน์ติกาล</t>
  </si>
  <si>
    <t xml:space="preserve">สุวรรณวัฒน์ </t>
  </si>
  <si>
    <t xml:space="preserve">นางสาว สุมนรัตน์ </t>
  </si>
  <si>
    <t>ตรึกตรอง</t>
  </si>
  <si>
    <t>นางสาว เพ็ญภัค</t>
  </si>
  <si>
    <t xml:space="preserve">เสาวภาคย์ </t>
  </si>
  <si>
    <t xml:space="preserve">นางสาว ลินดา </t>
  </si>
  <si>
    <t xml:space="preserve">ดำคง </t>
  </si>
  <si>
    <t>นางสาว สิริลดา</t>
  </si>
  <si>
    <t>สิทธิวิชชาพร</t>
  </si>
  <si>
    <t>หมุนแก้ว</t>
  </si>
  <si>
    <t>นางสาว ศรินทร</t>
  </si>
  <si>
    <t>แก่นแก้ว</t>
  </si>
  <si>
    <t>ว่าที่ ร.ต. โสธร</t>
  </si>
  <si>
    <t>เกิดแก้ว</t>
  </si>
  <si>
    <t xml:space="preserve">นางสาว เกวลี </t>
  </si>
  <si>
    <t>ยิ่งยวด</t>
  </si>
  <si>
    <t xml:space="preserve">นาง สุมาลี </t>
  </si>
  <si>
    <t>เสมอเชื้อ</t>
  </si>
  <si>
    <t xml:space="preserve">นาย สัญชาติ </t>
  </si>
  <si>
    <t xml:space="preserve">คงบัน </t>
  </si>
  <si>
    <t xml:space="preserve">นาง กนกกาญจน์ </t>
  </si>
  <si>
    <t xml:space="preserve">ดำรงคดี </t>
  </si>
  <si>
    <t xml:space="preserve">นางสาว ศรธนพรรณ์ </t>
  </si>
  <si>
    <t>สิงเกิด</t>
  </si>
  <si>
    <t xml:space="preserve">นางสาว กฤษณ์พร </t>
  </si>
  <si>
    <t xml:space="preserve">จงเจริญ </t>
  </si>
  <si>
    <t xml:space="preserve">นางสาว จอมทอง </t>
  </si>
  <si>
    <t xml:space="preserve">ชัยภักดี </t>
  </si>
  <si>
    <t xml:space="preserve">นาง ประภา </t>
  </si>
  <si>
    <t xml:space="preserve">ว่องทั่ง </t>
  </si>
  <si>
    <t xml:space="preserve">นาง จิราณี </t>
  </si>
  <si>
    <t xml:space="preserve">จันทร์แก้ว </t>
  </si>
  <si>
    <t xml:space="preserve">นาง กติญา </t>
  </si>
  <si>
    <t xml:space="preserve">เลี้ยงสกุลเวทย์ </t>
  </si>
  <si>
    <t>นาง จรัสศรี</t>
  </si>
  <si>
    <t>แก้วนิลประเสริฐ</t>
  </si>
  <si>
    <t>คงรักษ์</t>
  </si>
  <si>
    <t>นางสาว รติยา</t>
  </si>
  <si>
    <t>ก้องก่ำ</t>
  </si>
  <si>
    <t>บัวทอง</t>
  </si>
  <si>
    <t>นาง วิภารัตน์</t>
  </si>
  <si>
    <t>มาลัยเล็ก</t>
  </si>
  <si>
    <t xml:space="preserve">ว่าที่ ร.ต. ทวิช </t>
  </si>
  <si>
    <t xml:space="preserve">ศิริมุสิกะ </t>
  </si>
  <si>
    <t>มาเอียด</t>
  </si>
  <si>
    <t>นาย ธีรภัทร์</t>
  </si>
  <si>
    <t xml:space="preserve">นางสาว กชกมล </t>
  </si>
  <si>
    <t xml:space="preserve">ปิ่นแก้ว </t>
  </si>
  <si>
    <t>นางสาว วิจิตรา</t>
  </si>
  <si>
    <t>แก้วนาม</t>
  </si>
  <si>
    <t>นางสาว นิรนาท</t>
  </si>
  <si>
    <t>ทองคำ</t>
  </si>
  <si>
    <t xml:space="preserve">นางสาว ธันย์ภัคนันท์ </t>
  </si>
  <si>
    <t xml:space="preserve">นาทธนานนท์ </t>
  </si>
  <si>
    <t>นางสาว กรภัทร</t>
  </si>
  <si>
    <t>แซ่ฟู้</t>
  </si>
  <si>
    <t>นาย สุริวัฒน์</t>
  </si>
  <si>
    <t>ช่วยบำรุง</t>
  </si>
  <si>
    <t>นาย เสนอ</t>
  </si>
  <si>
    <t>รัตนสำเนียง</t>
  </si>
  <si>
    <t>นาย ธาดา</t>
  </si>
  <si>
    <t>ชัยเพ็ชร</t>
  </si>
  <si>
    <t>นาง สมใจ</t>
  </si>
  <si>
    <t>เกลี้ยงแก้ว</t>
  </si>
  <si>
    <t>วรตันติ</t>
  </si>
  <si>
    <t>นาง กนกกร</t>
  </si>
  <si>
    <t>แก้วทอง</t>
  </si>
  <si>
    <t>นางสาว นพรัตน์</t>
  </si>
  <si>
    <t>ถวิลเวทิน</t>
  </si>
  <si>
    <t xml:space="preserve">นาง สาวิตรี </t>
  </si>
  <si>
    <t xml:space="preserve">ศรีหมอก </t>
  </si>
  <si>
    <t>สุสม</t>
  </si>
  <si>
    <t>นางสาว อัญชลี</t>
  </si>
  <si>
    <t>นาคทิพย์</t>
  </si>
  <si>
    <t>นาย ทองอินทร์</t>
  </si>
  <si>
    <t>ถือมั่น</t>
  </si>
  <si>
    <t>พุทธสุวรรณ</t>
  </si>
  <si>
    <t xml:space="preserve">ชื่นสมทรง </t>
  </si>
  <si>
    <t>นาง กอบกูล</t>
  </si>
  <si>
    <t>เครือชาลี</t>
  </si>
  <si>
    <t>นางสาว วาสนา</t>
  </si>
  <si>
    <t>บัวสุข</t>
  </si>
  <si>
    <t>นาย นนท์วศิน</t>
  </si>
  <si>
    <t>นุรักษ์จิรานนท์</t>
  </si>
  <si>
    <t>น้ำทิพย์</t>
  </si>
  <si>
    <t>นาง สุวิมล</t>
  </si>
  <si>
    <t>ตราชู</t>
  </si>
  <si>
    <t>สิงห์ทอง</t>
  </si>
  <si>
    <t>นาขวัญ</t>
  </si>
  <si>
    <t>นาย สุรสิงห์</t>
  </si>
  <si>
    <t>พูนเพิ่มสุขสมบัติ</t>
  </si>
  <si>
    <t>นาย เฉลิมพล</t>
  </si>
  <si>
    <t>แสงมาลา</t>
  </si>
  <si>
    <t>นาย วริทธิ์</t>
  </si>
  <si>
    <t>นาง ละมัย</t>
  </si>
  <si>
    <t>ปลื้มใจ</t>
  </si>
  <si>
    <t>นาย ปิยภัทร</t>
  </si>
  <si>
    <t>เจียรนัย</t>
  </si>
  <si>
    <t>นาย มนู</t>
  </si>
  <si>
    <t>เขินอำนวย</t>
  </si>
  <si>
    <t xml:space="preserve">นาง ณัฐธภา </t>
  </si>
  <si>
    <t xml:space="preserve">เนืองแก้ว </t>
  </si>
  <si>
    <t>นาย ศุภกิจ</t>
  </si>
  <si>
    <t>ภุชฌงค์</t>
  </si>
  <si>
    <t>มีลาภ</t>
  </si>
  <si>
    <t>ชูพูล</t>
  </si>
  <si>
    <t xml:space="preserve">นาย อรุณพล </t>
  </si>
  <si>
    <t xml:space="preserve">พยัคฆพันธ์ </t>
  </si>
  <si>
    <t>พิมาทัย</t>
  </si>
  <si>
    <t>นางสาว อรวรา</t>
  </si>
  <si>
    <t>เดชสกุลไกร</t>
  </si>
  <si>
    <t xml:space="preserve">นางสาว ธัญญพัทธ์ </t>
  </si>
  <si>
    <t xml:space="preserve">บุญยิ่ง </t>
  </si>
  <si>
    <t>นางสาว ณัฐพร</t>
  </si>
  <si>
    <t xml:space="preserve">เขียวสระคู </t>
  </si>
  <si>
    <t>นางสาว อุษณีษ์</t>
  </si>
  <si>
    <t>แสงกระจ่าง</t>
  </si>
  <si>
    <t xml:space="preserve">นาย พรเทพ </t>
  </si>
  <si>
    <t xml:space="preserve">สีวันนา </t>
  </si>
  <si>
    <t>ทองอร่าม</t>
  </si>
  <si>
    <t>ทองนพ</t>
  </si>
  <si>
    <t>จันทวาท</t>
  </si>
  <si>
    <t>เรืองพันธ์</t>
  </si>
  <si>
    <t>นาง นาริสา</t>
  </si>
  <si>
    <t xml:space="preserve">บุญเพิ่ม </t>
  </si>
  <si>
    <t>พันสด</t>
  </si>
  <si>
    <t>นางสาว ชนัญญา</t>
  </si>
  <si>
    <t>พันจีบ</t>
  </si>
  <si>
    <t>นางสาว ทองล้วน</t>
  </si>
  <si>
    <t>เชื้ออาษา</t>
  </si>
  <si>
    <t>นาง จิดาภา</t>
  </si>
  <si>
    <t>นางสาว พัชนี</t>
  </si>
  <si>
    <t>ธูปจีน</t>
  </si>
  <si>
    <t>นางสาว มาลินี</t>
  </si>
  <si>
    <t>ฉันทพิริยกุล</t>
  </si>
  <si>
    <t>นางสาว ศิขรินทร์</t>
  </si>
  <si>
    <t>กุหลาบ</t>
  </si>
  <si>
    <t>นาย ปรเมศวร์</t>
  </si>
  <si>
    <t>วีระโสภณ</t>
  </si>
  <si>
    <t>นาย สุภัค</t>
  </si>
  <si>
    <t>ตระกูลเอี่ยมศิริ</t>
  </si>
  <si>
    <t xml:space="preserve">นางสาว ศิริกาญจน์ </t>
  </si>
  <si>
    <t xml:space="preserve">เลิศปรัชญานันท์ </t>
  </si>
  <si>
    <t xml:space="preserve">นางสาว ธิดารัตน์ </t>
  </si>
  <si>
    <t xml:space="preserve">พุทธสุวรรณ์ </t>
  </si>
  <si>
    <t xml:space="preserve">นาย พงศ์ภมร </t>
  </si>
  <si>
    <t>ธนกุลพงษ์สิริ</t>
  </si>
  <si>
    <t>นาง ศุภมิตร</t>
  </si>
  <si>
    <t xml:space="preserve">นางสาว วันธนา </t>
  </si>
  <si>
    <t xml:space="preserve">ปรีเปรม </t>
  </si>
  <si>
    <t xml:space="preserve">นาง บุณยจิตต์ </t>
  </si>
  <si>
    <t>พันธุนา</t>
  </si>
  <si>
    <t xml:space="preserve">นางสาว วีรญา </t>
  </si>
  <si>
    <t xml:space="preserve">ธรรมขันธ์ </t>
  </si>
  <si>
    <t>นางสาว สายรุ้ง</t>
  </si>
  <si>
    <t>วัฒนยัง</t>
  </si>
  <si>
    <t>สีหะเนิน</t>
  </si>
  <si>
    <t>นาย ฐิรัส</t>
  </si>
  <si>
    <t>อินทพงษ์</t>
  </si>
  <si>
    <t>ม่วงมนตรี</t>
  </si>
  <si>
    <t>เข็มสม</t>
  </si>
  <si>
    <t>ตุงคะเสน</t>
  </si>
  <si>
    <t>คงวัฒนกุล</t>
  </si>
  <si>
    <t>อินทรโชติ</t>
  </si>
  <si>
    <t>ลุประสงค์</t>
  </si>
  <si>
    <t>นาย ศรฤทธิ์นำชัย</t>
  </si>
  <si>
    <t>รักษ์อุดมการณ์</t>
  </si>
  <si>
    <t>นาย องอาจ</t>
  </si>
  <si>
    <t>สระประจง</t>
  </si>
  <si>
    <t>แก้วบุปผา</t>
  </si>
  <si>
    <t>ต่วนเครือ</t>
  </si>
  <si>
    <t>นาง บรรจง</t>
  </si>
  <si>
    <t>ห่วงทอง</t>
  </si>
  <si>
    <t>แจ่มใส</t>
  </si>
  <si>
    <t>คล้ายแดง</t>
  </si>
  <si>
    <t>นาย นันทภพ</t>
  </si>
  <si>
    <t>วงษ์วันทนีย์</t>
  </si>
  <si>
    <t>นาย พชร</t>
  </si>
  <si>
    <t>ปิยะรัฐ</t>
  </si>
  <si>
    <t>นาย ธีระวุฒิ</t>
  </si>
  <si>
    <t>เผ่าจื้อ</t>
  </si>
  <si>
    <t>นาย ธนะ</t>
  </si>
  <si>
    <t>พลายโถ</t>
  </si>
  <si>
    <t>นาย พรพล</t>
  </si>
  <si>
    <t>ทัศนนิตินัย</t>
  </si>
  <si>
    <t>นางสาว ธนิตา</t>
  </si>
  <si>
    <t>ธรรมนิตยางกูร</t>
  </si>
  <si>
    <t>นาคชัง</t>
  </si>
  <si>
    <t>นาง กรวิกา</t>
  </si>
  <si>
    <t>นาย จิรศักดิ์</t>
  </si>
  <si>
    <t>หนูทอง</t>
  </si>
  <si>
    <t>เปี่ยมรอด</t>
  </si>
  <si>
    <t>พูลขวัญ</t>
  </si>
  <si>
    <t>นาย เลิศ</t>
  </si>
  <si>
    <t>ดอนปัต</t>
  </si>
  <si>
    <t>เบญจมาลา</t>
  </si>
  <si>
    <t>ทรัพย์บริบูรณ์</t>
  </si>
  <si>
    <t>นาย ประชัน</t>
  </si>
  <si>
    <t>เถาแตงอ่อน</t>
  </si>
  <si>
    <t>บุบผาทอง</t>
  </si>
  <si>
    <t>นางสาว บุษกร</t>
  </si>
  <si>
    <t>ฟิตประยูร</t>
  </si>
  <si>
    <t>มรกฎจินดา</t>
  </si>
  <si>
    <t>นาย จรัส</t>
  </si>
  <si>
    <t>พลอยแก้ว</t>
  </si>
  <si>
    <t>นาย พงษ์ชัย</t>
  </si>
  <si>
    <t>พุทธคุณรักษา</t>
  </si>
  <si>
    <t xml:space="preserve">นาย ชัยกร </t>
  </si>
  <si>
    <t>สีเหนี่ยง</t>
  </si>
  <si>
    <t xml:space="preserve">นาย ชัยพร </t>
  </si>
  <si>
    <t xml:space="preserve">วิสารทพงศ์ </t>
  </si>
  <si>
    <t>นาย สนั่น</t>
  </si>
  <si>
    <t>พลศรี</t>
  </si>
  <si>
    <t>นางสาว เหวียน</t>
  </si>
  <si>
    <t>ปานม่วง</t>
  </si>
  <si>
    <t>นาย สง่า</t>
  </si>
  <si>
    <t>ผิวอ่อน</t>
  </si>
  <si>
    <t>นาง ชีวารัตน์</t>
  </si>
  <si>
    <t>เพ็งอ้น</t>
  </si>
  <si>
    <t>แสงสว่าง</t>
  </si>
  <si>
    <t>เสมลับ</t>
  </si>
  <si>
    <t>อ่วมเจริญ</t>
  </si>
  <si>
    <t xml:space="preserve">นางสาว สมร </t>
  </si>
  <si>
    <t xml:space="preserve">สุสัณกุลธร </t>
  </si>
  <si>
    <t>สุวรรณมิ่ง</t>
  </si>
  <si>
    <t>ยอดเกลี้ยง</t>
  </si>
  <si>
    <t xml:space="preserve">ส่งรุ่งโรจน์ </t>
  </si>
  <si>
    <t>สุวรรณรัตน์</t>
  </si>
  <si>
    <t>นาง ณัฐทิยา</t>
  </si>
  <si>
    <t xml:space="preserve">อชิตกุล </t>
  </si>
  <si>
    <t xml:space="preserve">นาย พรชัย </t>
  </si>
  <si>
    <t xml:space="preserve">แสนคำภา </t>
  </si>
  <si>
    <t xml:space="preserve">นางสาว มณีรัตน์  </t>
  </si>
  <si>
    <t xml:space="preserve">วงค์วิลาศ </t>
  </si>
  <si>
    <t xml:space="preserve">นางสาว วสุกาญจน์ </t>
  </si>
  <si>
    <t>ปานขริบ</t>
  </si>
  <si>
    <t xml:space="preserve">อดุลยรัตนพันธุ์ </t>
  </si>
  <si>
    <t>ง้วนพริ้ง</t>
  </si>
  <si>
    <t xml:space="preserve">นางสาว กมลพรรณ </t>
  </si>
  <si>
    <t xml:space="preserve">พิมพา </t>
  </si>
  <si>
    <t>น้อยเอียด</t>
  </si>
  <si>
    <t>ชาญประเสริฐ</t>
  </si>
  <si>
    <t xml:space="preserve">นางสาว พิชญาภา </t>
  </si>
  <si>
    <t xml:space="preserve">พงษ์พัว </t>
  </si>
  <si>
    <t>ธัญญเจริญ</t>
  </si>
  <si>
    <t>ขำอิ่ม</t>
  </si>
  <si>
    <t>นาง สิรินันท์</t>
  </si>
  <si>
    <t>สระทองยอด</t>
  </si>
  <si>
    <t>รุผักชี</t>
  </si>
  <si>
    <t>นางสาว สมนึก</t>
  </si>
  <si>
    <t>สำรวลหันต์</t>
  </si>
  <si>
    <t>ศรีสำราญ</t>
  </si>
  <si>
    <t>นางสาว เบ็ญจพร</t>
  </si>
  <si>
    <t>คุ้มพงษ์</t>
  </si>
  <si>
    <t>นาง สุพิศ</t>
  </si>
  <si>
    <t>กีรติวิทยายุต</t>
  </si>
  <si>
    <t>นางสาว ชรินทร์</t>
  </si>
  <si>
    <t>เนตรแก้ว</t>
  </si>
  <si>
    <t>นางสาว ภัทรภร</t>
  </si>
  <si>
    <t>แสงสุเทพ</t>
  </si>
  <si>
    <t>แก้วไทรหงวน</t>
  </si>
  <si>
    <t>นาย เฉลิมยศ</t>
  </si>
  <si>
    <t>ชัยคุณแสง</t>
  </si>
  <si>
    <t>นางสาว วัฒนา</t>
  </si>
  <si>
    <t>คุ้มครอง</t>
  </si>
  <si>
    <t>นาย สุรพงศ์</t>
  </si>
  <si>
    <t>บุญยงค์</t>
  </si>
  <si>
    <t>สืบพันธ์โกย</t>
  </si>
  <si>
    <t>แสงสีงาม</t>
  </si>
  <si>
    <t>นาง พลัศริญญา</t>
  </si>
  <si>
    <t>อมรพันธุ์ศักดิ์</t>
  </si>
  <si>
    <t>นางสาว ลำดวน</t>
  </si>
  <si>
    <t>สระทองอินทร์</t>
  </si>
  <si>
    <t>หมอนวด</t>
  </si>
  <si>
    <t>นางสาว เรวดี</t>
  </si>
  <si>
    <t>บัวเพชร</t>
  </si>
  <si>
    <t>นางสาว ฐานียา</t>
  </si>
  <si>
    <t>เหลียววัฒนกิจ</t>
  </si>
  <si>
    <t>ไทยทวี</t>
  </si>
  <si>
    <t xml:space="preserve">นาย ธนภูมิ </t>
  </si>
  <si>
    <t xml:space="preserve">พูลขวัญ </t>
  </si>
  <si>
    <t xml:space="preserve">นางสาว ภารดี </t>
  </si>
  <si>
    <t xml:space="preserve">เอี่ยมเทศ </t>
  </si>
  <si>
    <t xml:space="preserve">นางสาว สุทัศวลี </t>
  </si>
  <si>
    <t xml:space="preserve">เครือวัลย์ </t>
  </si>
  <si>
    <t xml:space="preserve">นาย เฉลิม </t>
  </si>
  <si>
    <t xml:space="preserve">นันทารียะวัฒน์ </t>
  </si>
  <si>
    <t>ลิ้มติ้ว</t>
  </si>
  <si>
    <t xml:space="preserve">นาย คณิสร </t>
  </si>
  <si>
    <t xml:space="preserve">ศรีทองอินทร์ </t>
  </si>
  <si>
    <t xml:space="preserve">นาง นัทธ์ชนัน </t>
  </si>
  <si>
    <t xml:space="preserve">จีระนุช </t>
  </si>
  <si>
    <t>นางสาว วีรวรรณ</t>
  </si>
  <si>
    <t>อุดมธรรมรักษ์</t>
  </si>
  <si>
    <t>จีนประชา</t>
  </si>
  <si>
    <t>ประมวล</t>
  </si>
  <si>
    <t>นาย บดินทร์</t>
  </si>
  <si>
    <t>นางสาว จิตติกาญจน์</t>
  </si>
  <si>
    <t>สมพงศ์นวกิจ</t>
  </si>
  <si>
    <t>นางสาว วรัทยา</t>
  </si>
  <si>
    <t>เซี่ยงจ๊ง</t>
  </si>
  <si>
    <t>อยู่สงค์</t>
  </si>
  <si>
    <t xml:space="preserve">นางสาว รัชชนก </t>
  </si>
  <si>
    <t xml:space="preserve">ปิ๋วท่าไม้ </t>
  </si>
  <si>
    <t xml:space="preserve">คำกองแก้ว </t>
  </si>
  <si>
    <t xml:space="preserve">นาย ไชยวัฒน์ </t>
  </si>
  <si>
    <t xml:space="preserve">เจริญพรพรรณ </t>
  </si>
  <si>
    <t xml:space="preserve">นาย สุธี </t>
  </si>
  <si>
    <t xml:space="preserve">ภู่อร่าม </t>
  </si>
  <si>
    <t xml:space="preserve">ฮกยินดี </t>
  </si>
  <si>
    <t>ก้องวิวัฒน์พงศ์</t>
  </si>
  <si>
    <t xml:space="preserve">นาย เลิศสิริ </t>
  </si>
  <si>
    <t xml:space="preserve">ศรีจันทร์โฉม </t>
  </si>
  <si>
    <t xml:space="preserve">นางสาว อุไรทิพย์ </t>
  </si>
  <si>
    <t xml:space="preserve">ธรรมสา </t>
  </si>
  <si>
    <t xml:space="preserve">นางสาว จิตติมา </t>
  </si>
  <si>
    <t xml:space="preserve">กิรณะวัฒน์ </t>
  </si>
  <si>
    <t>ปัญโญ</t>
  </si>
  <si>
    <t>อยู่สวัสดิ์</t>
  </si>
  <si>
    <t>นางสาว ชุดาภา</t>
  </si>
  <si>
    <t>จันทร์ชัง</t>
  </si>
  <si>
    <t>นาย บุญชอบ</t>
  </si>
  <si>
    <t>สุวรรณโพธิ์ศรี</t>
  </si>
  <si>
    <t>นาย ศิริพันธ์</t>
  </si>
  <si>
    <t>นาย เจริญสุข</t>
  </si>
  <si>
    <t>มังคละคีรี</t>
  </si>
  <si>
    <t>นาย สิทธิวัฒน์</t>
  </si>
  <si>
    <t>ไชยศล</t>
  </si>
  <si>
    <t>คำแสนราช</t>
  </si>
  <si>
    <t>ไชยมงคล</t>
  </si>
  <si>
    <t>นาย ลิขิต</t>
  </si>
  <si>
    <t>ศรีสุนาครัว</t>
  </si>
  <si>
    <t>มาลีลัย</t>
  </si>
  <si>
    <t>นาง เกศนี</t>
  </si>
  <si>
    <t>นาย ศุภชัย</t>
  </si>
  <si>
    <t>นาย สุรชิต</t>
  </si>
  <si>
    <t>แสงจันทร์</t>
  </si>
  <si>
    <t>คำชมภู</t>
  </si>
  <si>
    <t>แวงดีสอน</t>
  </si>
  <si>
    <t>ไชยมนตรี</t>
  </si>
  <si>
    <t>ศรีดาน้อย</t>
  </si>
  <si>
    <t>นาย ใหม่</t>
  </si>
  <si>
    <t>พัฒนประสิทธิ์ชัย</t>
  </si>
  <si>
    <t>จันทรู</t>
  </si>
  <si>
    <t>นิ่มนวล</t>
  </si>
  <si>
    <t>ลวกไธสง</t>
  </si>
  <si>
    <t>วงค์สุเพ็ง</t>
  </si>
  <si>
    <t>นาง ทัศวรรณ</t>
  </si>
  <si>
    <t>ขันโมลี</t>
  </si>
  <si>
    <t>ชาลีกุล</t>
  </si>
  <si>
    <t>แหมไธสง</t>
  </si>
  <si>
    <t>นาง อรทัย</t>
  </si>
  <si>
    <t>แก้วคำภา</t>
  </si>
  <si>
    <t>วรรณลา</t>
  </si>
  <si>
    <t>ผ่านเมือง</t>
  </si>
  <si>
    <t>จันทะศิลา</t>
  </si>
  <si>
    <t>นาย ภูษิต</t>
  </si>
  <si>
    <t>คนขยัน</t>
  </si>
  <si>
    <t>บุญระมี</t>
  </si>
  <si>
    <t>พ.จ.ต. สุรพล</t>
  </si>
  <si>
    <t>นาย ณัฐชนนท์</t>
  </si>
  <si>
    <t>นางสาว กุลธิดา</t>
  </si>
  <si>
    <t>ประพฤติชอบ</t>
  </si>
  <si>
    <t xml:space="preserve">นาย กัลญศักดิ์ </t>
  </si>
  <si>
    <t xml:space="preserve">รัตนาฆพิมพ์ </t>
  </si>
  <si>
    <t>นาย อนุพล</t>
  </si>
  <si>
    <t>ฤกษ์สว่าง</t>
  </si>
  <si>
    <t>พิมพร</t>
  </si>
  <si>
    <t xml:space="preserve">ไชยเทพ </t>
  </si>
  <si>
    <t xml:space="preserve">นางสาว พุทธชาติ </t>
  </si>
  <si>
    <t xml:space="preserve">แก้วเขียว </t>
  </si>
  <si>
    <t>สมศรี</t>
  </si>
  <si>
    <t>ชอบด่านกลาง</t>
  </si>
  <si>
    <t>นาย อรุษ</t>
  </si>
  <si>
    <t>พิมพ์สราญ</t>
  </si>
  <si>
    <t xml:space="preserve">นางสาว ชไมพร </t>
  </si>
  <si>
    <t xml:space="preserve">พรหมจรรย์ </t>
  </si>
  <si>
    <t xml:space="preserve">นาย อรรถพงษ์ </t>
  </si>
  <si>
    <t xml:space="preserve">ศรีสุข </t>
  </si>
  <si>
    <t xml:space="preserve">นาย วรฤทธิ์ </t>
  </si>
  <si>
    <t xml:space="preserve">การะจักร์ </t>
  </si>
  <si>
    <t>อุ่นนาแซง</t>
  </si>
  <si>
    <t xml:space="preserve">นาง รัญดา </t>
  </si>
  <si>
    <t>คำสมหมาย</t>
  </si>
  <si>
    <t>นาง วราพร</t>
  </si>
  <si>
    <t>สิริสุวรรณมา</t>
  </si>
  <si>
    <t>รัตน์รองใต้</t>
  </si>
  <si>
    <t xml:space="preserve">นาง วิภารัตน์ </t>
  </si>
  <si>
    <t xml:space="preserve">จิตรสว่าง </t>
  </si>
  <si>
    <t xml:space="preserve">ประชาโชติ </t>
  </si>
  <si>
    <t xml:space="preserve">สาวิสิทธิ์ </t>
  </si>
  <si>
    <t>นางสาว ชไมพร</t>
  </si>
  <si>
    <t>อักษรศักดิ์</t>
  </si>
  <si>
    <t>นาง คณาภรณ์</t>
  </si>
  <si>
    <t>ศูนย์ศร</t>
  </si>
  <si>
    <t>นาย ร่มไม้</t>
  </si>
  <si>
    <t>นวลตา</t>
  </si>
  <si>
    <t xml:space="preserve">บาลจบ </t>
  </si>
  <si>
    <t xml:space="preserve">นาย ปรีชา </t>
  </si>
  <si>
    <t xml:space="preserve">โสวิลัย </t>
  </si>
  <si>
    <t>นาง ไพวรรณ</t>
  </si>
  <si>
    <t>สรรพโส</t>
  </si>
  <si>
    <t>เลิศพิชญ์เมธา</t>
  </si>
  <si>
    <t>ธรรมประชา</t>
  </si>
  <si>
    <t>คงยืน</t>
  </si>
  <si>
    <t>บรรจงเลิศ</t>
  </si>
  <si>
    <t>สมแพง</t>
  </si>
  <si>
    <t>ไชยศิลป์</t>
  </si>
  <si>
    <t>นาย นรินทร</t>
  </si>
  <si>
    <t>ภูศรีฐาน</t>
  </si>
  <si>
    <t>นาย ปกรณ์</t>
  </si>
  <si>
    <t>มลัยจันทร์</t>
  </si>
  <si>
    <t>หอมสุด</t>
  </si>
  <si>
    <t>แย้มวิจิตรจรรยา</t>
  </si>
  <si>
    <t>นาย วิชาญ</t>
  </si>
  <si>
    <t>ซาตัน</t>
  </si>
  <si>
    <t>ผุดเกตุ</t>
  </si>
  <si>
    <t>สุจิมงคล</t>
  </si>
  <si>
    <t>บุตรเวส</t>
  </si>
  <si>
    <t>นาง พวงเพชร</t>
  </si>
  <si>
    <t>รัตนบุรี</t>
  </si>
  <si>
    <t>นาย สักรินทร์</t>
  </si>
  <si>
    <t>นาง ศิราภรณ์</t>
  </si>
  <si>
    <t>กุลจิตติวิรัช</t>
  </si>
  <si>
    <t>แสนธิราช</t>
  </si>
  <si>
    <t>ภูดีทิพย์</t>
  </si>
  <si>
    <t>นาย ประเมิน</t>
  </si>
  <si>
    <t>เสนานาม</t>
  </si>
  <si>
    <t>วิริพันธุ์</t>
  </si>
  <si>
    <t>นาย วิชา</t>
  </si>
  <si>
    <t>คำมุงคุณ</t>
  </si>
  <si>
    <t>นางสาว กวิตา</t>
  </si>
  <si>
    <t>ศรีวรมย์</t>
  </si>
  <si>
    <t>นาย วีรพงศ์</t>
  </si>
  <si>
    <t>นาง สุกัลยา</t>
  </si>
  <si>
    <t>ยะสะกะ</t>
  </si>
  <si>
    <t>จันทะรักษ์</t>
  </si>
  <si>
    <t>โพธิ์สุข</t>
  </si>
  <si>
    <t>นิธิยานันท์</t>
  </si>
  <si>
    <t>คนครอง</t>
  </si>
  <si>
    <t>นางสาว มนทิพ</t>
  </si>
  <si>
    <t>วรรณทรัพย์ศิริ</t>
  </si>
  <si>
    <t>นาย ศาสดา</t>
  </si>
  <si>
    <t>จันทร์ไตร</t>
  </si>
  <si>
    <t xml:space="preserve">ศรีรัตน์ </t>
  </si>
  <si>
    <t>นาง เชาวณีย์</t>
  </si>
  <si>
    <t>ศิริสาคร</t>
  </si>
  <si>
    <t xml:space="preserve">นางสาว ราตรี </t>
  </si>
  <si>
    <t xml:space="preserve">ภูศรี </t>
  </si>
  <si>
    <t xml:space="preserve">นางสาว นิภา </t>
  </si>
  <si>
    <t>พรมวงษา</t>
  </si>
  <si>
    <t xml:space="preserve">นาง สิรินาถ </t>
  </si>
  <si>
    <t xml:space="preserve">อินภูวา </t>
  </si>
  <si>
    <t xml:space="preserve">นาย นที </t>
  </si>
  <si>
    <t xml:space="preserve">นางสาว จิรวรรณ </t>
  </si>
  <si>
    <t xml:space="preserve">จันทรู </t>
  </si>
  <si>
    <t xml:space="preserve">นางสาว ศุจีภรณ์ </t>
  </si>
  <si>
    <t>หิตปา</t>
  </si>
  <si>
    <t>ทัศคร</t>
  </si>
  <si>
    <t>นางสาว ภวพร</t>
  </si>
  <si>
    <t>ว่าที่ ร.ต. ภัครชานนท์</t>
  </si>
  <si>
    <t>สายแก้ว</t>
  </si>
  <si>
    <t xml:space="preserve">ชุ่มเสนา </t>
  </si>
  <si>
    <t xml:space="preserve">โสลันดา </t>
  </si>
  <si>
    <t xml:space="preserve">นาง สินิทธา </t>
  </si>
  <si>
    <t>แก้วคำแจ้ง</t>
  </si>
  <si>
    <t>หนึ่งคำมี</t>
  </si>
  <si>
    <t xml:space="preserve">นาย ศิริชัย </t>
  </si>
  <si>
    <t>เพชรดีคาย</t>
  </si>
  <si>
    <t xml:space="preserve">อ่อนอินทร์ </t>
  </si>
  <si>
    <t xml:space="preserve">นาง จิรภา </t>
  </si>
  <si>
    <t xml:space="preserve">โสนาคู </t>
  </si>
  <si>
    <t xml:space="preserve">นาง จารุณี </t>
  </si>
  <si>
    <t xml:space="preserve">สิงห์พรหมสาร </t>
  </si>
  <si>
    <t xml:space="preserve">นาย ภานุมาส </t>
  </si>
  <si>
    <t xml:space="preserve">สิงหะวาระ </t>
  </si>
  <si>
    <t>คำมุข</t>
  </si>
  <si>
    <t>นางสาว ธิดารัตน์</t>
  </si>
  <si>
    <t>พูนประสิทธิ์</t>
  </si>
  <si>
    <t>นาย สินธยา</t>
  </si>
  <si>
    <t>โสนาคู</t>
  </si>
  <si>
    <t>นางสาว จันทร์เพ็ญ</t>
  </si>
  <si>
    <t>บุณรังศรี</t>
  </si>
  <si>
    <t>รัตนวงศ์</t>
  </si>
  <si>
    <t>นาย ไกรวิชญ์</t>
  </si>
  <si>
    <t>วะเศษสร้อย</t>
  </si>
  <si>
    <t>กุประเสริฐ</t>
  </si>
  <si>
    <t xml:space="preserve">นางสาว พูนทิพย์ </t>
  </si>
  <si>
    <t xml:space="preserve">แสนธิไชยยา </t>
  </si>
  <si>
    <t>อาวรรณา</t>
  </si>
  <si>
    <t>นางสาว ปาณิสรา</t>
  </si>
  <si>
    <t>เอกจีน</t>
  </si>
  <si>
    <t>นาย ชัยศรี</t>
  </si>
  <si>
    <t>เค้าแคน</t>
  </si>
  <si>
    <t>นางสาว สุภัตรา</t>
  </si>
  <si>
    <t>เผื่อชาติ</t>
  </si>
  <si>
    <t>เอียดชะตา</t>
  </si>
  <si>
    <t>นางสาว ปรัศนีย์</t>
  </si>
  <si>
    <t>รัตนพงศ์มณี</t>
  </si>
  <si>
    <t xml:space="preserve">หนูนัง </t>
  </si>
  <si>
    <t>จั่นเพชร</t>
  </si>
  <si>
    <t>นาย อานันท์</t>
  </si>
  <si>
    <t>ชำนาญงานดี</t>
  </si>
  <si>
    <t>นาง สมสมัย</t>
  </si>
  <si>
    <t>ตะนัง</t>
  </si>
  <si>
    <t>สังเกตุ</t>
  </si>
  <si>
    <t>ประวรรณรัมย์</t>
  </si>
  <si>
    <t>นาง กุลชญา</t>
  </si>
  <si>
    <t>ดำรงเดชโสภณ</t>
  </si>
  <si>
    <t>อุดมพร</t>
  </si>
  <si>
    <t>นาง พิลัยศรี</t>
  </si>
  <si>
    <t>สังข์ศร</t>
  </si>
  <si>
    <t>สำราญกลาง</t>
  </si>
  <si>
    <t>เยี่ยมสูงเนิน</t>
  </si>
  <si>
    <t>นาง ธนสร</t>
  </si>
  <si>
    <t>ธนพัตชยางกูร</t>
  </si>
  <si>
    <t>นาย มนิตย์</t>
  </si>
  <si>
    <t>สอพิมาย</t>
  </si>
  <si>
    <t>ฉมารัตน์</t>
  </si>
  <si>
    <t>ว่าที่ พ.ต. ณรงค์ชัย</t>
  </si>
  <si>
    <t>ค่ายใส</t>
  </si>
  <si>
    <t>นภาสกุล</t>
  </si>
  <si>
    <t>นาย พงษ์ประพันธ์</t>
  </si>
  <si>
    <t>ชนภัณฑารักษ์</t>
  </si>
  <si>
    <t>นาง สุรีย์</t>
  </si>
  <si>
    <t>เอี่ยมสำอางค์</t>
  </si>
  <si>
    <t>นาง ถนอมจิตร์</t>
  </si>
  <si>
    <t>คำมาตย์</t>
  </si>
  <si>
    <t>สุขสมัย</t>
  </si>
  <si>
    <t>นาง สนิท</t>
  </si>
  <si>
    <t>จิตต์ภักดิ์</t>
  </si>
  <si>
    <t>ขอดจันทึก</t>
  </si>
  <si>
    <t>แขดอน</t>
  </si>
  <si>
    <t>นาง นันท์นภัส</t>
  </si>
  <si>
    <t>คุณาพรพิพัฒน์</t>
  </si>
  <si>
    <t xml:space="preserve">นาย วุฒิวัฒน์ </t>
  </si>
  <si>
    <t>ศรีวงษ์รัตน์</t>
  </si>
  <si>
    <t>เปียจันทึก</t>
  </si>
  <si>
    <t>นาง ธนิษฐา</t>
  </si>
  <si>
    <t>นาย มาโนชน์</t>
  </si>
  <si>
    <t>มีชื่น</t>
  </si>
  <si>
    <t>นางสาว กรสิริ</t>
  </si>
  <si>
    <t>กุลกำจรหิรัญ</t>
  </si>
  <si>
    <t>นาง ภัทรจิตรา</t>
  </si>
  <si>
    <t>อิ่มเจริญ</t>
  </si>
  <si>
    <t>นาง บัวพิศ</t>
  </si>
  <si>
    <t>ดุริยจรรยา</t>
  </si>
  <si>
    <t>นาย บรรจบ</t>
  </si>
  <si>
    <t>วรรณบุษปวิช</t>
  </si>
  <si>
    <t>นาย ประญัติ</t>
  </si>
  <si>
    <t>ชุดนอก</t>
  </si>
  <si>
    <t>นาย ยงค์</t>
  </si>
  <si>
    <t>ภักดีศรี</t>
  </si>
  <si>
    <t>อินทรเกษม</t>
  </si>
  <si>
    <t>นาง จารุวรรณ</t>
  </si>
  <si>
    <t>ชาติประสพ</t>
  </si>
  <si>
    <t>เลือดกระโทก</t>
  </si>
  <si>
    <t>นาง ลำพรรณ์</t>
  </si>
  <si>
    <t>จันทร์พิทักษ์</t>
  </si>
  <si>
    <t>การรักษา</t>
  </si>
  <si>
    <t>นาง ดอกไม้</t>
  </si>
  <si>
    <t>ขจรเดชา</t>
  </si>
  <si>
    <t>นิยมนา</t>
  </si>
  <si>
    <t>นาง ทองใบ</t>
  </si>
  <si>
    <t>ศรีทาน้อย</t>
  </si>
  <si>
    <t>นางสาว ดวงใจ</t>
  </si>
  <si>
    <t>อินทกูล</t>
  </si>
  <si>
    <t>สืบอนันต์</t>
  </si>
  <si>
    <t>บุษสระเกษ</t>
  </si>
  <si>
    <t>นาย ชูศักดิ์</t>
  </si>
  <si>
    <t>อักษรวงศิลป์</t>
  </si>
  <si>
    <t>นาย ฉลาด</t>
  </si>
  <si>
    <t>นาย แสงอุทัย</t>
  </si>
  <si>
    <t>ช่างเกวียน</t>
  </si>
  <si>
    <t>นาย ไพรัช</t>
  </si>
  <si>
    <t>แก้วน้ำใส</t>
  </si>
  <si>
    <t>นาง พิศนา</t>
  </si>
  <si>
    <t>ศรีพินิจพัฒน์</t>
  </si>
  <si>
    <t>ทองทั่ว</t>
  </si>
  <si>
    <t>ช่วยงาน</t>
  </si>
  <si>
    <t>บุญเกิด</t>
  </si>
  <si>
    <t>จันทสังข์</t>
  </si>
  <si>
    <t>จันทร์โพธิ์</t>
  </si>
  <si>
    <t>พระเมเด</t>
  </si>
  <si>
    <t>เลิกกระโทก</t>
  </si>
  <si>
    <t>จันทระไวทยาพร</t>
  </si>
  <si>
    <t>บุตรสามาลี</t>
  </si>
  <si>
    <t>แจ้งไธสงค์</t>
  </si>
  <si>
    <t>ดวงสุนทร</t>
  </si>
  <si>
    <t>นางสาว ปัทมา</t>
  </si>
  <si>
    <t>มุ่งค้ำกลาง</t>
  </si>
  <si>
    <t>นาย สมเด็จ</t>
  </si>
  <si>
    <t>นาย สุเวทย์</t>
  </si>
  <si>
    <t>ศรีโรจน์</t>
  </si>
  <si>
    <t>อนุไพรวัลย์</t>
  </si>
  <si>
    <t>นาง อนงค์ภัทร์</t>
  </si>
  <si>
    <t>กีรติเรขา</t>
  </si>
  <si>
    <t>นาย ธนูศิลป์</t>
  </si>
  <si>
    <t>พรมหนองแสง</t>
  </si>
  <si>
    <t>นาง วรรณเพ็ญ</t>
  </si>
  <si>
    <t>ศรบรรจง</t>
  </si>
  <si>
    <t>นาย เพิ่มศักดิ์</t>
  </si>
  <si>
    <t>อุทัยวงศ์</t>
  </si>
  <si>
    <t>นาย ไกรนุกูล</t>
  </si>
  <si>
    <t>ประมงคล</t>
  </si>
  <si>
    <t>นาย บัวลอย</t>
  </si>
  <si>
    <t>ปัดชา</t>
  </si>
  <si>
    <t>พุฒซ้อน</t>
  </si>
  <si>
    <t>สองจันทึก</t>
  </si>
  <si>
    <t>นาย พงศ์พร</t>
  </si>
  <si>
    <t>ปิติกะวงศ์</t>
  </si>
  <si>
    <t>นาย ลัสดา</t>
  </si>
  <si>
    <t>คำสอน</t>
  </si>
  <si>
    <t>นาง อังศุมา</t>
  </si>
  <si>
    <t>นาง ชาญรัตน์</t>
  </si>
  <si>
    <t>ไตรเวช</t>
  </si>
  <si>
    <t>นาย สำราญกิจ</t>
  </si>
  <si>
    <t>สวัสดิ์สลุง</t>
  </si>
  <si>
    <t>ศรีเพชร</t>
  </si>
  <si>
    <t>สมรรถชัย</t>
  </si>
  <si>
    <t>นาย สุภาพ</t>
  </si>
  <si>
    <t>วงกต</t>
  </si>
  <si>
    <t>ซินพรมราช</t>
  </si>
  <si>
    <t>นางสาว นวลอนงค์</t>
  </si>
  <si>
    <t>เกวียนสูงเนิน</t>
  </si>
  <si>
    <t>นาย สุขสันต์</t>
  </si>
  <si>
    <t>ศรียันต์</t>
  </si>
  <si>
    <t>ศักดิ์กระโทก</t>
  </si>
  <si>
    <t>อภิรักษ์พงศ์สุข</t>
  </si>
  <si>
    <t>คำไทยกลาง</t>
  </si>
  <si>
    <t>รักษาจิตร์</t>
  </si>
  <si>
    <t>นาย วีระวุฒิ</t>
  </si>
  <si>
    <t>แก้วปรีชา</t>
  </si>
  <si>
    <t>นาง โสมทัศน์</t>
  </si>
  <si>
    <t>อภิรักษ์โยธิน</t>
  </si>
  <si>
    <t>นาง ปาณิศา</t>
  </si>
  <si>
    <t>นาง อุษา</t>
  </si>
  <si>
    <t>สาริกา</t>
  </si>
  <si>
    <t>แจ่มสุวรรณ</t>
  </si>
  <si>
    <t>นาง มะลิวรรณ</t>
  </si>
  <si>
    <t>แดงจันทึก</t>
  </si>
  <si>
    <t>ปัญญามณีศร</t>
  </si>
  <si>
    <t>นาย บุญถิ่น</t>
  </si>
  <si>
    <t>เดชสูงเนิน</t>
  </si>
  <si>
    <t>เพชรกระโทก</t>
  </si>
  <si>
    <t>นาย สังวาล</t>
  </si>
  <si>
    <t>แก้วสันเทียะ</t>
  </si>
  <si>
    <t>เทิ่งขุนทด</t>
  </si>
  <si>
    <t>นาย พจพา</t>
  </si>
  <si>
    <t>จงท่วมกลาง</t>
  </si>
  <si>
    <t>นาย ละไม้</t>
  </si>
  <si>
    <t>บุญกลาง</t>
  </si>
  <si>
    <t>ธรรมภิรานนท์</t>
  </si>
  <si>
    <t>พู่เข็มประยูร</t>
  </si>
  <si>
    <t>พลเยี่ยม</t>
  </si>
  <si>
    <t>นาย จงวัฒน์</t>
  </si>
  <si>
    <t>นาย ศักดิ์ศรี</t>
  </si>
  <si>
    <t>ล้อมไธสง</t>
  </si>
  <si>
    <t>นาง อังคณา</t>
  </si>
  <si>
    <t>เฮงสมบูรณ์</t>
  </si>
  <si>
    <t>เพชรดุลย์</t>
  </si>
  <si>
    <t>ชมชื่น</t>
  </si>
  <si>
    <t>นาย สุขดี</t>
  </si>
  <si>
    <t>บุญลำพู</t>
  </si>
  <si>
    <t>นาย นิรันต์</t>
  </si>
  <si>
    <t>ซึ่งสมณกูล</t>
  </si>
  <si>
    <t>นาย ภิญโญ</t>
  </si>
  <si>
    <t>งามเมืองปัก</t>
  </si>
  <si>
    <t>นาง จีระวัตร์</t>
  </si>
  <si>
    <t>กองจันทึก</t>
  </si>
  <si>
    <t>นาย เจิมจุล</t>
  </si>
  <si>
    <t>สิทธิเวช</t>
  </si>
  <si>
    <t>เขยสูงเนิน</t>
  </si>
  <si>
    <t>อ้วนโพธิ์กลาง</t>
  </si>
  <si>
    <t>นาง บุษบา</t>
  </si>
  <si>
    <t>วรภาพ</t>
  </si>
  <si>
    <t>พรมงูเหลือม</t>
  </si>
  <si>
    <t>นาย ประเด็น</t>
  </si>
  <si>
    <t>มณีจันทึก</t>
  </si>
  <si>
    <t>กิจพัฒนสุขชัย</t>
  </si>
  <si>
    <t>นาย สุฤทธิ์</t>
  </si>
  <si>
    <t>เข็มทอง</t>
  </si>
  <si>
    <t>นาย สุพงศ์</t>
  </si>
  <si>
    <t>สินธุรัตน์</t>
  </si>
  <si>
    <t>ไพลกลาง</t>
  </si>
  <si>
    <t>นาง รัตนาพร</t>
  </si>
  <si>
    <t>เนตรสาย</t>
  </si>
  <si>
    <t>เกียรติวิบูลย์จิตร</t>
  </si>
  <si>
    <t>นาย อรรถ</t>
  </si>
  <si>
    <t>อินทลักษณ์</t>
  </si>
  <si>
    <t>อัครพรชัย</t>
  </si>
  <si>
    <t>ประทุมมาลย์</t>
  </si>
  <si>
    <t>นางสาว สุชัญญา</t>
  </si>
  <si>
    <t>ปราณีตพลกรัง</t>
  </si>
  <si>
    <t>นาย ภูวดล</t>
  </si>
  <si>
    <t>จันทศร</t>
  </si>
  <si>
    <t>นาย บุญเพ็ง</t>
  </si>
  <si>
    <t>ประทุมเมศ</t>
  </si>
  <si>
    <t>นาย ถนัด</t>
  </si>
  <si>
    <t>วิชาภรณ์</t>
  </si>
  <si>
    <t>นาย วีระชน</t>
  </si>
  <si>
    <t>ทองธีระ</t>
  </si>
  <si>
    <t>นาง ธนาวดี</t>
  </si>
  <si>
    <t>อมรธนะโชติ</t>
  </si>
  <si>
    <t>พรสันเทียะ</t>
  </si>
  <si>
    <t>นาย ถนัดกิจ</t>
  </si>
  <si>
    <t>จุลโลบล</t>
  </si>
  <si>
    <t>พลทม</t>
  </si>
  <si>
    <t>รัตนาภรณ์</t>
  </si>
  <si>
    <t>ชนะสาย</t>
  </si>
  <si>
    <t>สาระคง</t>
  </si>
  <si>
    <t>ศิลปะ</t>
  </si>
  <si>
    <t>นางสาว ธนัยนันท์</t>
  </si>
  <si>
    <t>ม่วงประทาย</t>
  </si>
  <si>
    <t>โชติจันทึก</t>
  </si>
  <si>
    <t>นาง สุภาพรรณ์</t>
  </si>
  <si>
    <t>สุขมาศ</t>
  </si>
  <si>
    <t>อภัยบุรี</t>
  </si>
  <si>
    <t>รอดย้อย</t>
  </si>
  <si>
    <t>นาง คมขำ</t>
  </si>
  <si>
    <t>โพธิสูง</t>
  </si>
  <si>
    <t>นาย ทวีสิน</t>
  </si>
  <si>
    <t>เพียรขุนทด</t>
  </si>
  <si>
    <t xml:space="preserve">ประภัสสรพงษ์ </t>
  </si>
  <si>
    <t xml:space="preserve">นาง อำไพ </t>
  </si>
  <si>
    <t>ศรีสูงเนิน</t>
  </si>
  <si>
    <t xml:space="preserve">นาง เพ็ญศรี </t>
  </si>
  <si>
    <t xml:space="preserve">รัตนจรัลโรจน์ </t>
  </si>
  <si>
    <t>นาง สำรวย</t>
  </si>
  <si>
    <t>จีนขาวขำ</t>
  </si>
  <si>
    <t>นาย สิงห์</t>
  </si>
  <si>
    <t>นาย ชุ่ม</t>
  </si>
  <si>
    <t>ต่อมพุดซา</t>
  </si>
  <si>
    <t>หวะสุวรรณ์</t>
  </si>
  <si>
    <t xml:space="preserve">นาง อนุสรา </t>
  </si>
  <si>
    <t>นางสาว สุภัสรา</t>
  </si>
  <si>
    <t>แช่มช้อย</t>
  </si>
  <si>
    <t>โกสีย์รัตน์</t>
  </si>
  <si>
    <t xml:space="preserve">ลิมป์กิตติกุล </t>
  </si>
  <si>
    <t xml:space="preserve">นาย จารุพัฒน์ </t>
  </si>
  <si>
    <t xml:space="preserve">ทาเกอูจิ </t>
  </si>
  <si>
    <t xml:space="preserve">อินทระ </t>
  </si>
  <si>
    <t>นาย วุฒิพงศ์</t>
  </si>
  <si>
    <t>ตั้งถิรวาณิชย์</t>
  </si>
  <si>
    <t xml:space="preserve">นาง อรุณรัตน์ </t>
  </si>
  <si>
    <t>เอ่งฉ้วน</t>
  </si>
  <si>
    <t xml:space="preserve">นาย พงศ์พล </t>
  </si>
  <si>
    <t>ลือจันทึก</t>
  </si>
  <si>
    <t>นาง น้ำเงิน</t>
  </si>
  <si>
    <t>ยศสูงเนิน</t>
  </si>
  <si>
    <t xml:space="preserve">นางสาว สุภัค </t>
  </si>
  <si>
    <t xml:space="preserve">ไชยโย </t>
  </si>
  <si>
    <t>นาง จุฬารัตน์</t>
  </si>
  <si>
    <t xml:space="preserve">ปุลลกิเน่น </t>
  </si>
  <si>
    <t>นาง ดาวหทัย</t>
  </si>
  <si>
    <t>สาสิมมา</t>
  </si>
  <si>
    <t>นาย คมพักตร์</t>
  </si>
  <si>
    <t>วงศ์วังจันทร์</t>
  </si>
  <si>
    <t>กันแก้ว</t>
  </si>
  <si>
    <t>นาง สุปัญญา</t>
  </si>
  <si>
    <t xml:space="preserve">จวงจันทึก </t>
  </si>
  <si>
    <t>บุญพิมพ์</t>
  </si>
  <si>
    <t>นาง ปริชาติ</t>
  </si>
  <si>
    <t>นาคประกอบ</t>
  </si>
  <si>
    <t>มรกต</t>
  </si>
  <si>
    <t>นางสาว นงเยาว์</t>
  </si>
  <si>
    <t>เจือจันทึก</t>
  </si>
  <si>
    <t>นาง สุธาสินี</t>
  </si>
  <si>
    <t>ภู่จันทึก</t>
  </si>
  <si>
    <t>จ้อจันทึก</t>
  </si>
  <si>
    <t>เล็งสุวรรณ</t>
  </si>
  <si>
    <t>เริ่มสูงเนิน</t>
  </si>
  <si>
    <t>นาย จิรพล</t>
  </si>
  <si>
    <t>หวลสันเทียะ</t>
  </si>
  <si>
    <t>ค้ากระบือ</t>
  </si>
  <si>
    <t>เมี้ยนกลาง</t>
  </si>
  <si>
    <t>ศิริวงศ์พานิช</t>
  </si>
  <si>
    <t>แต่งขุนทด</t>
  </si>
  <si>
    <t>พรมภักดี</t>
  </si>
  <si>
    <t>ฉายพิมาย</t>
  </si>
  <si>
    <t>นางสาว เพ็ญพิมล</t>
  </si>
  <si>
    <t>ดีสวน</t>
  </si>
  <si>
    <t>ชูบุบผา</t>
  </si>
  <si>
    <t>นาง ศรีประทุม</t>
  </si>
  <si>
    <t>เติมศรีรัตน์</t>
  </si>
  <si>
    <t>นาย จารึก</t>
  </si>
  <si>
    <t>นวลโคกสูง</t>
  </si>
  <si>
    <t>นาย วจีระ</t>
  </si>
  <si>
    <t>ชมภู</t>
  </si>
  <si>
    <t>นาย สะวิก</t>
  </si>
  <si>
    <t>เงินโคกกรวด</t>
  </si>
  <si>
    <t>นางสาว อาจรี</t>
  </si>
  <si>
    <t>วิเศษศรี</t>
  </si>
  <si>
    <t>พจนสิทธิ์</t>
  </si>
  <si>
    <t>นาย คูณ</t>
  </si>
  <si>
    <t>ลาน้ำเที่ยง</t>
  </si>
  <si>
    <t>สีมาจารย์</t>
  </si>
  <si>
    <t>นาย สิทธิพงศ์</t>
  </si>
  <si>
    <t>นาง บุณญนารถ</t>
  </si>
  <si>
    <t>ทองบุญนาค</t>
  </si>
  <si>
    <t>ศรีแฉล้ม</t>
  </si>
  <si>
    <t>นาย ภาพ</t>
  </si>
  <si>
    <t>ทรงงาม</t>
  </si>
  <si>
    <t>นาง ลัดดา</t>
  </si>
  <si>
    <t xml:space="preserve">ประทุมมา </t>
  </si>
  <si>
    <t>นาย ทักษิณ</t>
  </si>
  <si>
    <t>ประทุมมา</t>
  </si>
  <si>
    <t>นางสาว สมนิตย์</t>
  </si>
  <si>
    <t>เหล็กอุ่นวงษ์</t>
  </si>
  <si>
    <t>คืนชัยภูมิ</t>
  </si>
  <si>
    <t>อุณหเสรี</t>
  </si>
  <si>
    <t>ชนะค้า</t>
  </si>
  <si>
    <t>นาง วีนา</t>
  </si>
  <si>
    <t>ทวีสัตย์</t>
  </si>
  <si>
    <t>อุดมมา</t>
  </si>
  <si>
    <t>นาย ณัฐพัชร์</t>
  </si>
  <si>
    <t>ศรีทรัพย์</t>
  </si>
  <si>
    <t>นางสาว อุ่นเรือน</t>
  </si>
  <si>
    <t>เหรียญสูงเนิน</t>
  </si>
  <si>
    <t>นาง กีรพร</t>
  </si>
  <si>
    <t>นางสาว ธญขวัญ</t>
  </si>
  <si>
    <t>ชาติวงศ์</t>
  </si>
  <si>
    <t>นาง บุษรินทร์</t>
  </si>
  <si>
    <t>กวกขุนทด</t>
  </si>
  <si>
    <t xml:space="preserve">นางสาว ดาวนดา </t>
  </si>
  <si>
    <t>ดุมครบุรี</t>
  </si>
  <si>
    <t>นาง จันทรา</t>
  </si>
  <si>
    <t>หนูวุ่น</t>
  </si>
  <si>
    <t>นางสาว สุดาจิต</t>
  </si>
  <si>
    <t>จิตลดาพร</t>
  </si>
  <si>
    <t>นางสาว ลักคณา</t>
  </si>
  <si>
    <t>กล้าจอหอ</t>
  </si>
  <si>
    <t>นาย ธิติพัทธ์</t>
  </si>
  <si>
    <t>ชัญถาวร</t>
  </si>
  <si>
    <t>นางสาว ณัฐสุรางค์</t>
  </si>
  <si>
    <t>กฤษฎาเรืองศรี</t>
  </si>
  <si>
    <t>นาง ชัญญา</t>
  </si>
  <si>
    <t>รัศมีเพ็ญ</t>
  </si>
  <si>
    <t>นาย โกวิทย์</t>
  </si>
  <si>
    <t>เพียรแก้ว</t>
  </si>
  <si>
    <t>นางสาว อโนทัย</t>
  </si>
  <si>
    <t>หินสูงเนิน</t>
  </si>
  <si>
    <t>ร.ต. สกุลไชย</t>
  </si>
  <si>
    <t>ขำประถม</t>
  </si>
  <si>
    <t>นาย นิติ</t>
  </si>
  <si>
    <t>จันขุน</t>
  </si>
  <si>
    <t>ภูมิมาลี</t>
  </si>
  <si>
    <t>สงฆ์สระน้อย</t>
  </si>
  <si>
    <t>นาย ธีรภัทร</t>
  </si>
  <si>
    <t>ศรีคงอยู่</t>
  </si>
  <si>
    <t xml:space="preserve">นางสาว ณัฎฐพัชร </t>
  </si>
  <si>
    <t>กองคำฟู</t>
  </si>
  <si>
    <t>จงกลกลาง</t>
  </si>
  <si>
    <t>สูญกลาง</t>
  </si>
  <si>
    <t>นางสาว นันธนา</t>
  </si>
  <si>
    <t>กลึงสูงเนิน</t>
  </si>
  <si>
    <t>นาง วิลาวัณย์</t>
  </si>
  <si>
    <t>เอื้อเฟื้อกลาง</t>
  </si>
  <si>
    <t>ทองสถิตย์</t>
  </si>
  <si>
    <t>นาง ศศิชา</t>
  </si>
  <si>
    <t>ผลบูรณ์</t>
  </si>
  <si>
    <t>นางสาว อิสรียา</t>
  </si>
  <si>
    <t>แก้วเพ็ชร</t>
  </si>
  <si>
    <t>นาย เชิดชัยชนะ</t>
  </si>
  <si>
    <t>ยุทธกล้า</t>
  </si>
  <si>
    <t xml:space="preserve">นาง ปรียาพร  </t>
  </si>
  <si>
    <t>ปานอุทัย</t>
  </si>
  <si>
    <t>นาย จิรวัฒน์</t>
  </si>
  <si>
    <t>บวบกระโทก</t>
  </si>
  <si>
    <t xml:space="preserve">นางสาว โชตมณี </t>
  </si>
  <si>
    <t>มียอด</t>
  </si>
  <si>
    <t>ปราสาทหินพิมาย</t>
  </si>
  <si>
    <t>นาย อัครกร</t>
  </si>
  <si>
    <t xml:space="preserve">แสงจันทร์ </t>
  </si>
  <si>
    <t>นาง อรวรรณ์</t>
  </si>
  <si>
    <t xml:space="preserve">เครือสูงเนิน </t>
  </si>
  <si>
    <t>บุดดาหวัง</t>
  </si>
  <si>
    <t>นาย อัครวุฒิ</t>
  </si>
  <si>
    <t xml:space="preserve">ย่อมดอน </t>
  </si>
  <si>
    <t xml:space="preserve">สังข์ทอง </t>
  </si>
  <si>
    <t xml:space="preserve">บำราชภัย </t>
  </si>
  <si>
    <t xml:space="preserve">ฐาตุจิรางค์กุล </t>
  </si>
  <si>
    <t xml:space="preserve">นาย วรกร </t>
  </si>
  <si>
    <t>เปรื่องค้า</t>
  </si>
  <si>
    <t xml:space="preserve">นางสาว สุภาพรณ์ </t>
  </si>
  <si>
    <t xml:space="preserve">งาจันทึก </t>
  </si>
  <si>
    <t xml:space="preserve">นาย วิทยา </t>
  </si>
  <si>
    <t xml:space="preserve">แก้วพรม </t>
  </si>
  <si>
    <t xml:space="preserve">จันทร์แดง </t>
  </si>
  <si>
    <t xml:space="preserve">นาย สสิทร์ </t>
  </si>
  <si>
    <t>ทับทิมธงไชย</t>
  </si>
  <si>
    <t xml:space="preserve">นาง รวิภา </t>
  </si>
  <si>
    <t xml:space="preserve">ไชยสิทธิ์ </t>
  </si>
  <si>
    <t xml:space="preserve">นางสาว นัททพร </t>
  </si>
  <si>
    <t>บุญกอบ</t>
  </si>
  <si>
    <t xml:space="preserve">ฟ้าคุ้ม </t>
  </si>
  <si>
    <t>นางสาว เอมนัฐทิตา</t>
  </si>
  <si>
    <t xml:space="preserve">เลิศสระน้อย </t>
  </si>
  <si>
    <t xml:space="preserve">นาง จุรีพร </t>
  </si>
  <si>
    <t xml:space="preserve">แก้วปัญญา </t>
  </si>
  <si>
    <t xml:space="preserve">ฉวีจันทร์ </t>
  </si>
  <si>
    <t xml:space="preserve">นางสาว ณัฎฐชนุตร์ </t>
  </si>
  <si>
    <t>ตุนาค</t>
  </si>
  <si>
    <t xml:space="preserve">นางสาว นุชรา </t>
  </si>
  <si>
    <t xml:space="preserve">พันธุ์แก้ว </t>
  </si>
  <si>
    <t xml:space="preserve">นารีจันทร์ </t>
  </si>
  <si>
    <t xml:space="preserve">นาย ประสงค์ </t>
  </si>
  <si>
    <t>ศิริการ</t>
  </si>
  <si>
    <t xml:space="preserve">นาย ดำรงค์ </t>
  </si>
  <si>
    <t xml:space="preserve">ศรีเมือง </t>
  </si>
  <si>
    <t>ธนะโชติ</t>
  </si>
  <si>
    <t>นาย คนึงศักดิ์</t>
  </si>
  <si>
    <t>พรหมดี</t>
  </si>
  <si>
    <t>ณรงค์ชาญชัยกุล</t>
  </si>
  <si>
    <t xml:space="preserve">นางสาว สายชล </t>
  </si>
  <si>
    <t>พุ่มเกาะ</t>
  </si>
  <si>
    <t>นุชจังหรีด</t>
  </si>
  <si>
    <t>พลโดด</t>
  </si>
  <si>
    <t>จำเริญพัฒน์</t>
  </si>
  <si>
    <t>นางสาว เกษศริน</t>
  </si>
  <si>
    <t>รอดศรี</t>
  </si>
  <si>
    <t xml:space="preserve">นางสาว ทิพรัตน์ </t>
  </si>
  <si>
    <t xml:space="preserve">ลอยมา </t>
  </si>
  <si>
    <t xml:space="preserve">นางสาว กาญจนันท์ </t>
  </si>
  <si>
    <t>สารตะขบ</t>
  </si>
  <si>
    <t xml:space="preserve">นาย ธนพล </t>
  </si>
  <si>
    <t xml:space="preserve">กลึงกลาง </t>
  </si>
  <si>
    <t xml:space="preserve">นางสาว นุฐทรานันท์ </t>
  </si>
  <si>
    <t xml:space="preserve">กัณหาป้อง </t>
  </si>
  <si>
    <t xml:space="preserve">นางสาว วรารินทร์ </t>
  </si>
  <si>
    <t>สิงห์หา</t>
  </si>
  <si>
    <t xml:space="preserve">นาย ฉัตรชาย </t>
  </si>
  <si>
    <t xml:space="preserve">ไชยทิพย์ </t>
  </si>
  <si>
    <t xml:space="preserve">นางสาว นันทยา </t>
  </si>
  <si>
    <t xml:space="preserve">ลัดกลาง </t>
  </si>
  <si>
    <t xml:space="preserve">นาย กฤษกร </t>
  </si>
  <si>
    <t xml:space="preserve">มหานาม </t>
  </si>
  <si>
    <t xml:space="preserve">นางสาว มานิดา </t>
  </si>
  <si>
    <t>เดื่อกระโทก</t>
  </si>
  <si>
    <t xml:space="preserve">นางสาว ณัฐิดา </t>
  </si>
  <si>
    <t xml:space="preserve">ฟุ้งจันทึก </t>
  </si>
  <si>
    <t xml:space="preserve">นางสาว ณัฐรดา </t>
  </si>
  <si>
    <t xml:space="preserve">แซ่เล็ก </t>
  </si>
  <si>
    <t>นางสาว วริญญา</t>
  </si>
  <si>
    <t xml:space="preserve">บุญธรรม </t>
  </si>
  <si>
    <t xml:space="preserve">นางสาว มิ่งขวัญ </t>
  </si>
  <si>
    <t xml:space="preserve">ทวีทรัพย์ </t>
  </si>
  <si>
    <t xml:space="preserve">นางสาว พรทิวา </t>
  </si>
  <si>
    <t xml:space="preserve">คล้ายเดช </t>
  </si>
  <si>
    <t>ทำสันเทียะ</t>
  </si>
  <si>
    <t>นาง อิสราภรณ์</t>
  </si>
  <si>
    <t>ถิรนันทนากร</t>
  </si>
  <si>
    <t>นาย ลือเดช</t>
  </si>
  <si>
    <t xml:space="preserve">แปวกระโทก </t>
  </si>
  <si>
    <t>ศรีพงษ์พันธุ์</t>
  </si>
  <si>
    <t xml:space="preserve">นาย ฤทธิชัย </t>
  </si>
  <si>
    <t xml:space="preserve">โปร่งสูงเนิน </t>
  </si>
  <si>
    <t xml:space="preserve">นางสาว พัทธนันท์ </t>
  </si>
  <si>
    <t xml:space="preserve">ระวังทรัพย์ </t>
  </si>
  <si>
    <t xml:space="preserve">นาง อมรรัตน์ </t>
  </si>
  <si>
    <t xml:space="preserve">ขอนพุดซา  </t>
  </si>
  <si>
    <t xml:space="preserve">นาย สุภกิจ </t>
  </si>
  <si>
    <t xml:space="preserve">สินสุข </t>
  </si>
  <si>
    <t xml:space="preserve">นางสาว ณัฏฐวี </t>
  </si>
  <si>
    <t xml:space="preserve">บุญรักษ์ </t>
  </si>
  <si>
    <t>บุญเครือ</t>
  </si>
  <si>
    <t xml:space="preserve">จำพันธุ์ </t>
  </si>
  <si>
    <t xml:space="preserve">นาย ประสิทธิ์พร </t>
  </si>
  <si>
    <t xml:space="preserve">ชูวงศ์ </t>
  </si>
  <si>
    <t xml:space="preserve">นางสาว วิมพ์วิภา </t>
  </si>
  <si>
    <t xml:space="preserve">ปฐวีวิวัฒน์ </t>
  </si>
  <si>
    <t>นางสาว สมชิด</t>
  </si>
  <si>
    <t>เสนากลาง</t>
  </si>
  <si>
    <t>นางสาว สุจรรยา</t>
  </si>
  <si>
    <t>ศรีเมือง</t>
  </si>
  <si>
    <t>นางสาว ชัชรีย์</t>
  </si>
  <si>
    <t>แอบเสลา</t>
  </si>
  <si>
    <t>คำมีภักดี</t>
  </si>
  <si>
    <t>นาย ณัฐกรณ์</t>
  </si>
  <si>
    <t>มนขุนทด</t>
  </si>
  <si>
    <t>จันทร์วิทัน</t>
  </si>
  <si>
    <t>กวนชา</t>
  </si>
  <si>
    <t>นางสาว อัญชนา</t>
  </si>
  <si>
    <t>กำเนิดบุญ</t>
  </si>
  <si>
    <t>นางสาว ชลธิชา</t>
  </si>
  <si>
    <t>ภูคองตา</t>
  </si>
  <si>
    <t>นาย วิชชากร</t>
  </si>
  <si>
    <t>ป้อมไชยา</t>
  </si>
  <si>
    <t>นางสาว กุลวดี</t>
  </si>
  <si>
    <t>ยงพะวิสัย</t>
  </si>
  <si>
    <t>ทินคำ</t>
  </si>
  <si>
    <t>ราชจันทร์</t>
  </si>
  <si>
    <t>นาง อาภาพร</t>
  </si>
  <si>
    <t>บำรุงกลาง</t>
  </si>
  <si>
    <t>นาย กังสดาล</t>
  </si>
  <si>
    <t>สวัสดิ์ชัย</t>
  </si>
  <si>
    <t xml:space="preserve">ขาวสาระ </t>
  </si>
  <si>
    <t>เดยังรัมย์</t>
  </si>
  <si>
    <t>นาย วัชณพงศ์</t>
  </si>
  <si>
    <t>ยุพการณ์</t>
  </si>
  <si>
    <t>นางสาว ปภาดา</t>
  </si>
  <si>
    <t>เผ่าเพ็ง</t>
  </si>
  <si>
    <t xml:space="preserve">สวยไทยสงค์ </t>
  </si>
  <si>
    <t>กรวยทอง</t>
  </si>
  <si>
    <t>นาย จาริก</t>
  </si>
  <si>
    <t>นาง กนกอร</t>
  </si>
  <si>
    <t>จริยพันธ์</t>
  </si>
  <si>
    <t>ประยูรพันธุ์</t>
  </si>
  <si>
    <t>กองแก้ว</t>
  </si>
  <si>
    <t>นางสาว จินดามาศ</t>
  </si>
  <si>
    <t xml:space="preserve">ไชโย </t>
  </si>
  <si>
    <t>นางสาว นิศรา</t>
  </si>
  <si>
    <t>คุ้มหมู่</t>
  </si>
  <si>
    <t xml:space="preserve">นาย ภาณุวัฒน์ </t>
  </si>
  <si>
    <t xml:space="preserve">ครองหมู่ </t>
  </si>
  <si>
    <t>นาย พิเชษฐ</t>
  </si>
  <si>
    <t>หนุวงษ์</t>
  </si>
  <si>
    <t>นางสาว อรสา</t>
  </si>
  <si>
    <t>สิทธิไกรพงษ์</t>
  </si>
  <si>
    <t xml:space="preserve">นาง ปัณณวีร์ </t>
  </si>
  <si>
    <t>นางสาว ทิวารัตน์</t>
  </si>
  <si>
    <t>นางสาว นาตอนงค์</t>
  </si>
  <si>
    <t>ภูมิธิ</t>
  </si>
  <si>
    <t>นางสาว วาสิษฐี</t>
  </si>
  <si>
    <t>น้อยภูธร</t>
  </si>
  <si>
    <t>นาย คุณากร</t>
  </si>
  <si>
    <t>จันทะวงศ์</t>
  </si>
  <si>
    <t xml:space="preserve">แซ่ต่าง </t>
  </si>
  <si>
    <t>นาย วสันต์</t>
  </si>
  <si>
    <t>พรมแพง</t>
  </si>
  <si>
    <t xml:space="preserve">นางสาว กัณฐมณี </t>
  </si>
  <si>
    <t>ตุ้ยเตียม</t>
  </si>
  <si>
    <t xml:space="preserve">สุวรรณ </t>
  </si>
  <si>
    <t xml:space="preserve">นางสาว ลักษณ์ใจ </t>
  </si>
  <si>
    <t>นันทสกุลกาญจน์</t>
  </si>
  <si>
    <t xml:space="preserve">วิเศษสิงห์ </t>
  </si>
  <si>
    <t>นางสาว เดือนเพ็ญ</t>
  </si>
  <si>
    <t>คำพวง</t>
  </si>
  <si>
    <t>นางสาว ณีรนุช</t>
  </si>
  <si>
    <t>จันทร์โกมล</t>
  </si>
  <si>
    <t>นางสาว วิลาวรรณ</t>
  </si>
  <si>
    <t>เทศลำลึก</t>
  </si>
  <si>
    <t>นาย ธนภัทร</t>
  </si>
  <si>
    <t>เกิดจันทรา</t>
  </si>
  <si>
    <t>นางสาว ลดาวัลย์</t>
  </si>
  <si>
    <t>รอดคลองตัน</t>
  </si>
  <si>
    <t>นางสาว สกุณี</t>
  </si>
  <si>
    <t>แซ่ลี่</t>
  </si>
  <si>
    <t>ไชยเมือง</t>
  </si>
  <si>
    <t>นาย คณกร</t>
  </si>
  <si>
    <t>ทองสุขนอก</t>
  </si>
  <si>
    <t>มงคลพิพัฒน์</t>
  </si>
  <si>
    <t>ทุมกลาง</t>
  </si>
  <si>
    <t>โอวาทสุวรรณ</t>
  </si>
  <si>
    <t>นาย พรเทพ</t>
  </si>
  <si>
    <t>เต็งมงคล</t>
  </si>
  <si>
    <t>นาง วิลาสินี</t>
  </si>
  <si>
    <t xml:space="preserve">นาย ธีระพล </t>
  </si>
  <si>
    <t xml:space="preserve">มงคลพิพัฒน์ </t>
  </si>
  <si>
    <t>นาย ยุพรัตน์</t>
  </si>
  <si>
    <t>จงเพียร</t>
  </si>
  <si>
    <t>นางสาว วิริยา</t>
  </si>
  <si>
    <t xml:space="preserve">พรมมารัตน์ </t>
  </si>
  <si>
    <t>ขำแจง</t>
  </si>
  <si>
    <t>นาง นววรรณ</t>
  </si>
  <si>
    <t>ทองคนทา</t>
  </si>
  <si>
    <t>วงค์ดะนัย</t>
  </si>
  <si>
    <t>อินทุภูติ</t>
  </si>
  <si>
    <t>นางสาว อัชรีย์</t>
  </si>
  <si>
    <t>หงษ์ประสิทธิ์</t>
  </si>
  <si>
    <t>นางสาว นันทลี</t>
  </si>
  <si>
    <t>เอี้ยนไธสง</t>
  </si>
  <si>
    <t>นาย ธานี</t>
  </si>
  <si>
    <t>ปั้นพิพัฒน์</t>
  </si>
  <si>
    <t>เลื่อนราม</t>
  </si>
  <si>
    <t>นาย โอบ</t>
  </si>
  <si>
    <t>เพชรศรี</t>
  </si>
  <si>
    <t>กลีบแก้ว</t>
  </si>
  <si>
    <t>นาย สหัส</t>
  </si>
  <si>
    <t>เอกวงศ์</t>
  </si>
  <si>
    <t>รัตนพันธุ์</t>
  </si>
  <si>
    <t>ภูมี</t>
  </si>
  <si>
    <t>นาง กานดา</t>
  </si>
  <si>
    <t>สุนทรโชติ</t>
  </si>
  <si>
    <t>นาย ชัยยันต์</t>
  </si>
  <si>
    <t>เนาว์สุวรรณ</t>
  </si>
  <si>
    <t>นาย ภาสวัต</t>
  </si>
  <si>
    <t>รัตนศรี</t>
  </si>
  <si>
    <t>จินา</t>
  </si>
  <si>
    <t>บัณฑิต</t>
  </si>
  <si>
    <t>นาย ตรีธร</t>
  </si>
  <si>
    <t>นาง สุภัตรา</t>
  </si>
  <si>
    <t>จันทร์จำปา</t>
  </si>
  <si>
    <t>นาย ปาเจร</t>
  </si>
  <si>
    <t>ณ นคร</t>
  </si>
  <si>
    <t>นาย ดนุพล</t>
  </si>
  <si>
    <t>มณีฉาย</t>
  </si>
  <si>
    <t>พลสิทธิ์</t>
  </si>
  <si>
    <t>แช่มธิติกุล</t>
  </si>
  <si>
    <t>นาย ฉลองชัย</t>
  </si>
  <si>
    <t>จารุสิริรังษี</t>
  </si>
  <si>
    <t>นุมาศ</t>
  </si>
  <si>
    <t>นาง ทีปวรรณ</t>
  </si>
  <si>
    <t>วุฒิมาคุณ</t>
  </si>
  <si>
    <t>ไชยช่วย</t>
  </si>
  <si>
    <t>สังข์สิงห์</t>
  </si>
  <si>
    <t>พาหุกาญจน์</t>
  </si>
  <si>
    <t>กิตติวรคุณากร</t>
  </si>
  <si>
    <t>ไวยวิก</t>
  </si>
  <si>
    <t>นาย ประพิน</t>
  </si>
  <si>
    <t>ชูใหม่</t>
  </si>
  <si>
    <t>นาง ปรารมณ์</t>
  </si>
  <si>
    <t>พรหมทอง</t>
  </si>
  <si>
    <t>นาย บุญรินทร์</t>
  </si>
  <si>
    <t>สกุณา</t>
  </si>
  <si>
    <t>วัชรดิษฐกุล</t>
  </si>
  <si>
    <t>รัตนพาหุ</t>
  </si>
  <si>
    <t>นาง สุวลี</t>
  </si>
  <si>
    <t>จุทิ่น</t>
  </si>
  <si>
    <t>นาย ประจบ</t>
  </si>
  <si>
    <t>กรุณกิจ</t>
  </si>
  <si>
    <t>เกลี้ยงเกิด</t>
  </si>
  <si>
    <t>นาย อุเทน</t>
  </si>
  <si>
    <t>พูนเอียด</t>
  </si>
  <si>
    <t>นาย ธรรมนอง</t>
  </si>
  <si>
    <t>ละอองแก้ว</t>
  </si>
  <si>
    <t>คำนุ่น</t>
  </si>
  <si>
    <t>นาง สุชัญญา</t>
  </si>
  <si>
    <t>รักธรรม</t>
  </si>
  <si>
    <t>นางสาว อัมพร</t>
  </si>
  <si>
    <t>รัตนปริคนณ์</t>
  </si>
  <si>
    <t>นาย สากล</t>
  </si>
  <si>
    <t>สิงห์ขาว</t>
  </si>
  <si>
    <t>ตรีตรง</t>
  </si>
  <si>
    <t>นาง กุลภัสสร์สรณ์</t>
  </si>
  <si>
    <t>ทลิกรรณ์</t>
  </si>
  <si>
    <t>หงษ์พฤกษ์</t>
  </si>
  <si>
    <t>นาย วิศิษฐ์</t>
  </si>
  <si>
    <t>ตันสิน</t>
  </si>
  <si>
    <t>นาย เจือ</t>
  </si>
  <si>
    <t>สิริพร</t>
  </si>
  <si>
    <t>นาง จรูญศรี</t>
  </si>
  <si>
    <t>ธวัฒนกุล</t>
  </si>
  <si>
    <t>นาง พิมพร</t>
  </si>
  <si>
    <t>นาย สมโชค</t>
  </si>
  <si>
    <t>ศรีมณี</t>
  </si>
  <si>
    <t>นาย ทวิช</t>
  </si>
  <si>
    <t>วัชรกาฬ</t>
  </si>
  <si>
    <t>รัตนรัตน์</t>
  </si>
  <si>
    <t>นาย ธีรวัฒน์</t>
  </si>
  <si>
    <t>ไกรนุกูล</t>
  </si>
  <si>
    <t>สุวรรณรักษา</t>
  </si>
  <si>
    <t>หนูเอก</t>
  </si>
  <si>
    <t>นาง สุภาณี</t>
  </si>
  <si>
    <t>นาย พัฒนะ</t>
  </si>
  <si>
    <t>นุชนิยม</t>
  </si>
  <si>
    <t>พร้อมพัฒนกุล</t>
  </si>
  <si>
    <t>สมศักดิ์</t>
  </si>
  <si>
    <t>แก้วศรีนวล</t>
  </si>
  <si>
    <t>ทองเทพ</t>
  </si>
  <si>
    <t>ขุนนำ</t>
  </si>
  <si>
    <t>สมบูรณ์</t>
  </si>
  <si>
    <t>นาย คำนึง</t>
  </si>
  <si>
    <t>สุดสุย</t>
  </si>
  <si>
    <t>นางสาว ศุภมาส</t>
  </si>
  <si>
    <t>จอมทอง</t>
  </si>
  <si>
    <t>รักมาก</t>
  </si>
  <si>
    <t>ขนอม</t>
  </si>
  <si>
    <t>สุทธิวรา</t>
  </si>
  <si>
    <t>นาย สุพร</t>
  </si>
  <si>
    <t>สมวงค์</t>
  </si>
  <si>
    <t>พรประสิทธิ์</t>
  </si>
  <si>
    <t>บัวสกุล</t>
  </si>
  <si>
    <t>นาง วิรัตน์</t>
  </si>
  <si>
    <t>นาง พัชราภรณ์</t>
  </si>
  <si>
    <t>พงศ์พุทธางกูร</t>
  </si>
  <si>
    <t>นาย วินิต</t>
  </si>
  <si>
    <t>นาคประเสริฐ</t>
  </si>
  <si>
    <t>สทานสัตย์</t>
  </si>
  <si>
    <t>สาระรักษ์</t>
  </si>
  <si>
    <t>ดุกสุขแก้ว</t>
  </si>
  <si>
    <t>แจ้วเสียง</t>
  </si>
  <si>
    <t>นาง อัญญา</t>
  </si>
  <si>
    <t>นาย สิทธิพร</t>
  </si>
  <si>
    <t>จันทร์เมือง</t>
  </si>
  <si>
    <t>แก้วแสง</t>
  </si>
  <si>
    <t>นาย ไชยยันต์</t>
  </si>
  <si>
    <t>ชนะณรงค์</t>
  </si>
  <si>
    <t>แก้วรัตน์</t>
  </si>
  <si>
    <t>นาง ศรีวิมล</t>
  </si>
  <si>
    <t>ชุมพงศ์</t>
  </si>
  <si>
    <t>ศรีเผด็จ</t>
  </si>
  <si>
    <t>กาญจะโน</t>
  </si>
  <si>
    <t>นาย ศิริ</t>
  </si>
  <si>
    <t>ศรีมิตร</t>
  </si>
  <si>
    <t>ทองประสิทธิ์</t>
  </si>
  <si>
    <t>นาง จุรีรัตน์</t>
  </si>
  <si>
    <t>พิรุณ</t>
  </si>
  <si>
    <t>สุวรรณฤกษ์</t>
  </si>
  <si>
    <t>นุกูลกิจ</t>
  </si>
  <si>
    <t>นาง อาวรณ์</t>
  </si>
  <si>
    <t>แก้วกำเนิด</t>
  </si>
  <si>
    <t>นาคฤทธิ์</t>
  </si>
  <si>
    <t>นาง จัสมิน</t>
  </si>
  <si>
    <t>ณ สุวรรณ</t>
  </si>
  <si>
    <t>นาง เสาวภา</t>
  </si>
  <si>
    <t>คงหอม</t>
  </si>
  <si>
    <t>ทิพย์สีนวล</t>
  </si>
  <si>
    <t>นาย จำนาญ</t>
  </si>
  <si>
    <t>มีศิริ</t>
  </si>
  <si>
    <t>นางสาว วลัยภรณ์</t>
  </si>
  <si>
    <t>กิตติดิลก</t>
  </si>
  <si>
    <t>นาง สุพรรณวดี</t>
  </si>
  <si>
    <t>จินดาวงศ์</t>
  </si>
  <si>
    <t>เสาวพงศ์</t>
  </si>
  <si>
    <t>นางสาว โสภาพร</t>
  </si>
  <si>
    <t>จันทร์มณี</t>
  </si>
  <si>
    <t>นาย โชคอนันต์</t>
  </si>
  <si>
    <t>คงจันทร์</t>
  </si>
  <si>
    <t>นาย เชตวัน</t>
  </si>
  <si>
    <t>พิกุลงาม</t>
  </si>
  <si>
    <t>โมราศิลป์</t>
  </si>
  <si>
    <t>นาย ณัตฐา</t>
  </si>
  <si>
    <t>บุหลันพฤกษ์</t>
  </si>
  <si>
    <t>ขวัญเมือง</t>
  </si>
  <si>
    <t>นาย คำนวณ</t>
  </si>
  <si>
    <t>ทองมะลิ</t>
  </si>
  <si>
    <t>นาง สุนิภา</t>
  </si>
  <si>
    <t>จันทร์ประอบ</t>
  </si>
  <si>
    <t xml:space="preserve">ฤทธิมาส </t>
  </si>
  <si>
    <t>นางสาว เจนจิรา</t>
  </si>
  <si>
    <t>อินทะเทพ</t>
  </si>
  <si>
    <t>นางสาว ปิยะมาส</t>
  </si>
  <si>
    <t>สังข์ชัย</t>
  </si>
  <si>
    <t>เรืองเต็ม</t>
  </si>
  <si>
    <t>สุขสะอาด</t>
  </si>
  <si>
    <t>นาง อรชา</t>
  </si>
  <si>
    <t>หมวดเมือง</t>
  </si>
  <si>
    <t>นาย สุทธิ</t>
  </si>
  <si>
    <t>ไพนุพงศ์</t>
  </si>
  <si>
    <t>นราฤทธิพันธ์</t>
  </si>
  <si>
    <t>นาย ศรีเจริญ</t>
  </si>
  <si>
    <t>จันทวี</t>
  </si>
  <si>
    <t>รักษาสัตย์</t>
  </si>
  <si>
    <t>นางสาว ณิชาภัทร</t>
  </si>
  <si>
    <t>ส้มเกตุ</t>
  </si>
  <si>
    <t>นาย สุธานิล</t>
  </si>
  <si>
    <t>หีดสิน</t>
  </si>
  <si>
    <t>ชัยพลบาล</t>
  </si>
  <si>
    <t>นาย สิทธิวุฒิ</t>
  </si>
  <si>
    <t>รู้ประเสริฐ</t>
  </si>
  <si>
    <t>นาย พงษ์พันธ์</t>
  </si>
  <si>
    <t>ทิพย์มณี</t>
  </si>
  <si>
    <t>นาย ชัยวัต</t>
  </si>
  <si>
    <t>อินทรณรงค์</t>
  </si>
  <si>
    <t>ใจห้าว</t>
  </si>
  <si>
    <t>นาย ไพพจน์</t>
  </si>
  <si>
    <t>ชาญชล</t>
  </si>
  <si>
    <t>นางสาว วิภาวรรณ</t>
  </si>
  <si>
    <t>กลิ่นโลกัย</t>
  </si>
  <si>
    <t>นางสาว ธิติรัตน์</t>
  </si>
  <si>
    <t>บุญเต็ม</t>
  </si>
  <si>
    <t>นางสาว ศรีพุธ</t>
  </si>
  <si>
    <t>ปัญนะ</t>
  </si>
  <si>
    <t>นาง สุทิพย์</t>
  </si>
  <si>
    <t>นาคเทวัญ</t>
  </si>
  <si>
    <t>นาง สุภาภรณ์</t>
  </si>
  <si>
    <t>นาย กิตติ์ณพงศ์</t>
  </si>
  <si>
    <t>วงศ์เลี้ยง</t>
  </si>
  <si>
    <t xml:space="preserve">วงศ์เทพ </t>
  </si>
  <si>
    <t>บุปผากิจ</t>
  </si>
  <si>
    <t>นาย วิระชัย</t>
  </si>
  <si>
    <t>ถือทอง</t>
  </si>
  <si>
    <t xml:space="preserve">รัตนะ </t>
  </si>
  <si>
    <t>นาง นภาลัย</t>
  </si>
  <si>
    <t>ใสหนู</t>
  </si>
  <si>
    <t>นาง นทาภรณ์</t>
  </si>
  <si>
    <t>คงเรือง</t>
  </si>
  <si>
    <t>นาย ภาณุวัตร</t>
  </si>
  <si>
    <t>เพชรที่วัง</t>
  </si>
  <si>
    <t>นางสาว จุฑาทิพย์</t>
  </si>
  <si>
    <t>ทรงโสภา</t>
  </si>
  <si>
    <t>ตรีไวย</t>
  </si>
  <si>
    <t>นาย ณัฐวัตร</t>
  </si>
  <si>
    <t>นวลรอด</t>
  </si>
  <si>
    <t>นางสาว กัณณิดา</t>
  </si>
  <si>
    <t>บุญยิ่ง</t>
  </si>
  <si>
    <t xml:space="preserve">รักษ์ทอง </t>
  </si>
  <si>
    <t>วัลดาว</t>
  </si>
  <si>
    <t xml:space="preserve">นางสาว อารีวรรณ </t>
  </si>
  <si>
    <t xml:space="preserve">กองณรงค์ </t>
  </si>
  <si>
    <t xml:space="preserve">นางสาว บัณฑิตา </t>
  </si>
  <si>
    <t xml:space="preserve">คงพันธุ์ </t>
  </si>
  <si>
    <t xml:space="preserve">นาย เอนก </t>
  </si>
  <si>
    <t xml:space="preserve">พิสุทธิจารุ </t>
  </si>
  <si>
    <t xml:space="preserve">นาย นัฐพร </t>
  </si>
  <si>
    <t xml:space="preserve">แก้วตาทิพย์ </t>
  </si>
  <si>
    <t xml:space="preserve">นางสาว เสาวณีย์ </t>
  </si>
  <si>
    <t xml:space="preserve">ขาวเสน </t>
  </si>
  <si>
    <t xml:space="preserve">ร.ต. จตุรงค์ </t>
  </si>
  <si>
    <t>พนาศรม</t>
  </si>
  <si>
    <t xml:space="preserve">นาย อนุวัตร </t>
  </si>
  <si>
    <t xml:space="preserve">จำปาทอง </t>
  </si>
  <si>
    <t xml:space="preserve">นางสาว นฏพร </t>
  </si>
  <si>
    <t xml:space="preserve">ทองบุญชู </t>
  </si>
  <si>
    <t xml:space="preserve">นาง ภัคศจี </t>
  </si>
  <si>
    <t>ดำกิ่ง</t>
  </si>
  <si>
    <t xml:space="preserve">นางสาว โสภาวรรณ </t>
  </si>
  <si>
    <t xml:space="preserve">ลักษณา </t>
  </si>
  <si>
    <t>นาง จันทรทิมา</t>
  </si>
  <si>
    <t xml:space="preserve">พัดแก้ว </t>
  </si>
  <si>
    <t>นาง ปฎิมา</t>
  </si>
  <si>
    <t>ยิ่งขจร</t>
  </si>
  <si>
    <t xml:space="preserve">มนต์แก้ว </t>
  </si>
  <si>
    <t xml:space="preserve">นาง กุลธิดา </t>
  </si>
  <si>
    <t>ดำริการ</t>
  </si>
  <si>
    <t>นาง กมนิยา</t>
  </si>
  <si>
    <t>ทะนันชัย</t>
  </si>
  <si>
    <t>นาย ไปรยณัฐ</t>
  </si>
  <si>
    <t xml:space="preserve">น้อยทับทิม </t>
  </si>
  <si>
    <t xml:space="preserve">พูลภิรมย์ </t>
  </si>
  <si>
    <t xml:space="preserve">ละลา </t>
  </si>
  <si>
    <t>นางสาว ปริชมน</t>
  </si>
  <si>
    <t>หาญเผชิญโชค</t>
  </si>
  <si>
    <t>โกละกะ</t>
  </si>
  <si>
    <t>นางสาว เพ็ญฤดี</t>
  </si>
  <si>
    <t>พนาลี</t>
  </si>
  <si>
    <t>นางสาว วรุณรัต</t>
  </si>
  <si>
    <t>จรัสแผ้ว</t>
  </si>
  <si>
    <t>นางสาว โสเพ็ญ</t>
  </si>
  <si>
    <t>เสริมผล</t>
  </si>
  <si>
    <t xml:space="preserve">นาย อนุพร </t>
  </si>
  <si>
    <t xml:space="preserve">นาง สุตาภัทร </t>
  </si>
  <si>
    <t xml:space="preserve">ชูแก้ว </t>
  </si>
  <si>
    <t xml:space="preserve">นางสาว สกาวเดือน </t>
  </si>
  <si>
    <t xml:space="preserve">แก้วกับเพชร </t>
  </si>
  <si>
    <t xml:space="preserve">นางสาว สุภารัตน์ </t>
  </si>
  <si>
    <t xml:space="preserve">ชูชัย </t>
  </si>
  <si>
    <t xml:space="preserve">แก้วสวัสดิ์ </t>
  </si>
  <si>
    <t xml:space="preserve">นาง ยุพิน </t>
  </si>
  <si>
    <t>ขาวปลอด</t>
  </si>
  <si>
    <t xml:space="preserve">นางสาว จิราวรรณ </t>
  </si>
  <si>
    <t xml:space="preserve">คงจันทร์ </t>
  </si>
  <si>
    <t xml:space="preserve">นางสาว อัมราวดี </t>
  </si>
  <si>
    <t>ศรีสุขใส</t>
  </si>
  <si>
    <t xml:space="preserve">นาง วฤณดา </t>
  </si>
  <si>
    <t>ศรีนวล</t>
  </si>
  <si>
    <t xml:space="preserve">นาย ธนกฤต </t>
  </si>
  <si>
    <t xml:space="preserve">นาง วัลลภา </t>
  </si>
  <si>
    <t>สามประดิษฐ์</t>
  </si>
  <si>
    <t xml:space="preserve">นางสาว พิมลรัตน์ </t>
  </si>
  <si>
    <t>อินทร์ภักดี</t>
  </si>
  <si>
    <t xml:space="preserve">นางสาว อาริยา </t>
  </si>
  <si>
    <t xml:space="preserve">นาย อรุณชัย </t>
  </si>
  <si>
    <t xml:space="preserve">ตรีไวย </t>
  </si>
  <si>
    <t xml:space="preserve">จันทร์เรือง </t>
  </si>
  <si>
    <t xml:space="preserve">นางสาว นริศรา </t>
  </si>
  <si>
    <t xml:space="preserve">แสนเสนาะ </t>
  </si>
  <si>
    <t xml:space="preserve">วิบูลศิลป์ </t>
  </si>
  <si>
    <t>นางสาว นิษา</t>
  </si>
  <si>
    <t xml:space="preserve">จรณโยธิน </t>
  </si>
  <si>
    <t xml:space="preserve">นางสาว ศริธร </t>
  </si>
  <si>
    <t xml:space="preserve">สงดำ </t>
  </si>
  <si>
    <t xml:space="preserve">นาง เครือวัลย์ </t>
  </si>
  <si>
    <t xml:space="preserve">นวลณรงค์ </t>
  </si>
  <si>
    <t xml:space="preserve">ใจกล้า </t>
  </si>
  <si>
    <t>นางสาว นุชเนตร</t>
  </si>
  <si>
    <t xml:space="preserve">ไชยสุวรรณ </t>
  </si>
  <si>
    <t xml:space="preserve">จันทร์ใหม่ </t>
  </si>
  <si>
    <t xml:space="preserve">นาย พิมลศักดิ์ </t>
  </si>
  <si>
    <t xml:space="preserve">นาย สมชาย </t>
  </si>
  <si>
    <t xml:space="preserve">เขียวตี๋ </t>
  </si>
  <si>
    <t xml:space="preserve">พูลพิพัฒน์ </t>
  </si>
  <si>
    <t>นางสาว วรรณิศา</t>
  </si>
  <si>
    <t>จิตรเพ่ง</t>
  </si>
  <si>
    <t>นาย ภูริชาติ</t>
  </si>
  <si>
    <t>สีแก้ว</t>
  </si>
  <si>
    <t>นาย เลิศศักดิ์</t>
  </si>
  <si>
    <t>ดีหนู</t>
  </si>
  <si>
    <t>นาง ชวนชม</t>
  </si>
  <si>
    <t>ทุมสุวรรณ</t>
  </si>
  <si>
    <t>นางสาว ณัฐกานต์</t>
  </si>
  <si>
    <t>ขันใส</t>
  </si>
  <si>
    <t>นาย อภิวัฒน์</t>
  </si>
  <si>
    <t>นาย กันตกฤต</t>
  </si>
  <si>
    <t>พรมสัย</t>
  </si>
  <si>
    <t xml:space="preserve">บุญพัฒน์ </t>
  </si>
  <si>
    <t xml:space="preserve">นาง จันทร์สุดา </t>
  </si>
  <si>
    <t xml:space="preserve">แจ่มพิศ </t>
  </si>
  <si>
    <t>นาง เพียงฤดี</t>
  </si>
  <si>
    <t>สุขแก้ว</t>
  </si>
  <si>
    <t xml:space="preserve">ทองเนื้อห้า </t>
  </si>
  <si>
    <t xml:space="preserve">นาย ฮารอไม </t>
  </si>
  <si>
    <t xml:space="preserve">หลีเร็ม </t>
  </si>
  <si>
    <t>นาย สุภัทธ</t>
  </si>
  <si>
    <t>คงด้วง</t>
  </si>
  <si>
    <t>นางสาว เพชรรัตน์</t>
  </si>
  <si>
    <t xml:space="preserve">นางสาว ฐนิตา </t>
  </si>
  <si>
    <t xml:space="preserve">วิโรจน์กุล </t>
  </si>
  <si>
    <t>นางสาว ทิพวรรณ</t>
  </si>
  <si>
    <t>สุขะ</t>
  </si>
  <si>
    <t>คชภักดี</t>
  </si>
  <si>
    <t>ทองรักขาว</t>
  </si>
  <si>
    <t>นาย สุรสิทธิ์</t>
  </si>
  <si>
    <t>เกตุมุหน๊ะ</t>
  </si>
  <si>
    <t>สุขเอียด</t>
  </si>
  <si>
    <t xml:space="preserve">นางสาว วรางค์รัตน์ </t>
  </si>
  <si>
    <t>คงดี</t>
  </si>
  <si>
    <t>พรหมสกุล</t>
  </si>
  <si>
    <t>ทองทิพย์</t>
  </si>
  <si>
    <t>ศรีเปารยะ</t>
  </si>
  <si>
    <t>พูลพิพัฒน์</t>
  </si>
  <si>
    <t xml:space="preserve">นาย จตุภูมิ </t>
  </si>
  <si>
    <t xml:space="preserve">สังเกต </t>
  </si>
  <si>
    <t>ศิริมา</t>
  </si>
  <si>
    <t>นางสาว สงวนศรี</t>
  </si>
  <si>
    <t>นุรักษ์แข</t>
  </si>
  <si>
    <t>นาย ผ่อน</t>
  </si>
  <si>
    <t>พรหมจาต</t>
  </si>
  <si>
    <t>นาย พิศนัย</t>
  </si>
  <si>
    <t>กระแสอินทร์</t>
  </si>
  <si>
    <t>กำเนิดนก</t>
  </si>
  <si>
    <t>นาง บุญเรือน</t>
  </si>
  <si>
    <t>รังสิยะวัฒน์</t>
  </si>
  <si>
    <t>นางสาว เกื้อกูล</t>
  </si>
  <si>
    <t>นางสาว พะเยาว์</t>
  </si>
  <si>
    <t>รัตนวิบูลย์</t>
  </si>
  <si>
    <t>นาง ประยงค์</t>
  </si>
  <si>
    <t>พลไชยา</t>
  </si>
  <si>
    <t>นาง อนงค์</t>
  </si>
  <si>
    <t>เชาวกุล</t>
  </si>
  <si>
    <t>นางสาว นันทา</t>
  </si>
  <si>
    <t>บูรณะธนัง</t>
  </si>
  <si>
    <t>พีระบูล</t>
  </si>
  <si>
    <t>นางสาว นงนุช</t>
  </si>
  <si>
    <t>กัณฑานนท์</t>
  </si>
  <si>
    <t>นาย มะโน</t>
  </si>
  <si>
    <t>ยิ้มยิ่ง</t>
  </si>
  <si>
    <t>นางสาว วรรณษา</t>
  </si>
  <si>
    <t>ชุ่มกรานต์</t>
  </si>
  <si>
    <t>นาย ชูชีพ</t>
  </si>
  <si>
    <t>วรรธนะเพียร</t>
  </si>
  <si>
    <t>นาย ประพัฒน์</t>
  </si>
  <si>
    <t>ไทยสวัสดิ์</t>
  </si>
  <si>
    <t>นาง วลัยทิพย์</t>
  </si>
  <si>
    <t>พุฒิเมธทิพานัน</t>
  </si>
  <si>
    <t>ว่าที่ ร.ต. สมหมาย</t>
  </si>
  <si>
    <t>เข็มนาค</t>
  </si>
  <si>
    <t>กำลังทรัพย์</t>
  </si>
  <si>
    <t>นาง เพียงใจ</t>
  </si>
  <si>
    <t>ดวงสุวรรณ</t>
  </si>
  <si>
    <t>ระวัง</t>
  </si>
  <si>
    <t>รังศรัณย์</t>
  </si>
  <si>
    <t>นาง พัทธนันท์</t>
  </si>
  <si>
    <t>รัญเผือก</t>
  </si>
  <si>
    <t>นาง ศรีสุวรรณ</t>
  </si>
  <si>
    <t>ขำขนิษฐ์</t>
  </si>
  <si>
    <t>นาย สุวพัชร์</t>
  </si>
  <si>
    <t>ศิรนิธิภิรมย์</t>
  </si>
  <si>
    <t>นางสาว วีระวรรณ</t>
  </si>
  <si>
    <t>กาญจนพิษณุ</t>
  </si>
  <si>
    <t>นาย นุรักษ์</t>
  </si>
  <si>
    <t>ศรีสระคู</t>
  </si>
  <si>
    <t>นาง นันทวัน</t>
  </si>
  <si>
    <t>ธรรมลักษมี</t>
  </si>
  <si>
    <t>เกตุพงศ์</t>
  </si>
  <si>
    <t>บุญประสพ</t>
  </si>
  <si>
    <t>นาย พิมาน</t>
  </si>
  <si>
    <t>พรหมสาขา ณ สกลนคร</t>
  </si>
  <si>
    <t>รอดศิริ</t>
  </si>
  <si>
    <t>วรรณกมล</t>
  </si>
  <si>
    <t>สังข์สิริยะกุล</t>
  </si>
  <si>
    <t>เขียวหวาน</t>
  </si>
  <si>
    <t>นางสาว สุนทรียา</t>
  </si>
  <si>
    <t>ตามวงศ์วาน</t>
  </si>
  <si>
    <t>นางสาว สิริธร</t>
  </si>
  <si>
    <t>นาง สวง</t>
  </si>
  <si>
    <t>ม่วงเกษม</t>
  </si>
  <si>
    <t>นาง วีรดา</t>
  </si>
  <si>
    <t>นาง สุขใจ</t>
  </si>
  <si>
    <t>พุทธวิเศษ</t>
  </si>
  <si>
    <t>นาง เตือนใจ</t>
  </si>
  <si>
    <t>วิเศษสุวรรณ</t>
  </si>
  <si>
    <t>นาง ภคธีมา</t>
  </si>
  <si>
    <t>สุวรรณเวทิน</t>
  </si>
  <si>
    <t>มีชีพสม</t>
  </si>
  <si>
    <t>ซ้ายสูงเนิน</t>
  </si>
  <si>
    <t>นาง จรุงศรี</t>
  </si>
  <si>
    <t>นาง ลมัย</t>
  </si>
  <si>
    <t>ผูกมี</t>
  </si>
  <si>
    <t>นาย กู้เกียรติ</t>
  </si>
  <si>
    <t>ลงกลิกานนท์</t>
  </si>
  <si>
    <t>นาย ธันวิทย์</t>
  </si>
  <si>
    <t>เทวอักษร</t>
  </si>
  <si>
    <t>นาย โกวิท</t>
  </si>
  <si>
    <t>นวลวัฒน์</t>
  </si>
  <si>
    <t>ศรีธนสาร</t>
  </si>
  <si>
    <t>นาย นเรศร์</t>
  </si>
  <si>
    <t>ท้วมมา</t>
  </si>
  <si>
    <t>อินทราเวช</t>
  </si>
  <si>
    <t>นาง สุชีรา</t>
  </si>
  <si>
    <t>สงใย</t>
  </si>
  <si>
    <t>นาย เรืองเดช</t>
  </si>
  <si>
    <t>ตรีสุคนธ์</t>
  </si>
  <si>
    <t>นาง สมจิตร์</t>
  </si>
  <si>
    <t>กลิ่นหวล</t>
  </si>
  <si>
    <t>นาง เรืองสุนทร</t>
  </si>
  <si>
    <t>จ้อยบรรดิษฐ์</t>
  </si>
  <si>
    <t>พูลลาภอนุสรณ์</t>
  </si>
  <si>
    <t>กรุดพันธ์</t>
  </si>
  <si>
    <t>นางสาว ปาริชาต</t>
  </si>
  <si>
    <t>นุกูลการ</t>
  </si>
  <si>
    <t>ช่วยคุณูปการ</t>
  </si>
  <si>
    <t>นางสาว จันทนา</t>
  </si>
  <si>
    <t>บุญประภาพิทักษ์</t>
  </si>
  <si>
    <t>นาย ศิวศักดิ์</t>
  </si>
  <si>
    <t>วานิชรักษ์</t>
  </si>
  <si>
    <t>โพธิจินดา</t>
  </si>
  <si>
    <t>จิตต์บรรเทา</t>
  </si>
  <si>
    <t>นาง วิชยา</t>
  </si>
  <si>
    <t>ปิยะวรรณะกูล</t>
  </si>
  <si>
    <t>นาย ชำเลือง</t>
  </si>
  <si>
    <t>แก้วโชติ</t>
  </si>
  <si>
    <t>วงศ์พรหมเมฆ</t>
  </si>
  <si>
    <t>นางสาว จิรพรรณ</t>
  </si>
  <si>
    <t>กาญจนานุกูล</t>
  </si>
  <si>
    <t>นาย ภมร</t>
  </si>
  <si>
    <t>สาหร่ายทอง</t>
  </si>
  <si>
    <t>นาง ศจี</t>
  </si>
  <si>
    <t>ลิ่มสายหั้ว</t>
  </si>
  <si>
    <t xml:space="preserve">นาง ธรรมพร </t>
  </si>
  <si>
    <t>ปุณณานนท์</t>
  </si>
  <si>
    <t>เนียมพันธุ์</t>
  </si>
  <si>
    <t>นาย นฤเทพ</t>
  </si>
  <si>
    <t>สุภากรณ์</t>
  </si>
  <si>
    <t xml:space="preserve">นางสาว ดารณี </t>
  </si>
  <si>
    <t xml:space="preserve">ยุราวรรณ </t>
  </si>
  <si>
    <t xml:space="preserve">ชาญไววิทย์ </t>
  </si>
  <si>
    <t xml:space="preserve">นาง สุวรรณา </t>
  </si>
  <si>
    <t xml:space="preserve">จงกมลวิวัฒน์ </t>
  </si>
  <si>
    <t xml:space="preserve">นางสาว กิ่งเพียร </t>
  </si>
  <si>
    <t xml:space="preserve">จันทพัวศิริศิลป์ </t>
  </si>
  <si>
    <t>วิริยะรัตน์</t>
  </si>
  <si>
    <t>นาย กรกช</t>
  </si>
  <si>
    <t>การเจน</t>
  </si>
  <si>
    <t>เกิดชาญ</t>
  </si>
  <si>
    <t>นาง สุดารัตน์</t>
  </si>
  <si>
    <t>ชาญเดช</t>
  </si>
  <si>
    <t>เรืองฉ่าง</t>
  </si>
  <si>
    <t>นาง ศิรยา</t>
  </si>
  <si>
    <t>ไตรโพธิ์</t>
  </si>
  <si>
    <t>จิตรนิยมแสน</t>
  </si>
  <si>
    <t>ชื่นพันธุ์</t>
  </si>
  <si>
    <t>นางสาว สุนีย์</t>
  </si>
  <si>
    <t>นาง อัจฉราทิพย์</t>
  </si>
  <si>
    <t>ชุ่มภาณีธนโชติ</t>
  </si>
  <si>
    <t>นาย พุฒิศักดิ์</t>
  </si>
  <si>
    <t>บุญพิทักษ์</t>
  </si>
  <si>
    <t>นาง พูนสมัย</t>
  </si>
  <si>
    <t>อุปการะ</t>
  </si>
  <si>
    <t>บุญผูก</t>
  </si>
  <si>
    <t>นาง นลินรัตน์</t>
  </si>
  <si>
    <t>ธนทวีโรจน์</t>
  </si>
  <si>
    <t>วันวิเวก</t>
  </si>
  <si>
    <t>นาย ทองทิพย์</t>
  </si>
  <si>
    <t>ไทยแท้</t>
  </si>
  <si>
    <t>นาง นาตยา</t>
  </si>
  <si>
    <t>อ่ำมี</t>
  </si>
  <si>
    <t>ติ่งอ่วม</t>
  </si>
  <si>
    <t>ทิมอ่อน</t>
  </si>
  <si>
    <t>นาง จิรานุวัฒน์</t>
  </si>
  <si>
    <t>วิพัฒน์ครุฑ</t>
  </si>
  <si>
    <t>นางสาว ประภาภร</t>
  </si>
  <si>
    <t>ต่ายแจ้ง</t>
  </si>
  <si>
    <t xml:space="preserve">นาย สุรชาติ </t>
  </si>
  <si>
    <t xml:space="preserve">นิลตา </t>
  </si>
  <si>
    <t xml:space="preserve">นาย ฐานวัฒน์ </t>
  </si>
  <si>
    <t>พร้อมมูล</t>
  </si>
  <si>
    <t xml:space="preserve">นาย ณัฏฐนันท์ </t>
  </si>
  <si>
    <t xml:space="preserve">ไพบูลย์ </t>
  </si>
  <si>
    <t xml:space="preserve">นางสาว ฮามีนะห์ </t>
  </si>
  <si>
    <t xml:space="preserve">กาลอม </t>
  </si>
  <si>
    <t>ศรีประไพ</t>
  </si>
  <si>
    <t>นาง พิชญ์สินี</t>
  </si>
  <si>
    <t>ชินะกุล</t>
  </si>
  <si>
    <t>คณางกูร</t>
  </si>
  <si>
    <t>นาง พณพรรษ</t>
  </si>
  <si>
    <t>มหาราชเสนา</t>
  </si>
  <si>
    <t>นาย วรชัย</t>
  </si>
  <si>
    <t xml:space="preserve">นางสาว สุรภา </t>
  </si>
  <si>
    <t xml:space="preserve">แย้มสี </t>
  </si>
  <si>
    <t xml:space="preserve">นางสาว หทัยชนก </t>
  </si>
  <si>
    <t xml:space="preserve">วันเพ็ญ </t>
  </si>
  <si>
    <t>นาง พึงพิศ</t>
  </si>
  <si>
    <t>ดุลยพัชร์</t>
  </si>
  <si>
    <t>นาง หนูกลิ่น</t>
  </si>
  <si>
    <t>นิจสุนกิจ</t>
  </si>
  <si>
    <t>นางสาว อ่อนเดือน</t>
  </si>
  <si>
    <t>นิ่มอนงค์</t>
  </si>
  <si>
    <t>ศรีฟัก</t>
  </si>
  <si>
    <t>วีระวงศ์จงวัฒนะ</t>
  </si>
  <si>
    <t>นาง วชิราพรรณ</t>
  </si>
  <si>
    <t>เปี่ยมวิลัย</t>
  </si>
  <si>
    <t>นาง อำภา</t>
  </si>
  <si>
    <t>คำนวนตา</t>
  </si>
  <si>
    <t>นาง สมร</t>
  </si>
  <si>
    <t>คำสัตย์</t>
  </si>
  <si>
    <t>นาง ชวนพิศ</t>
  </si>
  <si>
    <t>ชูตินันทน์</t>
  </si>
  <si>
    <t>นางสาว สมถวิล</t>
  </si>
  <si>
    <t>สาริกภูติ</t>
  </si>
  <si>
    <t>ปัจฉิมะศิริ</t>
  </si>
  <si>
    <t>นาง ปาริชาติ</t>
  </si>
  <si>
    <t>แก้วนิล</t>
  </si>
  <si>
    <t>จีนฉาย</t>
  </si>
  <si>
    <t>นาง วรรณ์ภัสสร</t>
  </si>
  <si>
    <t>ศรีจันทร์</t>
  </si>
  <si>
    <t>ทูลมณี</t>
  </si>
  <si>
    <t>ลิลา</t>
  </si>
  <si>
    <t>นันทศรี</t>
  </si>
  <si>
    <t xml:space="preserve">นางสาว กรณ์วดี </t>
  </si>
  <si>
    <t xml:space="preserve">ตุ้มทรัพย์ </t>
  </si>
  <si>
    <t xml:space="preserve">นางสาว ปีย์วรา </t>
  </si>
  <si>
    <t xml:space="preserve">แสงขัติยะ </t>
  </si>
  <si>
    <t>หยูอินทร์</t>
  </si>
  <si>
    <t>นาย ภฤศ</t>
  </si>
  <si>
    <t>พรแสงพิรุณ</t>
  </si>
  <si>
    <t>อินทวงศ์</t>
  </si>
  <si>
    <t>นาง ขนิษฐา</t>
  </si>
  <si>
    <t>บุญสม</t>
  </si>
  <si>
    <t>สารพันธ์</t>
  </si>
  <si>
    <t>นาย ประพนธ์</t>
  </si>
  <si>
    <t>ธูปะเตมีย์</t>
  </si>
  <si>
    <t>ทรงบัณฑิต</t>
  </si>
  <si>
    <t>สาเทศ</t>
  </si>
  <si>
    <t>ใจสะอาด</t>
  </si>
  <si>
    <t>นาย เฉลิมศักดิ์</t>
  </si>
  <si>
    <t>ผมพันธ์</t>
  </si>
  <si>
    <t>นางสาว ทิชากร</t>
  </si>
  <si>
    <t>บุเกตุ</t>
  </si>
  <si>
    <t>นางสาว จิรารัตน์</t>
  </si>
  <si>
    <t>ผ่องแผ้ว</t>
  </si>
  <si>
    <t xml:space="preserve">นางสาว จิราภรณ์ </t>
  </si>
  <si>
    <t xml:space="preserve">พกประทาน </t>
  </si>
  <si>
    <t xml:space="preserve">นางสาว อุษณีย์ </t>
  </si>
  <si>
    <t>กิจว่องไวไพศาล</t>
  </si>
  <si>
    <t xml:space="preserve">นาง อุทัยวรรณ </t>
  </si>
  <si>
    <t>พุ่มประดิษฐ์</t>
  </si>
  <si>
    <t>นาง เสาวรส</t>
  </si>
  <si>
    <t>ชัยประเศียร</t>
  </si>
  <si>
    <t>ยิ่งเจริญ</t>
  </si>
  <si>
    <t>นางสาว พรภิสุข</t>
  </si>
  <si>
    <t>จิตภักดี</t>
  </si>
  <si>
    <t>นางสาว วิไล</t>
  </si>
  <si>
    <t>แป้นแก้ว</t>
  </si>
  <si>
    <t xml:space="preserve">นาย มาโนช </t>
  </si>
  <si>
    <t>ระรวยรส</t>
  </si>
  <si>
    <t>นางสาว พชรพรรณ</t>
  </si>
  <si>
    <t>ผ่องคณะ</t>
  </si>
  <si>
    <t xml:space="preserve">ไชยสิงห์ </t>
  </si>
  <si>
    <t>นางสาว รัสมิ์ณิศา</t>
  </si>
  <si>
    <t>พันธวงศ์</t>
  </si>
  <si>
    <t>นางสาว ชนานันทน์</t>
  </si>
  <si>
    <t>พ่วงเพ็ชร</t>
  </si>
  <si>
    <t>นาง สำเนียง</t>
  </si>
  <si>
    <t>ขันพิมล</t>
  </si>
  <si>
    <t>ตรีเลิศลัญจกร</t>
  </si>
  <si>
    <t xml:space="preserve">นางสาว พัชนิดา </t>
  </si>
  <si>
    <t xml:space="preserve">วงศ์อินทร์ </t>
  </si>
  <si>
    <t xml:space="preserve">นิ่มอนงค์ </t>
  </si>
  <si>
    <t>โชทนากุล</t>
  </si>
  <si>
    <t>อุ่นไฝ</t>
  </si>
  <si>
    <t>บำรุงศรี</t>
  </si>
  <si>
    <t>สุทธิประภา</t>
  </si>
  <si>
    <t>นางสาว จิณห์จุฑา</t>
  </si>
  <si>
    <t>นางสาว อาจารี</t>
  </si>
  <si>
    <t>สิขัณฑกสมิต</t>
  </si>
  <si>
    <t>นาย รัฐภูมิ</t>
  </si>
  <si>
    <t>ศรีอำไพ</t>
  </si>
  <si>
    <t xml:space="preserve">นาง ปิ่นมณี </t>
  </si>
  <si>
    <t xml:space="preserve">เตรียมวัฒนา </t>
  </si>
  <si>
    <t>นางสาว ชุลินนา</t>
  </si>
  <si>
    <t>ลาภส่งผล</t>
  </si>
  <si>
    <t>นาย พงศกร</t>
  </si>
  <si>
    <t>ชุมเปีย</t>
  </si>
  <si>
    <t>นางสาว จุรีพร</t>
  </si>
  <si>
    <t>เสือเดช</t>
  </si>
  <si>
    <t>นาย เกียรติกมล</t>
  </si>
  <si>
    <t>ภุมรา</t>
  </si>
  <si>
    <t>พรหมิทธิกุล</t>
  </si>
  <si>
    <t>ณ วิเชียร</t>
  </si>
  <si>
    <t>นาง พิธพร</t>
  </si>
  <si>
    <t>รัตนจำรูญ</t>
  </si>
  <si>
    <t>หนุ่มรักชาติ</t>
  </si>
  <si>
    <t>บรรณทอง</t>
  </si>
  <si>
    <t>นาง สิริเพ็ญ</t>
  </si>
  <si>
    <t>ป่านแก้ว</t>
  </si>
  <si>
    <t>ศรีพรวงศ์</t>
  </si>
  <si>
    <t>นพพันธ์</t>
  </si>
  <si>
    <t>นาง คำปัน</t>
  </si>
  <si>
    <t>มั่นเกตุวิทย์</t>
  </si>
  <si>
    <t>คำมีมูล</t>
  </si>
  <si>
    <t>นาง ประชิด</t>
  </si>
  <si>
    <t>วิสมกา</t>
  </si>
  <si>
    <t>โลหะเวช</t>
  </si>
  <si>
    <t>ใจบุญลือ</t>
  </si>
  <si>
    <t>นาง ปรียา</t>
  </si>
  <si>
    <t>พ่วงกลัด</t>
  </si>
  <si>
    <t>นาย สุรพันธ์</t>
  </si>
  <si>
    <t>นาย สุรจิตร</t>
  </si>
  <si>
    <t>สุริยะจันทร์</t>
  </si>
  <si>
    <t>สุนทรรัตนา</t>
  </si>
  <si>
    <t>คันธมาศน์</t>
  </si>
  <si>
    <t>พึ่งชื่น</t>
  </si>
  <si>
    <t>นาง ผจงจิตต์</t>
  </si>
  <si>
    <t>นาง จิตตวรรณ</t>
  </si>
  <si>
    <t>คุ้มเนตร</t>
  </si>
  <si>
    <t>ปีกขาว</t>
  </si>
  <si>
    <t>นาง ศรีสมร</t>
  </si>
  <si>
    <t>คชหิรัญ</t>
  </si>
  <si>
    <t>นาง ศศิวรรณ</t>
  </si>
  <si>
    <t>ผิวผ่อง</t>
  </si>
  <si>
    <t>นาง วันนา</t>
  </si>
  <si>
    <t>เล็กวิไล</t>
  </si>
  <si>
    <t>นาย วรรณกร</t>
  </si>
  <si>
    <t>มอญถนอม</t>
  </si>
  <si>
    <t>คงเพชรศักดิ์</t>
  </si>
  <si>
    <t>กันยะโรจน์</t>
  </si>
  <si>
    <t>นาง กุสุมา</t>
  </si>
  <si>
    <t>ปึกขาว</t>
  </si>
  <si>
    <t>นาย เอกสิทธิ์</t>
  </si>
  <si>
    <t>เสาวงษ์</t>
  </si>
  <si>
    <t>นาง นพสร</t>
  </si>
  <si>
    <t>มาติวงศ์</t>
  </si>
  <si>
    <t>นาย ยุทธศิลป์</t>
  </si>
  <si>
    <t>รูปกลม</t>
  </si>
  <si>
    <t>นาย ประสบ</t>
  </si>
  <si>
    <t>นาง เพ็ญจันทร์</t>
  </si>
  <si>
    <t>ศรีราชพนมปาน</t>
  </si>
  <si>
    <t>คีรีวรรณ</t>
  </si>
  <si>
    <t>ดำรักษ์</t>
  </si>
  <si>
    <t xml:space="preserve">นาย อดิศักดิ์ </t>
  </si>
  <si>
    <t>จุลอักษร</t>
  </si>
  <si>
    <t xml:space="preserve">นาง ไพรัตน์ </t>
  </si>
  <si>
    <t xml:space="preserve">การะเกด </t>
  </si>
  <si>
    <t xml:space="preserve">นาย ชาณัฐธนพล </t>
  </si>
  <si>
    <t xml:space="preserve">นาย มานพ </t>
  </si>
  <si>
    <t xml:space="preserve">จอมปัญญาเลิศ </t>
  </si>
  <si>
    <t>นาย บรม</t>
  </si>
  <si>
    <t>เมาเกตุ</t>
  </si>
  <si>
    <t>นาย ประชา</t>
  </si>
  <si>
    <t>มีนิล</t>
  </si>
  <si>
    <t>พุ่มแจ้ง</t>
  </si>
  <si>
    <t xml:space="preserve">นางสาว ศิริจันทรา </t>
  </si>
  <si>
    <t xml:space="preserve">ดีใจงาม </t>
  </si>
  <si>
    <t xml:space="preserve">ทรัพย์มาก </t>
  </si>
  <si>
    <t xml:space="preserve">ขำเปรม </t>
  </si>
  <si>
    <t>นาย เจริญชัย</t>
  </si>
  <si>
    <t>อินทร์แดน</t>
  </si>
  <si>
    <t xml:space="preserve">โพธิ์ดี </t>
  </si>
  <si>
    <t xml:space="preserve">นางสาว วริญญา </t>
  </si>
  <si>
    <t xml:space="preserve">โลมรัตน์ </t>
  </si>
  <si>
    <t xml:space="preserve">นางสาว วรินทร </t>
  </si>
  <si>
    <t xml:space="preserve">ปัญญาสม </t>
  </si>
  <si>
    <t>นางสาว ธัญญาวรรณ</t>
  </si>
  <si>
    <t>เรือนทิพย์</t>
  </si>
  <si>
    <t xml:space="preserve">นางสาว ธิดานันท์ </t>
  </si>
  <si>
    <t xml:space="preserve">คำหล้า </t>
  </si>
  <si>
    <t>นางสาว รุ่งทิวา</t>
  </si>
  <si>
    <t>วิญญายอง</t>
  </si>
  <si>
    <t>ฟักเล็ก</t>
  </si>
  <si>
    <t>นางสาว ขวัญดาว</t>
  </si>
  <si>
    <t>แก้วสมบัติ</t>
  </si>
  <si>
    <t xml:space="preserve">นางสาว เพชรลดา </t>
  </si>
  <si>
    <t xml:space="preserve">สร้อยเพ็ชร์ </t>
  </si>
  <si>
    <t>นางสาว ขวัญพนา</t>
  </si>
  <si>
    <t xml:space="preserve">ปัญญาโชติ </t>
  </si>
  <si>
    <t xml:space="preserve">นาย ศิวดล </t>
  </si>
  <si>
    <t xml:space="preserve">แก้วพวงใหม่ </t>
  </si>
  <si>
    <t xml:space="preserve">นางสาว เรวดี </t>
  </si>
  <si>
    <t>ประสารยา</t>
  </si>
  <si>
    <t xml:space="preserve">นาย ปิยะพงษ์ </t>
  </si>
  <si>
    <t xml:space="preserve">เสียงสูง </t>
  </si>
  <si>
    <t xml:space="preserve">นาย กิตติพงษ์ </t>
  </si>
  <si>
    <t>ทิพย์ปัญญา</t>
  </si>
  <si>
    <t>นางสาว เมธิญา</t>
  </si>
  <si>
    <t>อิ่นดำ</t>
  </si>
  <si>
    <t>นาย ลือชัย</t>
  </si>
  <si>
    <t>โยธาสอน</t>
  </si>
  <si>
    <t>นาย ตะวัน</t>
  </si>
  <si>
    <t>จินะรุ่งโรจน์</t>
  </si>
  <si>
    <t>นาง จีรานันท์</t>
  </si>
  <si>
    <t>พึ่งสำเภา</t>
  </si>
  <si>
    <t>ศรีเปรม</t>
  </si>
  <si>
    <t>จิตตะ</t>
  </si>
  <si>
    <t>อินตาพรม</t>
  </si>
  <si>
    <t>นาย ธีระชาติ</t>
  </si>
  <si>
    <t>คำมา</t>
  </si>
  <si>
    <t>วรรณโกฏิ</t>
  </si>
  <si>
    <t>นาง ชลอศรี</t>
  </si>
  <si>
    <t>กกกลิ่น</t>
  </si>
  <si>
    <t>ปรารถนาดีสกุล</t>
  </si>
  <si>
    <t>พรมลี้</t>
  </si>
  <si>
    <t>นางสาว พิมดาว</t>
  </si>
  <si>
    <t>ไกรนิตย์</t>
  </si>
  <si>
    <t>นาง จุฑาภัทร์</t>
  </si>
  <si>
    <t>วิไลรัตน์</t>
  </si>
  <si>
    <t>เชียงทา</t>
  </si>
  <si>
    <t>นาง โกสุม</t>
  </si>
  <si>
    <t>ศิลปนครฤทธิ์</t>
  </si>
  <si>
    <t>จุลกลพ</t>
  </si>
  <si>
    <t>ฉ่ำน้อย</t>
  </si>
  <si>
    <t>เอี่ยมอนันต์</t>
  </si>
  <si>
    <t>เรืองกลิ่น</t>
  </si>
  <si>
    <t>ศรีพันธุ์</t>
  </si>
  <si>
    <t>บ่ายเมือง</t>
  </si>
  <si>
    <t>นาย วิระ</t>
  </si>
  <si>
    <t>วานนท์</t>
  </si>
  <si>
    <t>ทิวาลัย</t>
  </si>
  <si>
    <t>นาย สมใจ</t>
  </si>
  <si>
    <t>ชมเชย</t>
  </si>
  <si>
    <t>นาง ส้มจีน</t>
  </si>
  <si>
    <t>พันธ์งิ้ว</t>
  </si>
  <si>
    <t>นาย อนุชา</t>
  </si>
  <si>
    <t>ใจวงค์ษา</t>
  </si>
  <si>
    <t>นาง กัณฑิมา</t>
  </si>
  <si>
    <t>สุขรัตนากร</t>
  </si>
  <si>
    <t>นาย ธนะรัตน์</t>
  </si>
  <si>
    <t>แสงรัตนชัยกุล</t>
  </si>
  <si>
    <t>ไชยมหา</t>
  </si>
  <si>
    <t>นาง บุหงา</t>
  </si>
  <si>
    <t>เขียวขำ</t>
  </si>
  <si>
    <t>นาย ฌัญชานนท์</t>
  </si>
  <si>
    <t>เมืองมา</t>
  </si>
  <si>
    <t>นางสาว ฐิตาภา</t>
  </si>
  <si>
    <t>มาเจริญ</t>
  </si>
  <si>
    <t>นาย อิทธิสุนทร</t>
  </si>
  <si>
    <t>ขันทะสีมา</t>
  </si>
  <si>
    <t>นาง ณิชกานต์</t>
  </si>
  <si>
    <t>จิตหาญ</t>
  </si>
  <si>
    <t>เย็นตั้ง</t>
  </si>
  <si>
    <t>นาย ชัยยุทธ</t>
  </si>
  <si>
    <t>พวงสมบัติ</t>
  </si>
  <si>
    <t>นางสาว ประคอง</t>
  </si>
  <si>
    <t>ปลั่งกลาง</t>
  </si>
  <si>
    <t>ขุนอินทร์</t>
  </si>
  <si>
    <t>คำสุข</t>
  </si>
  <si>
    <t>นาง นิรัชนี</t>
  </si>
  <si>
    <t>อยู่เย็น</t>
  </si>
  <si>
    <t>นาย ศศิกิจจาณัฐ</t>
  </si>
  <si>
    <t>คงมณี</t>
  </si>
  <si>
    <t>รักหาญ</t>
  </si>
  <si>
    <t xml:space="preserve">นาง ณัฐนวพร </t>
  </si>
  <si>
    <t>ธนินมงคลกิตติ์</t>
  </si>
  <si>
    <t>จิโรจนนุกุล</t>
  </si>
  <si>
    <t>นาย จินิโรจน์</t>
  </si>
  <si>
    <t xml:space="preserve">นาย นิรุตติ </t>
  </si>
  <si>
    <t xml:space="preserve">เถลิงศรี </t>
  </si>
  <si>
    <t xml:space="preserve">นางสาว ทัศนีย์ </t>
  </si>
  <si>
    <t xml:space="preserve">เอี่ยมฤทธิ์ </t>
  </si>
  <si>
    <t xml:space="preserve">พุ่มเปี่ยม </t>
  </si>
  <si>
    <t>นางสาว สรัลชนา</t>
  </si>
  <si>
    <t xml:space="preserve">ขันกสิกร </t>
  </si>
  <si>
    <t xml:space="preserve">นางสาว กรรณิการ์ </t>
  </si>
  <si>
    <t xml:space="preserve">สีแดง </t>
  </si>
  <si>
    <t xml:space="preserve">นาง กิติยา </t>
  </si>
  <si>
    <t xml:space="preserve">เรืองเดช </t>
  </si>
  <si>
    <t xml:space="preserve">นาง ปวีณา </t>
  </si>
  <si>
    <t>ปั้นสุข</t>
  </si>
  <si>
    <t>มีนาค</t>
  </si>
  <si>
    <t>นางสาว เพ็ญฑิตา</t>
  </si>
  <si>
    <t>เอี่ยมชม</t>
  </si>
  <si>
    <t>ปรัชญาสกุล</t>
  </si>
  <si>
    <t>นางสาว ฐิรัติภรณ์</t>
  </si>
  <si>
    <t>คุ้มสมบัติ</t>
  </si>
  <si>
    <t xml:space="preserve">สุทธิโกมินทร์ </t>
  </si>
  <si>
    <t xml:space="preserve">นางสาว พัชรี </t>
  </si>
  <si>
    <t xml:space="preserve">ไกรกาศ </t>
  </si>
  <si>
    <t xml:space="preserve">รอดทิม </t>
  </si>
  <si>
    <t xml:space="preserve">นาง มลทิราลัย </t>
  </si>
  <si>
    <t xml:space="preserve">กันยาประสิทธิ์ </t>
  </si>
  <si>
    <t xml:space="preserve">นาย เทอดธวัช </t>
  </si>
  <si>
    <t xml:space="preserve">โสภณดิลก </t>
  </si>
  <si>
    <t xml:space="preserve">นาง ชนิดา </t>
  </si>
  <si>
    <t>อัครวงษ์</t>
  </si>
  <si>
    <t>นางสาว ญาดา</t>
  </si>
  <si>
    <t>ศรีพิพัฒน์</t>
  </si>
  <si>
    <t xml:space="preserve">นางสาว ธิติมา </t>
  </si>
  <si>
    <t xml:space="preserve">ขุนศรีรอด </t>
  </si>
  <si>
    <t xml:space="preserve">นางสาว เกวริน </t>
  </si>
  <si>
    <t xml:space="preserve">เขียวเกษม </t>
  </si>
  <si>
    <t xml:space="preserve">นางสาว เยาวเรศ </t>
  </si>
  <si>
    <t xml:space="preserve">กิตติตระการ </t>
  </si>
  <si>
    <t xml:space="preserve">โตยอด </t>
  </si>
  <si>
    <t>ขำคำ</t>
  </si>
  <si>
    <t>ครูบรรณ์</t>
  </si>
  <si>
    <t xml:space="preserve">นางสาว ฉัตราวลี </t>
  </si>
  <si>
    <t xml:space="preserve">ขุนเพ็ง </t>
  </si>
  <si>
    <t>ปัสสา</t>
  </si>
  <si>
    <t xml:space="preserve">อุดมการเกษตร </t>
  </si>
  <si>
    <t>นางสาว ศิรินภา</t>
  </si>
  <si>
    <t>สุขยิ่ง</t>
  </si>
  <si>
    <t>ทองภู</t>
  </si>
  <si>
    <t>นาย ทีปกร</t>
  </si>
  <si>
    <t>รื่นเริงใจ</t>
  </si>
  <si>
    <t xml:space="preserve">นาง ชะเอม </t>
  </si>
  <si>
    <t xml:space="preserve">เกษมรัตน์ </t>
  </si>
  <si>
    <t xml:space="preserve">นางสาว อัจฉรา </t>
  </si>
  <si>
    <t xml:space="preserve">ม่วงสุข </t>
  </si>
  <si>
    <t xml:space="preserve">นาย บูชิต </t>
  </si>
  <si>
    <t xml:space="preserve">สมบูรณ์ทวีโชค </t>
  </si>
  <si>
    <t xml:space="preserve">นางสาว หยาดฝน </t>
  </si>
  <si>
    <t xml:space="preserve">ชื่นชมน้อย </t>
  </si>
  <si>
    <t>นาย วรวัฒน์</t>
  </si>
  <si>
    <t>น้อยจริง</t>
  </si>
  <si>
    <t xml:space="preserve">กวีวัฒนา </t>
  </si>
  <si>
    <t>นาย ชัยเลิศ</t>
  </si>
  <si>
    <t>บำรุงดี</t>
  </si>
  <si>
    <t xml:space="preserve">นางสาว สุจิตราภา </t>
  </si>
  <si>
    <t xml:space="preserve">ท้าวเงิน </t>
  </si>
  <si>
    <t>นางสาว ภูริศา</t>
  </si>
  <si>
    <t>พูลทวี</t>
  </si>
  <si>
    <t>นางสาว สกุลรัตน์</t>
  </si>
  <si>
    <t>นาคพานิช</t>
  </si>
  <si>
    <t>ชมภูมิ่ง</t>
  </si>
  <si>
    <t xml:space="preserve">นางสาว ภัทรภร </t>
  </si>
  <si>
    <t>เอี่ยมสอาด</t>
  </si>
  <si>
    <t>นาย อภิศักดิ์</t>
  </si>
  <si>
    <t>พรไตรรัตน์</t>
  </si>
  <si>
    <t xml:space="preserve">นางสาว วณิตญาพร </t>
  </si>
  <si>
    <t xml:space="preserve">แก้วใส </t>
  </si>
  <si>
    <t xml:space="preserve">นางสาว วราภรณ์ </t>
  </si>
  <si>
    <t>โฉมงาม</t>
  </si>
  <si>
    <t xml:space="preserve">นางสาว วรวรรณ </t>
  </si>
  <si>
    <t xml:space="preserve">จันหีบ </t>
  </si>
  <si>
    <t xml:space="preserve">พลเรือง </t>
  </si>
  <si>
    <t>เบญจศีละกุล</t>
  </si>
  <si>
    <t>นาย สฐพงษ์</t>
  </si>
  <si>
    <t>มหายศนันท์</t>
  </si>
  <si>
    <t>สารถ้อย</t>
  </si>
  <si>
    <t>อินพรม</t>
  </si>
  <si>
    <t>แปงเครื่อง</t>
  </si>
  <si>
    <t>ธนสัมบัณณ์</t>
  </si>
  <si>
    <t>พรหมบุญ</t>
  </si>
  <si>
    <t>วิศววงศ์พันธ์</t>
  </si>
  <si>
    <t>นาย ภาคภูมิ</t>
  </si>
  <si>
    <t>พรมสาร</t>
  </si>
  <si>
    <t>ยะแสง</t>
  </si>
  <si>
    <t>นาย สุภคม</t>
  </si>
  <si>
    <t>ถาคำ</t>
  </si>
  <si>
    <t>นาย ธีระพงษ์</t>
  </si>
  <si>
    <t>ทรงประศาสน์</t>
  </si>
  <si>
    <t>นาย พิภพ</t>
  </si>
  <si>
    <t>กูลวงศ์</t>
  </si>
  <si>
    <t>สมศิริ</t>
  </si>
  <si>
    <t>นาย ปรัชญา</t>
  </si>
  <si>
    <t>ปัญญาธิ</t>
  </si>
  <si>
    <t>เตชะยศ</t>
  </si>
  <si>
    <t>นาง มนัสนันท์</t>
  </si>
  <si>
    <t>กาละดี</t>
  </si>
  <si>
    <t>ไชยราชา</t>
  </si>
  <si>
    <t>วิเชียร</t>
  </si>
  <si>
    <t>นาย บุญเล้ง</t>
  </si>
  <si>
    <t>คนสูง</t>
  </si>
  <si>
    <t>เวศนารัตน์</t>
  </si>
  <si>
    <t>วงศ์เถื่อน</t>
  </si>
  <si>
    <t>นาย สุเมธ</t>
  </si>
  <si>
    <t>สระคำ</t>
  </si>
  <si>
    <t>พิทยพงศา</t>
  </si>
  <si>
    <t>นางสาว พยอม</t>
  </si>
  <si>
    <t>วุฒิสวัสดิ์</t>
  </si>
  <si>
    <t>นาง ลาวรรณ</t>
  </si>
  <si>
    <t>อินต๊ะนัย</t>
  </si>
  <si>
    <t>นาย อภิเดช</t>
  </si>
  <si>
    <t>กุณรี</t>
  </si>
  <si>
    <t>จีใจ</t>
  </si>
  <si>
    <t>นาย สกุล</t>
  </si>
  <si>
    <t>สุริยศ</t>
  </si>
  <si>
    <t>สมใจ</t>
  </si>
  <si>
    <t>วงศ์วาน</t>
  </si>
  <si>
    <t>คีรีธีรกุล</t>
  </si>
  <si>
    <t>นาย อดิศัย</t>
  </si>
  <si>
    <t>ดีตันนา</t>
  </si>
  <si>
    <t>สุวรรณประชา</t>
  </si>
  <si>
    <t>นาย วรงค์ธรรม</t>
  </si>
  <si>
    <t>เยาวพันธุ์</t>
  </si>
  <si>
    <t xml:space="preserve">นางสาว ชนินทร์รัศมิ์ </t>
  </si>
  <si>
    <t xml:space="preserve">สำราญรัตน์ </t>
  </si>
  <si>
    <t xml:space="preserve">นาง ศิริรัตน์ </t>
  </si>
  <si>
    <t>กิตติวุฒิ</t>
  </si>
  <si>
    <t xml:space="preserve">นาย เมธี </t>
  </si>
  <si>
    <t>เทพเสนา</t>
  </si>
  <si>
    <t xml:space="preserve">นาง รัชนี </t>
  </si>
  <si>
    <t>สุวรรณโสภณ</t>
  </si>
  <si>
    <t xml:space="preserve">นาย สวัสดิ์ </t>
  </si>
  <si>
    <t>เชียงแข็ง</t>
  </si>
  <si>
    <t>นาง ศรีแพร</t>
  </si>
  <si>
    <t>ณ เชียงใหม่</t>
  </si>
  <si>
    <t>นาง พิชยารัชต์</t>
  </si>
  <si>
    <t>ดิฐภักดีคุณานนท์</t>
  </si>
  <si>
    <t>นาย จักรพงษ์</t>
  </si>
  <si>
    <t>ทิพวงศ์</t>
  </si>
  <si>
    <t xml:space="preserve">นางสาว จรินทนา </t>
  </si>
  <si>
    <t xml:space="preserve">เชื้อสะอาด </t>
  </si>
  <si>
    <t xml:space="preserve">นาง ปริศนา </t>
  </si>
  <si>
    <t>ศศิวัจน์ไพสิฐ</t>
  </si>
  <si>
    <t xml:space="preserve">ธีราธรรม </t>
  </si>
  <si>
    <t xml:space="preserve">นางสาว รวิสรา </t>
  </si>
  <si>
    <t xml:space="preserve">นาคีรักษ์ </t>
  </si>
  <si>
    <t xml:space="preserve">ธรรมสอน </t>
  </si>
  <si>
    <t>พรมสาส์น</t>
  </si>
  <si>
    <t>สมณะช้างเผือก</t>
  </si>
  <si>
    <t xml:space="preserve">นาย ลัญจกร </t>
  </si>
  <si>
    <t xml:space="preserve">เตปา </t>
  </si>
  <si>
    <t>นาย พงศ์พัฒน์</t>
  </si>
  <si>
    <t>วัยวัฒน์</t>
  </si>
  <si>
    <t>นางสาว ปิ่นอนงค์</t>
  </si>
  <si>
    <t>จอมศักดิ์</t>
  </si>
  <si>
    <t xml:space="preserve">นาง ชมัยพร </t>
  </si>
  <si>
    <t xml:space="preserve">กองทุม </t>
  </si>
  <si>
    <t>นาง ไพลิน</t>
  </si>
  <si>
    <t>กิตติรัศม์สกุล</t>
  </si>
  <si>
    <t xml:space="preserve">นางสาว ประภัสสร </t>
  </si>
  <si>
    <t xml:space="preserve">อิสระไพโรจน์ </t>
  </si>
  <si>
    <t>นางสาว ตรีนุช</t>
  </si>
  <si>
    <t>เขียวดี</t>
  </si>
  <si>
    <t>นางสาว วัชราภรณ์</t>
  </si>
  <si>
    <t>มะโนคำ</t>
  </si>
  <si>
    <t xml:space="preserve">นาย สุนทร </t>
  </si>
  <si>
    <t xml:space="preserve">วันหมื่น </t>
  </si>
  <si>
    <t xml:space="preserve">นาย สุขสันต์ </t>
  </si>
  <si>
    <t xml:space="preserve">วงค์กุนะ </t>
  </si>
  <si>
    <t xml:space="preserve">นางสาว รัชฎาภรณ์ </t>
  </si>
  <si>
    <t>คำหลวง</t>
  </si>
  <si>
    <t xml:space="preserve">นางสาว สุดารัตน์ </t>
  </si>
  <si>
    <t xml:space="preserve">จันทร์ทอง </t>
  </si>
  <si>
    <t xml:space="preserve">นาย สุขพสันต์ </t>
  </si>
  <si>
    <t>พรหมลังกา</t>
  </si>
  <si>
    <t>นาง ชมัยพร</t>
  </si>
  <si>
    <t>นาง มันทนา</t>
  </si>
  <si>
    <t>นางสาว สุภารัตน์</t>
  </si>
  <si>
    <t>เทพอาจ</t>
  </si>
  <si>
    <t>แก้วชุม</t>
  </si>
  <si>
    <t>พวงมณี</t>
  </si>
  <si>
    <t>ตันติตระการวัฒนา</t>
  </si>
  <si>
    <t>จินะ</t>
  </si>
  <si>
    <t>นางสาว สังวาล</t>
  </si>
  <si>
    <t>แอฤทธิ์</t>
  </si>
  <si>
    <t>จันทร์ผง</t>
  </si>
  <si>
    <t>นาย คมศิลป์</t>
  </si>
  <si>
    <t>สารเถื่อนแก้ว</t>
  </si>
  <si>
    <t>ธนะขว้าง</t>
  </si>
  <si>
    <t>ศรีสิทธิพจน์</t>
  </si>
  <si>
    <t>นาง พัฒน์นรี</t>
  </si>
  <si>
    <t>ทาสม</t>
  </si>
  <si>
    <t>วาฤทธิ์</t>
  </si>
  <si>
    <t>ธรรมสละ</t>
  </si>
  <si>
    <t>นิลแก้ว</t>
  </si>
  <si>
    <t>นาย ชัชรินทร์</t>
  </si>
  <si>
    <t>นาพรหม</t>
  </si>
  <si>
    <t>นาย สมจิต</t>
  </si>
  <si>
    <t>ฟูบินทร์</t>
  </si>
  <si>
    <t>นางสาว ประทิน</t>
  </si>
  <si>
    <t>สิทธิกัน</t>
  </si>
  <si>
    <t>นาง อุมาพร</t>
  </si>
  <si>
    <t>ดีพรมกุล</t>
  </si>
  <si>
    <t>นาง รัติกาล</t>
  </si>
  <si>
    <t>รัตนา</t>
  </si>
  <si>
    <t>นาย อนุมัติ</t>
  </si>
  <si>
    <t>ชัยชนะ</t>
  </si>
  <si>
    <t>นาง จีรพร</t>
  </si>
  <si>
    <t>ชัยเงิน</t>
  </si>
  <si>
    <t>นาง ปริญญา</t>
  </si>
  <si>
    <t>อินต๊ะยศ</t>
  </si>
  <si>
    <t>ผู้แสงทอง</t>
  </si>
  <si>
    <t>นาย จักรพันธ์</t>
  </si>
  <si>
    <t>อินไสย</t>
  </si>
  <si>
    <t>สิทธิ</t>
  </si>
  <si>
    <t>นาง ปรีดารัตน์</t>
  </si>
  <si>
    <t>จันทรบูรณ์</t>
  </si>
  <si>
    <t>มณีอ่อน</t>
  </si>
  <si>
    <t>นาย ธนัย</t>
  </si>
  <si>
    <t xml:space="preserve">บุญมาธิวัฒน์ </t>
  </si>
  <si>
    <t>นาง เฉลิมพร</t>
  </si>
  <si>
    <t>ลำน้อย</t>
  </si>
  <si>
    <t>จันทร์ดี</t>
  </si>
  <si>
    <t>ทวีชัย</t>
  </si>
  <si>
    <t xml:space="preserve">ก๋านนท์ </t>
  </si>
  <si>
    <t>มะลิลม</t>
  </si>
  <si>
    <t>นาย ชยุต</t>
  </si>
  <si>
    <t>ไชยมะโน</t>
  </si>
  <si>
    <t>นาง ชนม์นิภา</t>
  </si>
  <si>
    <t xml:space="preserve">พรมเปียง </t>
  </si>
  <si>
    <t xml:space="preserve">เพียรดีกุล </t>
  </si>
  <si>
    <t xml:space="preserve">นาย ชาญศักดิ์ </t>
  </si>
  <si>
    <t>สิทธิพงศ์</t>
  </si>
  <si>
    <t xml:space="preserve">นาง วิเจียม </t>
  </si>
  <si>
    <t xml:space="preserve">ประจง </t>
  </si>
  <si>
    <t xml:space="preserve">นางสาว ดารารัตน์ </t>
  </si>
  <si>
    <t>สายวงศ์</t>
  </si>
  <si>
    <t>นาง สารภี</t>
  </si>
  <si>
    <t>ศรีงาม</t>
  </si>
  <si>
    <t xml:space="preserve">นางสาว กชกร </t>
  </si>
  <si>
    <t>แสนธิวัง</t>
  </si>
  <si>
    <t xml:space="preserve">นาง ภัทรนันท์ </t>
  </si>
  <si>
    <t xml:space="preserve">พิยะ </t>
  </si>
  <si>
    <t xml:space="preserve">นางสาว สิริกัลยา </t>
  </si>
  <si>
    <t xml:space="preserve">สวนเขื่อน </t>
  </si>
  <si>
    <t xml:space="preserve">นางสาว ปทิตตา </t>
  </si>
  <si>
    <t xml:space="preserve">แก้วเนตร </t>
  </si>
  <si>
    <t xml:space="preserve">นาย วรากร </t>
  </si>
  <si>
    <t xml:space="preserve">ดีน้อย </t>
  </si>
  <si>
    <t xml:space="preserve">นาง วารีรัตน์ </t>
  </si>
  <si>
    <t xml:space="preserve">สุปินะ </t>
  </si>
  <si>
    <t>นาย กมลสันต์</t>
  </si>
  <si>
    <t>ไชยสีติ๊บ</t>
  </si>
  <si>
    <t>นางสาว ฉวีวรรณ</t>
  </si>
  <si>
    <t>ดีปินตา</t>
  </si>
  <si>
    <t>นาย อภิวิชญ์</t>
  </si>
  <si>
    <t>ไชยคำ</t>
  </si>
  <si>
    <t>นางสาว อรณิชา</t>
  </si>
  <si>
    <t>มณีทะ</t>
  </si>
  <si>
    <t>ทีฆาวงค์</t>
  </si>
  <si>
    <t>เชื้อหมอ</t>
  </si>
  <si>
    <t xml:space="preserve">นาย นพรัตน์ </t>
  </si>
  <si>
    <t xml:space="preserve">จิโน </t>
  </si>
  <si>
    <t xml:space="preserve">ต๊ะวิไชย </t>
  </si>
  <si>
    <t xml:space="preserve">นางสาว นิตยา </t>
  </si>
  <si>
    <t>แซ่โซ้ง</t>
  </si>
  <si>
    <t xml:space="preserve">นาย สิทธิพงษ์ </t>
  </si>
  <si>
    <t>ปรังการ</t>
  </si>
  <si>
    <t xml:space="preserve">เกษตรการุณย์ </t>
  </si>
  <si>
    <t xml:space="preserve">นางสาว วิภาพร </t>
  </si>
  <si>
    <t xml:space="preserve">ศรีวิไชย </t>
  </si>
  <si>
    <t>สัญใจ</t>
  </si>
  <si>
    <t>นาย วชิรวิทย์</t>
  </si>
  <si>
    <t>พงศาวิภาวัฒน์</t>
  </si>
  <si>
    <t xml:space="preserve">ใจน้อย </t>
  </si>
  <si>
    <t>นางสาว จิลลาภัทร</t>
  </si>
  <si>
    <t>นาง รัตน์นรี</t>
  </si>
  <si>
    <t>ทองแตม</t>
  </si>
  <si>
    <t>นางสาว ศิริกุล</t>
  </si>
  <si>
    <t>บุญปก</t>
  </si>
  <si>
    <t>นาย จารุวัฒน์</t>
  </si>
  <si>
    <t>อินแฝง</t>
  </si>
  <si>
    <t>นางสาว บัณฑิตา</t>
  </si>
  <si>
    <t>เผือทะนา</t>
  </si>
  <si>
    <t>จันทร์อ้น</t>
  </si>
  <si>
    <t>กราบทูล</t>
  </si>
  <si>
    <t>นางสาว บุณยวีร์</t>
  </si>
  <si>
    <t>ชาวแพะ</t>
  </si>
  <si>
    <t>นางสาว ชนิดา</t>
  </si>
  <si>
    <t>นวลคำ</t>
  </si>
  <si>
    <t>สุขคำปา</t>
  </si>
  <si>
    <t xml:space="preserve">นาง รัตนาพร </t>
  </si>
  <si>
    <t xml:space="preserve">จิตตรง </t>
  </si>
  <si>
    <t>ทันสาร</t>
  </si>
  <si>
    <t>นาย วิทย์</t>
  </si>
  <si>
    <t>นันทะเสน</t>
  </si>
  <si>
    <t>มูลจะคำ</t>
  </si>
  <si>
    <t>นาย สุธน</t>
  </si>
  <si>
    <t>เครือสาร</t>
  </si>
  <si>
    <t>ณ น่าน</t>
  </si>
  <si>
    <t>นาง ขวัญใจ</t>
  </si>
  <si>
    <t>กาวิน</t>
  </si>
  <si>
    <t>นาย พลทิวา</t>
  </si>
  <si>
    <t>ขจรฤทธิ์</t>
  </si>
  <si>
    <t xml:space="preserve">นางสาว เสาวนีย์ </t>
  </si>
  <si>
    <t xml:space="preserve">มีทรัพย์ </t>
  </si>
  <si>
    <t xml:space="preserve">นาย จักรพงษ์ </t>
  </si>
  <si>
    <t xml:space="preserve">สาบุญมา </t>
  </si>
  <si>
    <t>นางสาว อรณิชาณ์</t>
  </si>
  <si>
    <t>ปารมี</t>
  </si>
  <si>
    <t>นางสาว สินีนาฏ</t>
  </si>
  <si>
    <t>จำนงค์</t>
  </si>
  <si>
    <t>นางสาว แสงรวี</t>
  </si>
  <si>
    <t>ไชยโย</t>
  </si>
  <si>
    <t>เงารัตนพันธิกุล</t>
  </si>
  <si>
    <t>นาย พร</t>
  </si>
  <si>
    <t>พรหมศรี</t>
  </si>
  <si>
    <t>นาย เริง</t>
  </si>
  <si>
    <t>ฉาบสีทอง</t>
  </si>
  <si>
    <t>โศจิรัตน์</t>
  </si>
  <si>
    <t>อนันต์ศิริประภา</t>
  </si>
  <si>
    <t>ประไพพิศ</t>
  </si>
  <si>
    <t>นาง จันทนา</t>
  </si>
  <si>
    <t>เอนกรัตน์</t>
  </si>
  <si>
    <t>นาง ศรีวิจิตร</t>
  </si>
  <si>
    <t>พรหมกา</t>
  </si>
  <si>
    <t>ลอแมอามิง</t>
  </si>
  <si>
    <t>นาย เสรีย์</t>
  </si>
  <si>
    <t>แป้นคง</t>
  </si>
  <si>
    <t>แสงขำ</t>
  </si>
  <si>
    <t>เจ๊ะอาลี</t>
  </si>
  <si>
    <t>นาง สุขุม</t>
  </si>
  <si>
    <t>ทวิสุวรรณ</t>
  </si>
  <si>
    <t>โฉมอุภัย</t>
  </si>
  <si>
    <t>นางสาว สุภัทรา</t>
  </si>
  <si>
    <t>สินุธก</t>
  </si>
  <si>
    <t>ไชยรัตน์</t>
  </si>
  <si>
    <t>จันทร์แป้น</t>
  </si>
  <si>
    <t>นาย สนาน</t>
  </si>
  <si>
    <t>สุทธินุ่น</t>
  </si>
  <si>
    <t xml:space="preserve">โตเมศร์ </t>
  </si>
  <si>
    <t>วิไลวรรณ</t>
  </si>
  <si>
    <t>นาง อัซมาวาตี</t>
  </si>
  <si>
    <t>วงศ์อัครวินท์</t>
  </si>
  <si>
    <t>นาย ธีรัตน์</t>
  </si>
  <si>
    <t>ภู่เบญญาพงศ์</t>
  </si>
  <si>
    <t xml:space="preserve">นางสาว ซูไฮลา </t>
  </si>
  <si>
    <t>อาแว</t>
  </si>
  <si>
    <t>เดิมหมวก</t>
  </si>
  <si>
    <t>นางสาว อัจจิมา</t>
  </si>
  <si>
    <t>เสนานิวาส</t>
  </si>
  <si>
    <t>นาง วัชณี</t>
  </si>
  <si>
    <t>ธนาวุฒิ</t>
  </si>
  <si>
    <t xml:space="preserve">นางสาว ปาหนัน </t>
  </si>
  <si>
    <t>เจริญลาภ</t>
  </si>
  <si>
    <t xml:space="preserve">นางสาว วิสุณี </t>
  </si>
  <si>
    <t xml:space="preserve">อยู่วัฒนา </t>
  </si>
  <si>
    <t>นางสาว อรัณย์ภัค</t>
  </si>
  <si>
    <t>ถิระโชติ</t>
  </si>
  <si>
    <t xml:space="preserve">เถื่อนพิพักษ์ </t>
  </si>
  <si>
    <t>นาย มะฮ์ดี</t>
  </si>
  <si>
    <t>โต๊ะเด็น</t>
  </si>
  <si>
    <t xml:space="preserve">ศรีชาติ </t>
  </si>
  <si>
    <t xml:space="preserve">นางสาว นริศา </t>
  </si>
  <si>
    <t xml:space="preserve">เยะหมัน </t>
  </si>
  <si>
    <t xml:space="preserve">นางสาว ภัทรสุดา </t>
  </si>
  <si>
    <t>เลียนสุย</t>
  </si>
  <si>
    <t>นางสาว ปรางดาว</t>
  </si>
  <si>
    <t xml:space="preserve">จันมุณี </t>
  </si>
  <si>
    <t xml:space="preserve">นาย ฐานันตร์ </t>
  </si>
  <si>
    <t xml:space="preserve">สุทธิกวี </t>
  </si>
  <si>
    <t>จิตต์สุวรรณ์</t>
  </si>
  <si>
    <t>กูเล็ม</t>
  </si>
  <si>
    <t xml:space="preserve">นางสาว เสาวลี </t>
  </si>
  <si>
    <t xml:space="preserve">ลีลานนท์ </t>
  </si>
  <si>
    <t>นางสาว ธนพร</t>
  </si>
  <si>
    <t>ฮัมดาหลี</t>
  </si>
  <si>
    <t xml:space="preserve">อ่องศรี </t>
  </si>
  <si>
    <t xml:space="preserve">นาย กัมปนาท </t>
  </si>
  <si>
    <t xml:space="preserve">เกลี้ยงนิล </t>
  </si>
  <si>
    <t>นางสาว เสาวณี</t>
  </si>
  <si>
    <t>ศรีเอียด</t>
  </si>
  <si>
    <t>นาย ไซฟูลอันวาร์</t>
  </si>
  <si>
    <t>ดอเลาะ</t>
  </si>
  <si>
    <t>ยูโซ๊ะ</t>
  </si>
  <si>
    <t xml:space="preserve">นางสาว สุปราณี </t>
  </si>
  <si>
    <t xml:space="preserve">ภักดี </t>
  </si>
  <si>
    <t>แซ่ลก</t>
  </si>
  <si>
    <t xml:space="preserve">นางสาว ตัสมีรา </t>
  </si>
  <si>
    <t xml:space="preserve">ดูดิง </t>
  </si>
  <si>
    <t>ตันสุรีย์</t>
  </si>
  <si>
    <t>คงสาม</t>
  </si>
  <si>
    <t>สุวรรณศรี</t>
  </si>
  <si>
    <t>อุดร</t>
  </si>
  <si>
    <t>สุขกิจ</t>
  </si>
  <si>
    <t>จันทิตย์</t>
  </si>
  <si>
    <t>น้อยสร้าง</t>
  </si>
  <si>
    <t>นาย สุไหมิง</t>
  </si>
  <si>
    <t>บือราเฮง</t>
  </si>
  <si>
    <t>นาง ศิวภร</t>
  </si>
  <si>
    <t>ศรีประเสริฐ</t>
  </si>
  <si>
    <t>บาโด</t>
  </si>
  <si>
    <t>นาย อนุสิทธิ์</t>
  </si>
  <si>
    <t>ตูเละ</t>
  </si>
  <si>
    <t>นาง วินา</t>
  </si>
  <si>
    <t>ปุย</t>
  </si>
  <si>
    <t>นาย หะสัน</t>
  </si>
  <si>
    <t>กือมะ</t>
  </si>
  <si>
    <t>คงประเสริฐ</t>
  </si>
  <si>
    <t>นาง สุจิตรา</t>
  </si>
  <si>
    <t>สนิทวงศ์ ณ อยุธยา</t>
  </si>
  <si>
    <t>หะมะ</t>
  </si>
  <si>
    <t>นาย ตอลิบ</t>
  </si>
  <si>
    <t>บือซา</t>
  </si>
  <si>
    <t>นางสาว งามเพ็ญ</t>
  </si>
  <si>
    <t>ลอยเมฆ</t>
  </si>
  <si>
    <t>ด้วงสุข</t>
  </si>
  <si>
    <t>นาย อำราญ</t>
  </si>
  <si>
    <t>ดือราแม</t>
  </si>
  <si>
    <t>รัตนมณี</t>
  </si>
  <si>
    <t>นาง จารุดา</t>
  </si>
  <si>
    <t>ลดาวัลย์วิวัฒน์</t>
  </si>
  <si>
    <t>นาง ปาลิน</t>
  </si>
  <si>
    <t>นวลศรีทอง</t>
  </si>
  <si>
    <t>นาง โซเฟีย</t>
  </si>
  <si>
    <t>เพ็งเทพ</t>
  </si>
  <si>
    <t>นาย หมัดซากี</t>
  </si>
  <si>
    <t>บินยูโซ๊ะ</t>
  </si>
  <si>
    <t>นาง ซูไรด้า</t>
  </si>
  <si>
    <t>สือนิ</t>
  </si>
  <si>
    <t>นาย อับดะห์</t>
  </si>
  <si>
    <t>มามะ</t>
  </si>
  <si>
    <t>นาย วีรพันธุ์</t>
  </si>
  <si>
    <t>นิลวัตร</t>
  </si>
  <si>
    <t>นางสาว รอฮ์ยาตี</t>
  </si>
  <si>
    <t>หะยีสาอุ</t>
  </si>
  <si>
    <t>นาย อาซาเห็ต</t>
  </si>
  <si>
    <t>เจะอูมา</t>
  </si>
  <si>
    <t>นาง รอบีอะห์</t>
  </si>
  <si>
    <t>นางสาว ฮาฟิซา</t>
  </si>
  <si>
    <t>เมาะมิง</t>
  </si>
  <si>
    <t>นางสาว ฐิตินันท์</t>
  </si>
  <si>
    <t>เนื้อน้อย</t>
  </si>
  <si>
    <t>นาง รุสลีนา</t>
  </si>
  <si>
    <t>เนื้ออ่อน</t>
  </si>
  <si>
    <t>นาง ณิชาภัทร</t>
  </si>
  <si>
    <t>ดุลยกุล</t>
  </si>
  <si>
    <t>นาย ซูไฮดี</t>
  </si>
  <si>
    <t>บาซอ</t>
  </si>
  <si>
    <t>หญ้าปรัง</t>
  </si>
  <si>
    <t>นาย มาโซ</t>
  </si>
  <si>
    <t>สะมะแอ</t>
  </si>
  <si>
    <t xml:space="preserve">นางสาว รุสลีนา </t>
  </si>
  <si>
    <t xml:space="preserve">สาเมาะ </t>
  </si>
  <si>
    <t>นาง จิรพรรณ</t>
  </si>
  <si>
    <t>ลำพรหมสุข</t>
  </si>
  <si>
    <t>นาย กิติศักดิ์</t>
  </si>
  <si>
    <t>ชิณพงษ์</t>
  </si>
  <si>
    <t>นาย หาพิส</t>
  </si>
  <si>
    <t>ปุโรง</t>
  </si>
  <si>
    <t>นาง วรนันท์</t>
  </si>
  <si>
    <t>ขานโบราณ</t>
  </si>
  <si>
    <t>นางสาว ฮานิง</t>
  </si>
  <si>
    <t>ลาเตะ</t>
  </si>
  <si>
    <t xml:space="preserve">นางสาว วนิศรา </t>
  </si>
  <si>
    <t xml:space="preserve">แวสาเหาะ </t>
  </si>
  <si>
    <t xml:space="preserve">นางสาว รอซีลา </t>
  </si>
  <si>
    <t xml:space="preserve">อาแว </t>
  </si>
  <si>
    <t xml:space="preserve">นาง ฐาปภา </t>
  </si>
  <si>
    <t xml:space="preserve">นางสาว เครือมาส </t>
  </si>
  <si>
    <t>ดิษโร</t>
  </si>
  <si>
    <t xml:space="preserve">นาง สุนิศา </t>
  </si>
  <si>
    <t xml:space="preserve">ชัยรัตน์ </t>
  </si>
  <si>
    <t xml:space="preserve">นาย พิชิต </t>
  </si>
  <si>
    <t>หมอสุข</t>
  </si>
  <si>
    <t>นางสาว รอซีด๊ะห์</t>
  </si>
  <si>
    <t>ดีเย๊าะมาวอ</t>
  </si>
  <si>
    <t>ยุ่งยั้ง</t>
  </si>
  <si>
    <t xml:space="preserve">นาย อิสมาแอล </t>
  </si>
  <si>
    <t xml:space="preserve">บินยูโซะ </t>
  </si>
  <si>
    <t>นาง พรพิศ</t>
  </si>
  <si>
    <t xml:space="preserve">นางสาว ฮาบเซาะฮ์ </t>
  </si>
  <si>
    <t xml:space="preserve">อีแตมาโมง </t>
  </si>
  <si>
    <t>นางสาว ปานใจ</t>
  </si>
  <si>
    <t>ดำนิล</t>
  </si>
  <si>
    <t xml:space="preserve">นางสาว อัฟนาน </t>
  </si>
  <si>
    <t>ยีดิง</t>
  </si>
  <si>
    <t xml:space="preserve">นาง สุทธิวรรณ </t>
  </si>
  <si>
    <t xml:space="preserve">จำรัสศรี </t>
  </si>
  <si>
    <t>เต๋เอียดหยอ</t>
  </si>
  <si>
    <t>ดุสิตณรงค์</t>
  </si>
  <si>
    <t>นาย รัตพงษ์</t>
  </si>
  <si>
    <t>อันดี</t>
  </si>
  <si>
    <t>นาย ธนาชศิวัฒน์</t>
  </si>
  <si>
    <t xml:space="preserve">ติณช์ราฐธิบดี </t>
  </si>
  <si>
    <t>ทิศารัมย์</t>
  </si>
  <si>
    <t>พันธุ์โภคา</t>
  </si>
  <si>
    <t>แก้วแกมจันทร์</t>
  </si>
  <si>
    <t>วงศ์ณะรัตน์</t>
  </si>
  <si>
    <t>นาย สมดี</t>
  </si>
  <si>
    <t>ไลไธสง</t>
  </si>
  <si>
    <t>นาย จวน</t>
  </si>
  <si>
    <t xml:space="preserve">นาง สุดถนอม </t>
  </si>
  <si>
    <t>บุญช่วย</t>
  </si>
  <si>
    <t>ซารัมย์</t>
  </si>
  <si>
    <t>ศรีพุทธิรัตน์</t>
  </si>
  <si>
    <t>นาคสุวรรณ</t>
  </si>
  <si>
    <t>นาย บุญช่วย</t>
  </si>
  <si>
    <t>บำรุงธรรม</t>
  </si>
  <si>
    <t>โพศรีดี</t>
  </si>
  <si>
    <t>แขกรัมย์</t>
  </si>
  <si>
    <t>นาง ศศิมา</t>
  </si>
  <si>
    <t>นาย เธียรชัย</t>
  </si>
  <si>
    <t>อุ่นจิตต์วรรธนะ</t>
  </si>
  <si>
    <t>กสานติ์ศรี</t>
  </si>
  <si>
    <t>ชาติชาตรี</t>
  </si>
  <si>
    <t>เซ่งตระกูล</t>
  </si>
  <si>
    <t>เพชรกูลกิจ</t>
  </si>
  <si>
    <t>นาย ทวีสิทธิ์</t>
  </si>
  <si>
    <t>นามประเสริฐ</t>
  </si>
  <si>
    <t>นางสาว จุฑาอัฆฒ์</t>
  </si>
  <si>
    <t>ปาณะพงศ์จรัส</t>
  </si>
  <si>
    <t>โพนยะพันธ์</t>
  </si>
  <si>
    <t>เชื้อฉุน</t>
  </si>
  <si>
    <t>พรหมจรรย์</t>
  </si>
  <si>
    <t>ค้าคล่อง</t>
  </si>
  <si>
    <t>นาย สิร</t>
  </si>
  <si>
    <t>ประดับโชติ</t>
  </si>
  <si>
    <t>นาจรูญ</t>
  </si>
  <si>
    <t>นาง ภัทรา</t>
  </si>
  <si>
    <t>วารสิทธิ์</t>
  </si>
  <si>
    <t>นาง วิภาภรณ์</t>
  </si>
  <si>
    <t>ธวัชชัย</t>
  </si>
  <si>
    <t>นางสาว สงบ</t>
  </si>
  <si>
    <t>รินไธสง</t>
  </si>
  <si>
    <t>ภูมิฐาน</t>
  </si>
  <si>
    <t>ไวยารัตน์</t>
  </si>
  <si>
    <t>นาง อรพันธ์</t>
  </si>
  <si>
    <t>วัชรโพธิ์</t>
  </si>
  <si>
    <t>มงคลพิทยา</t>
  </si>
  <si>
    <t>นาย นิพัฒน์</t>
  </si>
  <si>
    <t>สิงห์พันธ์</t>
  </si>
  <si>
    <t>สังข์โกมล</t>
  </si>
  <si>
    <t>นาย ชัยนันท์</t>
  </si>
  <si>
    <t>เพียรประจำ</t>
  </si>
  <si>
    <t>นาง ณฤดี</t>
  </si>
  <si>
    <t>วรรณโกษิตย์</t>
  </si>
  <si>
    <t>งามสูงเนิน</t>
  </si>
  <si>
    <t>วสุวัฒน์</t>
  </si>
  <si>
    <t>นาง ขจีรัตน์</t>
  </si>
  <si>
    <t>เสาว์สิงห์</t>
  </si>
  <si>
    <t>มันตาพันธ์</t>
  </si>
  <si>
    <t>นาย อร่าม</t>
  </si>
  <si>
    <t>รัตนประดับ</t>
  </si>
  <si>
    <t>แย้มศรี</t>
  </si>
  <si>
    <t>สุทธิรักษา</t>
  </si>
  <si>
    <t>นาง ธนวรรณ</t>
  </si>
  <si>
    <t>นัยเนตร</t>
  </si>
  <si>
    <t>นาง นวลปรางค์</t>
  </si>
  <si>
    <t>จัตุกูล</t>
  </si>
  <si>
    <t>นาง พิณทิพย์</t>
  </si>
  <si>
    <t>คงนันทะ</t>
  </si>
  <si>
    <t>มีเวที</t>
  </si>
  <si>
    <t>พงษ์สุวรรณ</t>
  </si>
  <si>
    <t>บรรจงศิริทัศน์</t>
  </si>
  <si>
    <t>หอยสังข์</t>
  </si>
  <si>
    <t>หลักชัย</t>
  </si>
  <si>
    <t xml:space="preserve">นาย สุรกิจ </t>
  </si>
  <si>
    <t xml:space="preserve">กมลชัย </t>
  </si>
  <si>
    <t>นาง ศุภรัศมิ์</t>
  </si>
  <si>
    <t>จินดา</t>
  </si>
  <si>
    <t>สมัครรบ</t>
  </si>
  <si>
    <t>ปิยะวงศ์</t>
  </si>
  <si>
    <t>กลมกูล</t>
  </si>
  <si>
    <t>ภูจีรัง</t>
  </si>
  <si>
    <t>นางสาว นิรดา</t>
  </si>
  <si>
    <t>แป้นนางรอง</t>
  </si>
  <si>
    <t>ทองหนูแดง</t>
  </si>
  <si>
    <t>นางสาว ภัทธิรา</t>
  </si>
  <si>
    <t>วิยาสิงห์</t>
  </si>
  <si>
    <t xml:space="preserve">นางสาว บังอร </t>
  </si>
  <si>
    <t xml:space="preserve">โฉมฉิน </t>
  </si>
  <si>
    <t>พัวบัณฑิตกุล</t>
  </si>
  <si>
    <t>นางสาว จรัญญา</t>
  </si>
  <si>
    <t>เพียซ้าย</t>
  </si>
  <si>
    <t>นางสาว ลำใย</t>
  </si>
  <si>
    <t>เพ็ชรนิล</t>
  </si>
  <si>
    <t xml:space="preserve">นางสาว สุชานันท์ </t>
  </si>
  <si>
    <t>รักจะบก</t>
  </si>
  <si>
    <t xml:space="preserve">นางสาว ชนากานต์ </t>
  </si>
  <si>
    <t>ลำเหลือ</t>
  </si>
  <si>
    <t xml:space="preserve">โครงพิมาย </t>
  </si>
  <si>
    <t xml:space="preserve">นางสาว สฐาพร </t>
  </si>
  <si>
    <t xml:space="preserve">โนใหม่ </t>
  </si>
  <si>
    <t xml:space="preserve">นางสาว วิไลลักษณ์ </t>
  </si>
  <si>
    <t xml:space="preserve">พุฒนอก </t>
  </si>
  <si>
    <t xml:space="preserve">จีบจอหอ </t>
  </si>
  <si>
    <t xml:space="preserve">นางสาว พัดชา </t>
  </si>
  <si>
    <t xml:space="preserve">อะตะนิตย์ </t>
  </si>
  <si>
    <t xml:space="preserve">นาย ศักดิ์ดา </t>
  </si>
  <si>
    <t xml:space="preserve">ร่มรุกข์ </t>
  </si>
  <si>
    <t xml:space="preserve">นาย กฤษฎาพันธ์ </t>
  </si>
  <si>
    <t>แย้มกระโทก</t>
  </si>
  <si>
    <t>คูณกลาง</t>
  </si>
  <si>
    <t>นาง บัวภา</t>
  </si>
  <si>
    <t>ศาลางาม</t>
  </si>
  <si>
    <t>นาย ด๊ะเหร็ด</t>
  </si>
  <si>
    <t>หมัดเจริญ</t>
  </si>
  <si>
    <t>ติ้นสั้น</t>
  </si>
  <si>
    <t>ปานะดิษฐ์</t>
  </si>
  <si>
    <t>วิเศษวงษา</t>
  </si>
  <si>
    <t>นาย ชัยชิด</t>
  </si>
  <si>
    <t>สร้อยจิตต์</t>
  </si>
  <si>
    <t>นาย วันรบ</t>
  </si>
  <si>
    <t>เฮ่ประโคน</t>
  </si>
  <si>
    <t>บูรณ์เจริญ</t>
  </si>
  <si>
    <t>นาย พิสัย</t>
  </si>
  <si>
    <t>บุตรสืบสาย</t>
  </si>
  <si>
    <t>นาย วรเดช</t>
  </si>
  <si>
    <t>จันธิมา</t>
  </si>
  <si>
    <t>กีรติสุนทรเวทย์</t>
  </si>
  <si>
    <t>พึงประภา</t>
  </si>
  <si>
    <t>นางสาว ณัฐสุดา</t>
  </si>
  <si>
    <t>เย้ยไธสง</t>
  </si>
  <si>
    <t>สุขแสงรัตน์</t>
  </si>
  <si>
    <t>ดีบาง</t>
  </si>
  <si>
    <t>ปุยะติ</t>
  </si>
  <si>
    <t>ศรีษะนอก</t>
  </si>
  <si>
    <t>แคนสิงห์</t>
  </si>
  <si>
    <t>นาย เมธิน</t>
  </si>
  <si>
    <t>ชัยชนะวงศ์</t>
  </si>
  <si>
    <t>นาย เดือน</t>
  </si>
  <si>
    <t>มหาสาร</t>
  </si>
  <si>
    <t>บุญล้น</t>
  </si>
  <si>
    <t>ทุมาโต</t>
  </si>
  <si>
    <t>นาย ณภัทร</t>
  </si>
  <si>
    <t>จำนงค์ประโคน</t>
  </si>
  <si>
    <t>ขวัญศิวิไลย์</t>
  </si>
  <si>
    <t>นาย ขันธลักษณ์</t>
  </si>
  <si>
    <t>ศรีวิเศษ</t>
  </si>
  <si>
    <t>นาย ธนาศักดิ์</t>
  </si>
  <si>
    <t>คำจร</t>
  </si>
  <si>
    <t>นาย ยมศักดิ์</t>
  </si>
  <si>
    <t>อามาตเสนา</t>
  </si>
  <si>
    <t>นาย ปุญญวัฒน์</t>
  </si>
  <si>
    <t>ชนะภักดิ์</t>
  </si>
  <si>
    <t>ปุลันรัมย์</t>
  </si>
  <si>
    <t>นาง ปรียาภรณ์</t>
  </si>
  <si>
    <t>พรหมบุตร</t>
  </si>
  <si>
    <t>นาง ฐิติรัตน์</t>
  </si>
  <si>
    <t>แปลงดี</t>
  </si>
  <si>
    <t>นาง ธัญพร</t>
  </si>
  <si>
    <t>โนนสิงห์</t>
  </si>
  <si>
    <t>กมลมุณีรัตน์</t>
  </si>
  <si>
    <t>นาง ขวัญชนก</t>
  </si>
  <si>
    <t>วิเศษมงคลชัย</t>
  </si>
  <si>
    <t>นาย ณรงค์ศักดิ์</t>
  </si>
  <si>
    <t>อินยาพงษ์</t>
  </si>
  <si>
    <t>นางสาว ประพัตสร</t>
  </si>
  <si>
    <t>ชาดี</t>
  </si>
  <si>
    <t>แก้วบุตรดี</t>
  </si>
  <si>
    <t>ดวงจิตร</t>
  </si>
  <si>
    <t>นาย ถนอมศักดิ์</t>
  </si>
  <si>
    <t>พันคูณ</t>
  </si>
  <si>
    <t>เข็มแป้นพะเนา</t>
  </si>
  <si>
    <t>นาง วีณา</t>
  </si>
  <si>
    <t>อดีตรัมย์</t>
  </si>
  <si>
    <t>นาง ปราณีย์</t>
  </si>
  <si>
    <t>นาง ซันญี</t>
  </si>
  <si>
    <t>สาสุข</t>
  </si>
  <si>
    <t>นางสาว ชวนพิศ</t>
  </si>
  <si>
    <t>พึ่งพิพัฒน์</t>
  </si>
  <si>
    <t>นางสาว วิรัชดา</t>
  </si>
  <si>
    <t>สายรัตน์</t>
  </si>
  <si>
    <t>นางสาว สินีนารถ</t>
  </si>
  <si>
    <t>กีรติพงศ์พิศาล</t>
  </si>
  <si>
    <t>นางสาว ประทุมวัน</t>
  </si>
  <si>
    <t>เสาร์ประโคน</t>
  </si>
  <si>
    <t>นางสาว พิมพ์จิต</t>
  </si>
  <si>
    <t>ชาญประโคน</t>
  </si>
  <si>
    <t>นาย ปฐมพงษ์</t>
  </si>
  <si>
    <t>โนนไธสง</t>
  </si>
  <si>
    <t>นาย สุราษฎร์</t>
  </si>
  <si>
    <t>แก้วอารี</t>
  </si>
  <si>
    <t>เนื้อไม้หอม</t>
  </si>
  <si>
    <t>นางสาว สิริวาณีย์</t>
  </si>
  <si>
    <t>ชาวกงจักร์</t>
  </si>
  <si>
    <t>เชียรรัมย์</t>
  </si>
  <si>
    <t>นางสาว กวิสรา</t>
  </si>
  <si>
    <t>มมประโคน</t>
  </si>
  <si>
    <t>นาง นงนภัส</t>
  </si>
  <si>
    <t>โครงพิมาย</t>
  </si>
  <si>
    <t>สมันทอง</t>
  </si>
  <si>
    <t>แปลงไธสง</t>
  </si>
  <si>
    <t xml:space="preserve">นาง ชลณภัทร </t>
  </si>
  <si>
    <t>หอมแม้น</t>
  </si>
  <si>
    <t xml:space="preserve">นางสาว อำนวยพร </t>
  </si>
  <si>
    <t xml:space="preserve">วงศ์พระจันทร์ </t>
  </si>
  <si>
    <t>นางสาว พิมพ์ลักษณ์</t>
  </si>
  <si>
    <t xml:space="preserve">เพ็ชรศรี </t>
  </si>
  <si>
    <t xml:space="preserve">นางสาว ยุพิน </t>
  </si>
  <si>
    <t>ประทัด</t>
  </si>
  <si>
    <t xml:space="preserve">นางสาว ปิยาภรณ์ </t>
  </si>
  <si>
    <t xml:space="preserve">นางสาว พิจิตรา </t>
  </si>
  <si>
    <t xml:space="preserve">โกติรัมย์ </t>
  </si>
  <si>
    <t xml:space="preserve">นาง สุภาภรณ์ </t>
  </si>
  <si>
    <t>แก้วผักแว่น</t>
  </si>
  <si>
    <t>นาง ฉัตรภัสร์</t>
  </si>
  <si>
    <t>พิชิตอรุณศักดิ์</t>
  </si>
  <si>
    <t>ห่อทอง</t>
  </si>
  <si>
    <t>นาย วิทวัส ธีรฤท</t>
  </si>
  <si>
    <t>วรพันธรรมกุล</t>
  </si>
  <si>
    <t xml:space="preserve">ละครจันทร์ </t>
  </si>
  <si>
    <t xml:space="preserve">นาง รุจาภา </t>
  </si>
  <si>
    <t xml:space="preserve">เอี่ยมเอ็ม </t>
  </si>
  <si>
    <t xml:space="preserve">นาย เกรียงไกร </t>
  </si>
  <si>
    <t xml:space="preserve">ทัพขวา </t>
  </si>
  <si>
    <t xml:space="preserve">นาย ถาวร </t>
  </si>
  <si>
    <t xml:space="preserve">ทองหนุน </t>
  </si>
  <si>
    <t xml:space="preserve">นางสาว กิตติยาภรณ์ </t>
  </si>
  <si>
    <t xml:space="preserve">ชื่นศรี </t>
  </si>
  <si>
    <t xml:space="preserve">บวชประโคน </t>
  </si>
  <si>
    <t xml:space="preserve">นางสาว ธิดา </t>
  </si>
  <si>
    <t xml:space="preserve">เชิญรัมย์ </t>
  </si>
  <si>
    <t xml:space="preserve">นางสาว รัตนา </t>
  </si>
  <si>
    <t xml:space="preserve">เปสาโก </t>
  </si>
  <si>
    <t xml:space="preserve">ไตรพรม </t>
  </si>
  <si>
    <t xml:space="preserve">นางสาว นรารัตน์ </t>
  </si>
  <si>
    <t xml:space="preserve">หมานจันทร์ </t>
  </si>
  <si>
    <t xml:space="preserve">นางสาว ศิรินาถ </t>
  </si>
  <si>
    <t xml:space="preserve">เที่ยงธรรม </t>
  </si>
  <si>
    <t>พวงทอง</t>
  </si>
  <si>
    <t xml:space="preserve">นาย นิวัฒน์ </t>
  </si>
  <si>
    <t xml:space="preserve">คำสอน </t>
  </si>
  <si>
    <t xml:space="preserve">นาย ธนะพงศ์ </t>
  </si>
  <si>
    <t xml:space="preserve">นาง กัญญาพร </t>
  </si>
  <si>
    <t>ภูบัวดวง</t>
  </si>
  <si>
    <t>รักษา</t>
  </si>
  <si>
    <t xml:space="preserve">เดชชัย  </t>
  </si>
  <si>
    <t xml:space="preserve">พูลวงค์ </t>
  </si>
  <si>
    <t xml:space="preserve">นางสาว นพวรรณ </t>
  </si>
  <si>
    <t xml:space="preserve">ประจักษ์ </t>
  </si>
  <si>
    <t xml:space="preserve">นาง พรรณพร </t>
  </si>
  <si>
    <t xml:space="preserve">แซ่ตั้ง </t>
  </si>
  <si>
    <t>สนทนา</t>
  </si>
  <si>
    <t>หลอมนาค</t>
  </si>
  <si>
    <t>นาย กัณตภณ</t>
  </si>
  <si>
    <t>นะรารัมย์</t>
  </si>
  <si>
    <t>นาย อัทธยา</t>
  </si>
  <si>
    <t>ราชรัมย์</t>
  </si>
  <si>
    <t>ใจกล้า</t>
  </si>
  <si>
    <t>นาง กฤษณา</t>
  </si>
  <si>
    <t>กุประดิษฐ์</t>
  </si>
  <si>
    <t>จรจรัญ</t>
  </si>
  <si>
    <t xml:space="preserve">นาย ชยุต </t>
  </si>
  <si>
    <t xml:space="preserve">บำรุงราษฎร์ </t>
  </si>
  <si>
    <t xml:space="preserve">นาง ธัญญารัตน์ </t>
  </si>
  <si>
    <t xml:space="preserve">ภาบับภา </t>
  </si>
  <si>
    <t>นาย ธราวิทย์</t>
  </si>
  <si>
    <t>คำหล้า</t>
  </si>
  <si>
    <t>ทองมวล</t>
  </si>
  <si>
    <t>นางสาว ระออง</t>
  </si>
  <si>
    <t>ไชยคุณ</t>
  </si>
  <si>
    <t>หาคำ</t>
  </si>
  <si>
    <t>นางสาว เกษมณี</t>
  </si>
  <si>
    <t>ยืนยัง</t>
  </si>
  <si>
    <t>นาย คมสรรค์</t>
  </si>
  <si>
    <t>สิงห์โนนตาด</t>
  </si>
  <si>
    <t>นางสาว นิอร</t>
  </si>
  <si>
    <t>คนใหญ่</t>
  </si>
  <si>
    <t>นาง บุษยมาศ</t>
  </si>
  <si>
    <t>ชุ่มนาเสียว</t>
  </si>
  <si>
    <t>นางสาว มนัสชญา</t>
  </si>
  <si>
    <t>ศรีแก้ว</t>
  </si>
  <si>
    <t xml:space="preserve">อุทาโพธิ์ </t>
  </si>
  <si>
    <t xml:space="preserve">นาย วงศกร </t>
  </si>
  <si>
    <t>ลี้ศิริจรรยากุล</t>
  </si>
  <si>
    <t xml:space="preserve">นาง ทิพวรรณ </t>
  </si>
  <si>
    <t>ทัศนิตย์</t>
  </si>
  <si>
    <t xml:space="preserve">ยานสาร </t>
  </si>
  <si>
    <t>นางสาว บุศกร</t>
  </si>
  <si>
    <t>โกฏิรักษ์</t>
  </si>
  <si>
    <t>นางสาว พรสวรรค์</t>
  </si>
  <si>
    <t>นิลสนธิ</t>
  </si>
  <si>
    <t xml:space="preserve">นางสาว เกศสุดา </t>
  </si>
  <si>
    <t xml:space="preserve">มงคลสัจจา </t>
  </si>
  <si>
    <t>ศรีละ</t>
  </si>
  <si>
    <t>นาย ธนุต</t>
  </si>
  <si>
    <t>นาย ภสุ</t>
  </si>
  <si>
    <t>แก้วอรสาร</t>
  </si>
  <si>
    <t>นาย วิสุทธิ์</t>
  </si>
  <si>
    <t>พงษ์ศิริศักดิ์</t>
  </si>
  <si>
    <t>ศรีล้ำเลิศ</t>
  </si>
  <si>
    <t>นางสาว พิสุทธิณี</t>
  </si>
  <si>
    <t>เจริญศรี</t>
  </si>
  <si>
    <t>นางสาว รัติยา</t>
  </si>
  <si>
    <t>จันทรักษ์</t>
  </si>
  <si>
    <t>นาย เวช</t>
  </si>
  <si>
    <t>นามวงศ์</t>
  </si>
  <si>
    <t>เขตบุรี</t>
  </si>
  <si>
    <t>นาง ปาจรีย์</t>
  </si>
  <si>
    <t>โพนพุฒ</t>
  </si>
  <si>
    <t>นาย ทาดร</t>
  </si>
  <si>
    <t>เดโชรัมย์</t>
  </si>
  <si>
    <t>บุญสิงห์</t>
  </si>
  <si>
    <t>ชะอุ่ม</t>
  </si>
  <si>
    <t>นาย จักรกฤช</t>
  </si>
  <si>
    <t>อิ่นติ๊บ</t>
  </si>
  <si>
    <t>นางสาว ณัฏฐานุช</t>
  </si>
  <si>
    <t>แก้วงาม</t>
  </si>
  <si>
    <t xml:space="preserve">นางสาว วราพร </t>
  </si>
  <si>
    <t xml:space="preserve">ผ่องสนาม </t>
  </si>
  <si>
    <t>ศรีตะวัน</t>
  </si>
  <si>
    <t>นาย ประจัญ</t>
  </si>
  <si>
    <t>นาย เรวุฒิ</t>
  </si>
  <si>
    <t>บุญจวง</t>
  </si>
  <si>
    <t>นางสาว สวรรยา</t>
  </si>
  <si>
    <t>ประธานี</t>
  </si>
  <si>
    <t>พิลาวัลย์</t>
  </si>
  <si>
    <t xml:space="preserve">นาย กำธร </t>
  </si>
  <si>
    <t xml:space="preserve">วงศ์วิเศษ </t>
  </si>
  <si>
    <t xml:space="preserve">นางสาว อุรารัตน์ </t>
  </si>
  <si>
    <t xml:space="preserve">จอดนอก </t>
  </si>
  <si>
    <t xml:space="preserve">นางสาว สกุลรัตน์ </t>
  </si>
  <si>
    <t xml:space="preserve">คุณพิทักษ์ </t>
  </si>
  <si>
    <t>ศรีอ่อน</t>
  </si>
  <si>
    <t>มีพรหม</t>
  </si>
  <si>
    <t>พลปากดี</t>
  </si>
  <si>
    <t xml:space="preserve">ไตรวงษ์ </t>
  </si>
  <si>
    <t>นางสาว จิระวดี</t>
  </si>
  <si>
    <t>ไชยนาน</t>
  </si>
  <si>
    <t xml:space="preserve">นางสาว พรสวรรค์ </t>
  </si>
  <si>
    <t xml:space="preserve">ต๊ะเสี้ยว </t>
  </si>
  <si>
    <t>นาย ณรงค์ฤทธิ์</t>
  </si>
  <si>
    <t>นางสาว ปรียานุช</t>
  </si>
  <si>
    <t>ปิยะโกศล</t>
  </si>
  <si>
    <t>พรโสภณ</t>
  </si>
  <si>
    <t xml:space="preserve">นางสาว ชุลีพร </t>
  </si>
  <si>
    <t xml:space="preserve">วิเสโส </t>
  </si>
  <si>
    <t>นาง อุปการินทร์</t>
  </si>
  <si>
    <t>ตรีเพ็ชร</t>
  </si>
  <si>
    <t>ยอดบุนอก</t>
  </si>
  <si>
    <t>อาจกิจ</t>
  </si>
  <si>
    <t>นาง พงษ์ลัดดา</t>
  </si>
  <si>
    <t>โพธิเสน</t>
  </si>
  <si>
    <t>หมื่นภักดี</t>
  </si>
  <si>
    <t>นาง วิลัย</t>
  </si>
  <si>
    <t xml:space="preserve">นันทา </t>
  </si>
  <si>
    <t>พหุนันต์</t>
  </si>
  <si>
    <t>บุตรเจริญ</t>
  </si>
  <si>
    <t>นาย สุวิท</t>
  </si>
  <si>
    <t>บริสุทธิ์</t>
  </si>
  <si>
    <t>ศักดิ์ถาวรชัย</t>
  </si>
  <si>
    <t xml:space="preserve">นางสาว ดวงดาว </t>
  </si>
  <si>
    <t xml:space="preserve">ชุมณี </t>
  </si>
  <si>
    <t>บุญเคน</t>
  </si>
  <si>
    <t xml:space="preserve">นาย วรุตน์ </t>
  </si>
  <si>
    <t xml:space="preserve">วงศ์อามาตย์ </t>
  </si>
  <si>
    <t xml:space="preserve">นาย มานัส </t>
  </si>
  <si>
    <t xml:space="preserve">จันทร์เสนา </t>
  </si>
  <si>
    <t xml:space="preserve">นางสาว ประกายรัตน์ </t>
  </si>
  <si>
    <t xml:space="preserve">เป้งคำภา </t>
  </si>
  <si>
    <t xml:space="preserve">ปะนันโต </t>
  </si>
  <si>
    <t>นางสาว มัทนาวดี</t>
  </si>
  <si>
    <t>หัทยานนท์</t>
  </si>
  <si>
    <t>นางสาว โชติกา</t>
  </si>
  <si>
    <t>อรัญศรี</t>
  </si>
  <si>
    <t>บิลมาศ</t>
  </si>
  <si>
    <t>คงพันธุ์</t>
  </si>
  <si>
    <t>ฐาน์กาญจน์</t>
  </si>
  <si>
    <t>จินดาศรี</t>
  </si>
  <si>
    <t>นาย สมเจตน์</t>
  </si>
  <si>
    <t>วิยะรัตน์</t>
  </si>
  <si>
    <t>นาง ชไมพร</t>
  </si>
  <si>
    <t>แสงมาศ</t>
  </si>
  <si>
    <t>ประสบสม</t>
  </si>
  <si>
    <t>สุขทนารักษ์</t>
  </si>
  <si>
    <t>บุญรักษา</t>
  </si>
  <si>
    <t>รอดน้อย</t>
  </si>
  <si>
    <t>นาง รัศมีเดือน</t>
  </si>
  <si>
    <t>จิตชื่น</t>
  </si>
  <si>
    <t>ศรีนิเวศน์</t>
  </si>
  <si>
    <t>นาย นิวัฒน์</t>
  </si>
  <si>
    <t>จันทรวรชาต</t>
  </si>
  <si>
    <t>มณีใส</t>
  </si>
  <si>
    <t>สายสว่าง</t>
  </si>
  <si>
    <t>นาง ณัฐรินีย์</t>
  </si>
  <si>
    <t>จงเสถียร</t>
  </si>
  <si>
    <t>สัมพันธารักษ์</t>
  </si>
  <si>
    <t>นางสาว อมรศรี</t>
  </si>
  <si>
    <t>ตุ้ยระพิงค์</t>
  </si>
  <si>
    <t>แจ้งใจ</t>
  </si>
  <si>
    <t>ตำรับสังข์เพชร</t>
  </si>
  <si>
    <t>นาง สุธาดา</t>
  </si>
  <si>
    <t>เต็กมงคล</t>
  </si>
  <si>
    <t>เป็งนวล</t>
  </si>
  <si>
    <t>นางสาว มลธิรา</t>
  </si>
  <si>
    <t>ลิ่มอาภรณ์</t>
  </si>
  <si>
    <t>นาย ประวัติ</t>
  </si>
  <si>
    <t>อยู่เกตุ</t>
  </si>
  <si>
    <t>นาง ฉันทนา</t>
  </si>
  <si>
    <t>เชาว์สังเกตุ</t>
  </si>
  <si>
    <t>นาง พูนศรี</t>
  </si>
  <si>
    <t>สังข์โพธิ์</t>
  </si>
  <si>
    <t>ขัติย์เรือง</t>
  </si>
  <si>
    <t>นาง พันธ์ทิพย์</t>
  </si>
  <si>
    <t>สำอางศิริ</t>
  </si>
  <si>
    <t>นาย สาริน</t>
  </si>
  <si>
    <t xml:space="preserve">ดริษฐาธัญญสกุล </t>
  </si>
  <si>
    <t>คงสถิตย์</t>
  </si>
  <si>
    <t>เพิ่มสุข</t>
  </si>
  <si>
    <t>เชิงหิรัญ</t>
  </si>
  <si>
    <t>นางสาว รจรินทร์</t>
  </si>
  <si>
    <t>บุญโชติ</t>
  </si>
  <si>
    <t>ถิ่นวงษ์แย</t>
  </si>
  <si>
    <t>นาย อภินันทน์</t>
  </si>
  <si>
    <t>สกุลตั้ง</t>
  </si>
  <si>
    <t>ระวิพงษ์</t>
  </si>
  <si>
    <t>นาย ชลิต</t>
  </si>
  <si>
    <t>เล็กประสมวงษ์</t>
  </si>
  <si>
    <t>จรางกูร</t>
  </si>
  <si>
    <t>เดชะเทศ</t>
  </si>
  <si>
    <t>นาย พลพัฒน์</t>
  </si>
  <si>
    <t>ฟุ้งวิทยา</t>
  </si>
  <si>
    <t>หัตถกิจ</t>
  </si>
  <si>
    <t>นาง พีระพันธ์</t>
  </si>
  <si>
    <t>ตันธนวัฒน์</t>
  </si>
  <si>
    <t>นาง จันทิมา</t>
  </si>
  <si>
    <t>เสวกทรัพย์</t>
  </si>
  <si>
    <t>ปรีชานุวัฒน์</t>
  </si>
  <si>
    <t>ทาบทอง</t>
  </si>
  <si>
    <t>นาง กัลญา</t>
  </si>
  <si>
    <t>ทรรศนสฤษดิ์</t>
  </si>
  <si>
    <t>นาย ประจง</t>
  </si>
  <si>
    <t>สุดโต</t>
  </si>
  <si>
    <t>โตปิติ</t>
  </si>
  <si>
    <t>จิรเศวตกุล</t>
  </si>
  <si>
    <t>เพิ่มประยูร</t>
  </si>
  <si>
    <t>นาง เบ็ญจรงค์</t>
  </si>
  <si>
    <t>นาง อัมพวัลย์</t>
  </si>
  <si>
    <t>นาง เบญจพร</t>
  </si>
  <si>
    <t>นาง น้อมใจ</t>
  </si>
  <si>
    <t>อิศรางกูร ณ อยุธยา</t>
  </si>
  <si>
    <t xml:space="preserve">นาย สุรชัย </t>
  </si>
  <si>
    <t xml:space="preserve">เที่ยงอรุณ </t>
  </si>
  <si>
    <t>พนมธารีรักษ์</t>
  </si>
  <si>
    <t>นางสาว ปานจิต</t>
  </si>
  <si>
    <t>นาย สันติ์เพ็ชญ์</t>
  </si>
  <si>
    <t>มีสามเสน</t>
  </si>
  <si>
    <t>วรศานต์</t>
  </si>
  <si>
    <t>ลี้มาลี</t>
  </si>
  <si>
    <t>นาย ลพ</t>
  </si>
  <si>
    <t>เนียมงาม</t>
  </si>
  <si>
    <t>นาย ประสพโชค</t>
  </si>
  <si>
    <t>ยางสมบูรณ์</t>
  </si>
  <si>
    <t>นาย กฤษณ์</t>
  </si>
  <si>
    <t>พนมสินธุ์</t>
  </si>
  <si>
    <t>สร้อยสวัสดิ์</t>
  </si>
  <si>
    <t>วงษ์สุวรรณ์</t>
  </si>
  <si>
    <t>นาง วันทนี</t>
  </si>
  <si>
    <t>แก้วลอยมา</t>
  </si>
  <si>
    <t xml:space="preserve">แสนวงษ์ </t>
  </si>
  <si>
    <t>นาง สงบ</t>
  </si>
  <si>
    <t>ป้อมงิ้ว</t>
  </si>
  <si>
    <t>นาง ยุวดี</t>
  </si>
  <si>
    <t>นิ่มเงิน</t>
  </si>
  <si>
    <t>แก้วสมนึก</t>
  </si>
  <si>
    <t>นาง จงรัก</t>
  </si>
  <si>
    <t>จันทรไพร</t>
  </si>
  <si>
    <t>นางสาว ชนัญชิดา</t>
  </si>
  <si>
    <t>อนันต์ถาวร</t>
  </si>
  <si>
    <t>วงษายาง</t>
  </si>
  <si>
    <t>นาย ปฐม</t>
  </si>
  <si>
    <t>ญวนมี</t>
  </si>
  <si>
    <t>นาย พงศ์ดนัย</t>
  </si>
  <si>
    <t>จิตรการนทีกิจ</t>
  </si>
  <si>
    <t>พงษ์ศรีหดุลชัย</t>
  </si>
  <si>
    <t>นาง วีระภาพ</t>
  </si>
  <si>
    <t>ภูมิศรีแก้ว</t>
  </si>
  <si>
    <t xml:space="preserve">นาง กิตติ์ชญาห์ </t>
  </si>
  <si>
    <t xml:space="preserve">นาง สุวิมล </t>
  </si>
  <si>
    <t xml:space="preserve">สุขเจริญ </t>
  </si>
  <si>
    <t>นางสาว บุหงา</t>
  </si>
  <si>
    <t>จินดาวานิชสกุล</t>
  </si>
  <si>
    <t xml:space="preserve">นางสาว นพมาศ </t>
  </si>
  <si>
    <t xml:space="preserve">นิวงษา </t>
  </si>
  <si>
    <t>นางสาว ธารณ์</t>
  </si>
  <si>
    <t xml:space="preserve">ภิญโญ </t>
  </si>
  <si>
    <t>คล้ายคลึงดี</t>
  </si>
  <si>
    <t>นาย ภัทรพงศ์</t>
  </si>
  <si>
    <t>ฤกษ์ฉาย</t>
  </si>
  <si>
    <t>คำสองสี</t>
  </si>
  <si>
    <t xml:space="preserve">นาย ธีรพัชร์ </t>
  </si>
  <si>
    <t>จรเจริญ</t>
  </si>
  <si>
    <t>นางสาว จรรยา</t>
  </si>
  <si>
    <t>ทุกข์จาก</t>
  </si>
  <si>
    <t>นางสาว อ่อนศรี</t>
  </si>
  <si>
    <t>บรรคุเนิน</t>
  </si>
  <si>
    <t>นางสาว วรรณวิมล</t>
  </si>
  <si>
    <t>ทวีสุวรรณ</t>
  </si>
  <si>
    <t>นาย ณพล</t>
  </si>
  <si>
    <t>สุวรรณปักษี</t>
  </si>
  <si>
    <t>นางสาว ศวีณา</t>
  </si>
  <si>
    <t>สร้อยสังวาลย์</t>
  </si>
  <si>
    <t xml:space="preserve">นางสาว จำเลียง </t>
  </si>
  <si>
    <t>หมื่นวัน</t>
  </si>
  <si>
    <t xml:space="preserve">นางสาว ชลาลัย </t>
  </si>
  <si>
    <t xml:space="preserve">หมวดสรทิพย์ </t>
  </si>
  <si>
    <t>นางสาว ดวงพร</t>
  </si>
  <si>
    <t>ขำประดิษฐ</t>
  </si>
  <si>
    <t xml:space="preserve">โคโต </t>
  </si>
  <si>
    <t>อยู่ยืน</t>
  </si>
  <si>
    <t xml:space="preserve">นางสาว จงดี </t>
  </si>
  <si>
    <t xml:space="preserve">อ้นจันทร์ </t>
  </si>
  <si>
    <t>นาย อรรถพร</t>
  </si>
  <si>
    <t>ปิ่นปิติ</t>
  </si>
  <si>
    <t xml:space="preserve">นางสาว อรอุสา </t>
  </si>
  <si>
    <t xml:space="preserve">ลอยทะเล </t>
  </si>
  <si>
    <t xml:space="preserve">ศรีลา </t>
  </si>
  <si>
    <t xml:space="preserve">นางสาว พรภัค </t>
  </si>
  <si>
    <t>พึ่งเก็บ</t>
  </si>
  <si>
    <t xml:space="preserve">นางสาว หยาดรุ้ง </t>
  </si>
  <si>
    <t xml:space="preserve">ปากองวัน </t>
  </si>
  <si>
    <t xml:space="preserve">โล่ห์เงิน </t>
  </si>
  <si>
    <t>นางสาว สิริกาญจน์</t>
  </si>
  <si>
    <t>โภคทรัพย์</t>
  </si>
  <si>
    <t xml:space="preserve">นางสาว นาถยา </t>
  </si>
  <si>
    <t>ลักษณะวิลาศ</t>
  </si>
  <si>
    <t>สุขสดเขียว</t>
  </si>
  <si>
    <t>นางสาว ภิญญามาศ</t>
  </si>
  <si>
    <t>เจ็ดรัมย์</t>
  </si>
  <si>
    <t>นางสาว อรพิมพ์</t>
  </si>
  <si>
    <t>สุริยา</t>
  </si>
  <si>
    <t xml:space="preserve">นางสาว นิษิตา </t>
  </si>
  <si>
    <t xml:space="preserve">คำเพ็ง </t>
  </si>
  <si>
    <t>จันทร์ทอง</t>
  </si>
  <si>
    <t xml:space="preserve">นางสาว วีณา </t>
  </si>
  <si>
    <t xml:space="preserve">โตสงคราม </t>
  </si>
  <si>
    <t>นางสาว ผกามาศ</t>
  </si>
  <si>
    <t>สมาคม</t>
  </si>
  <si>
    <t>นางสาว ปวีณา</t>
  </si>
  <si>
    <t>ตระกูลลีวัฒนา</t>
  </si>
  <si>
    <t xml:space="preserve">นาย นนทบุตร </t>
  </si>
  <si>
    <t>แย้มศิริ</t>
  </si>
  <si>
    <t xml:space="preserve">นาย สกล </t>
  </si>
  <si>
    <t xml:space="preserve">เคาวสุต </t>
  </si>
  <si>
    <t xml:space="preserve">เดชคอบุตร </t>
  </si>
  <si>
    <t xml:space="preserve">นาย อภิรพร </t>
  </si>
  <si>
    <t>ชาวปากน้ำ</t>
  </si>
  <si>
    <t xml:space="preserve">นางสาว ศิริลักษณ์ </t>
  </si>
  <si>
    <t xml:space="preserve">คงสุวรรณ </t>
  </si>
  <si>
    <t>จีนชูแก้ว</t>
  </si>
  <si>
    <t>ศักดิ์สนิท</t>
  </si>
  <si>
    <t>อารีย์</t>
  </si>
  <si>
    <t>วชิรศิริ</t>
  </si>
  <si>
    <t>จันทร์ฉาย</t>
  </si>
  <si>
    <t>พึ่งพงษ์</t>
  </si>
  <si>
    <t>นาย ภัควัฒน์</t>
  </si>
  <si>
    <t>ภคพงศ์พันธุ์</t>
  </si>
  <si>
    <t>นาย ปฏิภาณ</t>
  </si>
  <si>
    <t>นาคะเวช</t>
  </si>
  <si>
    <t>ศรีเขาล้าน</t>
  </si>
  <si>
    <t>นาง ศิริกุล</t>
  </si>
  <si>
    <t>ลิบสิทธิกุล</t>
  </si>
  <si>
    <t>นาง บุญเสริม</t>
  </si>
  <si>
    <t>หนูน้อย</t>
  </si>
  <si>
    <t>นาย มลศักดิ์</t>
  </si>
  <si>
    <t>พงศ์สุพัฒน์</t>
  </si>
  <si>
    <t>คงสงฆ์</t>
  </si>
  <si>
    <t>สุทธิพันธ์</t>
  </si>
  <si>
    <t>นาง ฌัษดารา</t>
  </si>
  <si>
    <t>วินิจวุฒิวงศ์</t>
  </si>
  <si>
    <t>แสงกรณ์</t>
  </si>
  <si>
    <t>พลอยดี</t>
  </si>
  <si>
    <t>ทรัพย์มา</t>
  </si>
  <si>
    <t>นาย ธีรพล</t>
  </si>
  <si>
    <t>ชาญวารินทร์</t>
  </si>
  <si>
    <t>สุขทวี</t>
  </si>
  <si>
    <t>อู่ทรัพย์</t>
  </si>
  <si>
    <t>วงษ์สนิท</t>
  </si>
  <si>
    <t>อินทรลักษณ์</t>
  </si>
  <si>
    <t>ปริตรวดี</t>
  </si>
  <si>
    <t>นาย บุญธรรม</t>
  </si>
  <si>
    <t>แก้วระยับ</t>
  </si>
  <si>
    <t>ทีปรักษพันธุ์</t>
  </si>
  <si>
    <t>เอี่ยมนาม</t>
  </si>
  <si>
    <t>ชุติพันธ์</t>
  </si>
  <si>
    <t xml:space="preserve">นาย สมนึก </t>
  </si>
  <si>
    <t xml:space="preserve">ศรีเที่ยงตรง </t>
  </si>
  <si>
    <t>พ่วงเจริญ</t>
  </si>
  <si>
    <t>เอี่ยมละออ</t>
  </si>
  <si>
    <t xml:space="preserve">ปงลังกา </t>
  </si>
  <si>
    <t xml:space="preserve">นางสาว นันทนา </t>
  </si>
  <si>
    <t xml:space="preserve">แสนมหาเกษม </t>
  </si>
  <si>
    <t>สุนทรโสภา</t>
  </si>
  <si>
    <t>นาย ไชยยุทธ</t>
  </si>
  <si>
    <t>เทพสูตร</t>
  </si>
  <si>
    <t>นิลวงศ์</t>
  </si>
  <si>
    <t>นาย ขุนพล</t>
  </si>
  <si>
    <t>งามคง</t>
  </si>
  <si>
    <t>วงศ์เณร</t>
  </si>
  <si>
    <t>นางสาว คนึงนิตย์</t>
  </si>
  <si>
    <t>ศรีสุภาวดี</t>
  </si>
  <si>
    <t>แทนคุณ</t>
  </si>
  <si>
    <t>เกษตรสินสมบัติ</t>
  </si>
  <si>
    <t>เดชพิณ</t>
  </si>
  <si>
    <t>นาย นิวัติ</t>
  </si>
  <si>
    <t>กฤตานุสาร</t>
  </si>
  <si>
    <t>นาย พรมเมฆ</t>
  </si>
  <si>
    <t>เรืองอร่าม</t>
  </si>
  <si>
    <t>นาง รุจิรา</t>
  </si>
  <si>
    <t>นาย วิรุณ</t>
  </si>
  <si>
    <t>รักทอง</t>
  </si>
  <si>
    <t>สุเมธี</t>
  </si>
  <si>
    <t>เบ็ญจกุล</t>
  </si>
  <si>
    <t>นาง เย็นฤดี</t>
  </si>
  <si>
    <t>สินธพทอง</t>
  </si>
  <si>
    <t>นางสาว ดุจเพ็ญ</t>
  </si>
  <si>
    <t>นพศรี</t>
  </si>
  <si>
    <t>นาง อุราวรรณ</t>
  </si>
  <si>
    <t>ภู่เพ็ชร์</t>
  </si>
  <si>
    <t>นาย เมธานันท์</t>
  </si>
  <si>
    <t>บุญเก่า</t>
  </si>
  <si>
    <t>สิงหเปรม</t>
  </si>
  <si>
    <t>กุยเพชร</t>
  </si>
  <si>
    <t xml:space="preserve">นาง สุพรทิพย์ </t>
  </si>
  <si>
    <t>กำแน่น</t>
  </si>
  <si>
    <t>นางสาว เอื้ออารีย์</t>
  </si>
  <si>
    <t>นาง กัญญา</t>
  </si>
  <si>
    <t>จันวิไชย</t>
  </si>
  <si>
    <t>นาง สุจี</t>
  </si>
  <si>
    <t>ทองถึก</t>
  </si>
  <si>
    <t>หงษ์ษา</t>
  </si>
  <si>
    <t>นางสาว เพียงใจ</t>
  </si>
  <si>
    <t>น้อยดี</t>
  </si>
  <si>
    <t>สืบสมบัติ</t>
  </si>
  <si>
    <t>นาง วิไลรัตน์</t>
  </si>
  <si>
    <t>นัทธพงษ์</t>
  </si>
  <si>
    <t>นางสาว ปรียาภรณ์</t>
  </si>
  <si>
    <t>จีนจิ๋ว</t>
  </si>
  <si>
    <t>นาย โกสินทร์</t>
  </si>
  <si>
    <t xml:space="preserve">นาย สมพงษ์ </t>
  </si>
  <si>
    <t xml:space="preserve">ไก่แก้ว </t>
  </si>
  <si>
    <t xml:space="preserve">นางสาว สุจิกา </t>
  </si>
  <si>
    <t xml:space="preserve">ฉิมอ่อง </t>
  </si>
  <si>
    <t xml:space="preserve">นาย สุรศักดิ์ </t>
  </si>
  <si>
    <t>เก่งตรง</t>
  </si>
  <si>
    <t xml:space="preserve">นางสาว นริสรา </t>
  </si>
  <si>
    <t xml:space="preserve">พานพ่วง </t>
  </si>
  <si>
    <t>นางสาว เบญจพร</t>
  </si>
  <si>
    <t>ตั้งวิชัย</t>
  </si>
  <si>
    <t>นางสาว มยุรีย์</t>
  </si>
  <si>
    <t xml:space="preserve">พวงงาม </t>
  </si>
  <si>
    <t xml:space="preserve">นางสาว จริญญา </t>
  </si>
  <si>
    <t xml:space="preserve">มั่นคง </t>
  </si>
  <si>
    <t>นางสาว กษมา</t>
  </si>
  <si>
    <t xml:space="preserve">เชิงฉลาด </t>
  </si>
  <si>
    <t xml:space="preserve">นางสาว วาสนา </t>
  </si>
  <si>
    <t xml:space="preserve">แก้วใหญ่ </t>
  </si>
  <si>
    <t xml:space="preserve">นาง สุพาพร </t>
  </si>
  <si>
    <t xml:space="preserve">สมพงษ์ </t>
  </si>
  <si>
    <t xml:space="preserve">นางสาว ธนนันท์ </t>
  </si>
  <si>
    <t xml:space="preserve">สนสาขา </t>
  </si>
  <si>
    <t xml:space="preserve">กฤตานุสาร </t>
  </si>
  <si>
    <t>นางสาว หทัยทิพย์</t>
  </si>
  <si>
    <t xml:space="preserve">สามพันพวง </t>
  </si>
  <si>
    <t xml:space="preserve">นาย เจริญ </t>
  </si>
  <si>
    <t xml:space="preserve">จักขุจันทร์ </t>
  </si>
  <si>
    <t xml:space="preserve">กิจวัฒนาภากรณ์ </t>
  </si>
  <si>
    <t xml:space="preserve">นาย เกียรติศักดิ์ </t>
  </si>
  <si>
    <t xml:space="preserve">จันทเวช </t>
  </si>
  <si>
    <t>นาย ธนู</t>
  </si>
  <si>
    <t>แก้วสา</t>
  </si>
  <si>
    <t>คงมีสุข</t>
  </si>
  <si>
    <t xml:space="preserve">นางสาว จันทนี </t>
  </si>
  <si>
    <t xml:space="preserve">โจมกลาง </t>
  </si>
  <si>
    <t>พูลแก้ว</t>
  </si>
  <si>
    <t>นาย สมมาด</t>
  </si>
  <si>
    <t>นิ่มกร</t>
  </si>
  <si>
    <t>พรรณวิชัย</t>
  </si>
  <si>
    <t>นาง เดือนฉาย</t>
  </si>
  <si>
    <t>ค่ำอำนวย</t>
  </si>
  <si>
    <t>นักเคน</t>
  </si>
  <si>
    <t>บำรุงกิจ</t>
  </si>
  <si>
    <t>กิตติธนพงศ์</t>
  </si>
  <si>
    <t>วานิชกุล</t>
  </si>
  <si>
    <t>นาย สุระเชษฐ์</t>
  </si>
  <si>
    <t>นาโสม</t>
  </si>
  <si>
    <t>นาง ปรียกุล</t>
  </si>
  <si>
    <t>โมกขศักดิ์</t>
  </si>
  <si>
    <t>ภัทรานันท์</t>
  </si>
  <si>
    <t>นาย ทองพูล</t>
  </si>
  <si>
    <t>แก้วโสนด</t>
  </si>
  <si>
    <t>นาง นพพร</t>
  </si>
  <si>
    <t>เจริญ</t>
  </si>
  <si>
    <t>แหเลิศตระกูล</t>
  </si>
  <si>
    <t>พิชัยรัตน์</t>
  </si>
  <si>
    <t xml:space="preserve">นาง ศิรประภา </t>
  </si>
  <si>
    <t>แสงอรุณทวี</t>
  </si>
  <si>
    <t>นาย เรวัฒน์</t>
  </si>
  <si>
    <t>ไวว่อง</t>
  </si>
  <si>
    <t>พรายแก้ว</t>
  </si>
  <si>
    <t>นาง พิมพา</t>
  </si>
  <si>
    <t>ศิลปชัย</t>
  </si>
  <si>
    <t xml:space="preserve">นาย สุรพล </t>
  </si>
  <si>
    <t xml:space="preserve">พลธร </t>
  </si>
  <si>
    <t>นาง บุญเยี่ยม</t>
  </si>
  <si>
    <t>นาง นันธพร</t>
  </si>
  <si>
    <t>ทิพยาวงษ์</t>
  </si>
  <si>
    <t xml:space="preserve">นาย ภาวิต </t>
  </si>
  <si>
    <t xml:space="preserve">ลี้ศิริเสริญ </t>
  </si>
  <si>
    <t xml:space="preserve">นาง พรรณทิพา </t>
  </si>
  <si>
    <t xml:space="preserve">สุนทรสัจ </t>
  </si>
  <si>
    <t xml:space="preserve">นางสาว ภัทรานุช </t>
  </si>
  <si>
    <t>นาย ยศพนธ์</t>
  </si>
  <si>
    <t>ทัพพระจันทร์</t>
  </si>
  <si>
    <t>นาย เทอดศักดิ์</t>
  </si>
  <si>
    <t>สถิตย์มั่น</t>
  </si>
  <si>
    <t>นาย วีระโชติ</t>
  </si>
  <si>
    <t>วงศ์อินทร์</t>
  </si>
  <si>
    <t>ทิพย์พรม</t>
  </si>
  <si>
    <t>สว่างอุระ</t>
  </si>
  <si>
    <t>นาย ฐิติชูพันธ์</t>
  </si>
  <si>
    <t>สุนทรสัจ</t>
  </si>
  <si>
    <t>นาย สุรพร</t>
  </si>
  <si>
    <t>พงศ์ประเสริฐชัย</t>
  </si>
  <si>
    <t>นาย สุนันต์</t>
  </si>
  <si>
    <t>พยัคฆ์ฤทธิ์</t>
  </si>
  <si>
    <t>นาง สมมาส</t>
  </si>
  <si>
    <t>วงษ์จันทรา</t>
  </si>
  <si>
    <t>นาย หอม</t>
  </si>
  <si>
    <t>เกษรศิริ</t>
  </si>
  <si>
    <t>วัฒนวิเชียร</t>
  </si>
  <si>
    <t>นาง ณัฐกานต์</t>
  </si>
  <si>
    <t>อินทวงษ์</t>
  </si>
  <si>
    <t>ลำนุวา</t>
  </si>
  <si>
    <t>นางสาว สุชานาฏ</t>
  </si>
  <si>
    <t>ทับทิมงาม</t>
  </si>
  <si>
    <t>เม่นต้นสาย</t>
  </si>
  <si>
    <t>นางสาว เธียรรัตน์</t>
  </si>
  <si>
    <t>สมบัติทยานนท์</t>
  </si>
  <si>
    <t>นาง พัชรีพร</t>
  </si>
  <si>
    <t>ไชยสาร</t>
  </si>
  <si>
    <t xml:space="preserve">เกตุสวัสดิ์ </t>
  </si>
  <si>
    <t xml:space="preserve">นาย ณัฐพงศ์ </t>
  </si>
  <si>
    <t xml:space="preserve">เกษประเสริฐ </t>
  </si>
  <si>
    <t>พรมที</t>
  </si>
  <si>
    <t>นางสาว วรัฏฐยา</t>
  </si>
  <si>
    <t>บุญขวัญ</t>
  </si>
  <si>
    <t>วงษ์บัวงาม</t>
  </si>
  <si>
    <t>ดวงประชา</t>
  </si>
  <si>
    <t>นาง เข็มทราย</t>
  </si>
  <si>
    <t>พิมพ์หนู</t>
  </si>
  <si>
    <t xml:space="preserve">นาง สลิลพิชญ์ </t>
  </si>
  <si>
    <t xml:space="preserve">ว่าที่ ร.ต. จารุวัฒน์ </t>
  </si>
  <si>
    <t xml:space="preserve">บุญคุ้ม </t>
  </si>
  <si>
    <t>ปิ่นกลาง</t>
  </si>
  <si>
    <t xml:space="preserve">นางสาว จริยา </t>
  </si>
  <si>
    <t xml:space="preserve">มนเทียรอาจ </t>
  </si>
  <si>
    <t>บุญคุณ</t>
  </si>
  <si>
    <t xml:space="preserve">นาย ศักดิ์ชัย </t>
  </si>
  <si>
    <t xml:space="preserve">เนตรคุณ </t>
  </si>
  <si>
    <t xml:space="preserve">ยงกสิกรรม </t>
  </si>
  <si>
    <t xml:space="preserve">นุชโพธิ์พันธุ์ </t>
  </si>
  <si>
    <t xml:space="preserve">นาย นันทวุฒิ </t>
  </si>
  <si>
    <t xml:space="preserve">จันทร์ปาน </t>
  </si>
  <si>
    <t xml:space="preserve">ไทรเทพยิ้ม </t>
  </si>
  <si>
    <t xml:space="preserve">นางสาว สรัลรัตน์ </t>
  </si>
  <si>
    <t xml:space="preserve">จำเดิม </t>
  </si>
  <si>
    <t>นาย ญาณวุฒิ</t>
  </si>
  <si>
    <t>แทบทาน</t>
  </si>
  <si>
    <t>นางสาว ณัทณลัลน์</t>
  </si>
  <si>
    <t>เรืองธนอภัยสุข</t>
  </si>
  <si>
    <t>นางสาว ปทุมมาลย์</t>
  </si>
  <si>
    <t>นาคสมพันธ์</t>
  </si>
  <si>
    <t>นางสาว อารีรัตน์</t>
  </si>
  <si>
    <t>อุนาท</t>
  </si>
  <si>
    <t>ไทยเกื้อ</t>
  </si>
  <si>
    <t>จันทร์ทองโชติ</t>
  </si>
  <si>
    <t>นาง จีรพรรณ</t>
  </si>
  <si>
    <t>สุวรรณรักษ์</t>
  </si>
  <si>
    <t>พ.จ.ต. ชม</t>
  </si>
  <si>
    <t>เทพรักษ์</t>
  </si>
  <si>
    <t>จุลเอียด</t>
  </si>
  <si>
    <t>จันทรสกุล</t>
  </si>
  <si>
    <t>นาย โกสิทธิ์</t>
  </si>
  <si>
    <t>อ่องวุฒิวัฒน์</t>
  </si>
  <si>
    <t>แก้วเลี่ยม</t>
  </si>
  <si>
    <t>นาย ภักดี</t>
  </si>
  <si>
    <t>ธรรมเจริญ</t>
  </si>
  <si>
    <t>เพ็ชร์สังข์</t>
  </si>
  <si>
    <t>นาย บุญเสริญ</t>
  </si>
  <si>
    <t>เส้งสุ้น</t>
  </si>
  <si>
    <t>นาง วัลยา</t>
  </si>
  <si>
    <t>แก้ววิจิตร</t>
  </si>
  <si>
    <t>นางสาว ยุพิณ</t>
  </si>
  <si>
    <t>นาง โสพิศ</t>
  </si>
  <si>
    <t>ตะเล็ม</t>
  </si>
  <si>
    <t>นาย สมาแอ</t>
  </si>
  <si>
    <t>มะมิง</t>
  </si>
  <si>
    <t>จันทร์ศรี</t>
  </si>
  <si>
    <t>นาง ธัญลักษณ์</t>
  </si>
  <si>
    <t>ทองบุญล้อม</t>
  </si>
  <si>
    <t>นาย ทรงธรรม</t>
  </si>
  <si>
    <t>บัวทองสุข</t>
  </si>
  <si>
    <t>นาย วิญญู</t>
  </si>
  <si>
    <t>บุญหลง</t>
  </si>
  <si>
    <t>นาง เสาวณีย์</t>
  </si>
  <si>
    <t>ศิริวัฒน์</t>
  </si>
  <si>
    <t>ภาพประดิษฐ์</t>
  </si>
  <si>
    <t>นางสาว สมีนูรวานีตา</t>
  </si>
  <si>
    <t>มะแด</t>
  </si>
  <si>
    <t>ตีบเจริญ</t>
  </si>
  <si>
    <t>กันกาญจนะ</t>
  </si>
  <si>
    <t>นาย จิตต์</t>
  </si>
  <si>
    <t>เหมพนม</t>
  </si>
  <si>
    <t>นางสาว รัชณีวรรณ</t>
  </si>
  <si>
    <t>จุลบุตร</t>
  </si>
  <si>
    <t>เสสน</t>
  </si>
  <si>
    <t>เพ็ชรศิริ</t>
  </si>
  <si>
    <t>นาง จรวยพร</t>
  </si>
  <si>
    <t>นัคราบัณฑิตย์</t>
  </si>
  <si>
    <t>นาย ยุวนันท์</t>
  </si>
  <si>
    <t>หลงมิหนา</t>
  </si>
  <si>
    <t>นาย นราศักดิ์</t>
  </si>
  <si>
    <t>ชุมแก้ว</t>
  </si>
  <si>
    <t xml:space="preserve">อุบล </t>
  </si>
  <si>
    <t xml:space="preserve">นาย กอเดร์ </t>
  </si>
  <si>
    <t xml:space="preserve">สลำเหม </t>
  </si>
  <si>
    <t>นาง วรลักษณ์</t>
  </si>
  <si>
    <t>มุกดารัตน์</t>
  </si>
  <si>
    <t>นาง สุภัควี</t>
  </si>
  <si>
    <t xml:space="preserve">บุญมี </t>
  </si>
  <si>
    <t>นางสาว นุชนาฎ</t>
  </si>
  <si>
    <t xml:space="preserve">ณ พัทลุง </t>
  </si>
  <si>
    <t xml:space="preserve">นางสาว พนารัตน์ </t>
  </si>
  <si>
    <t xml:space="preserve">คงมัยลิก </t>
  </si>
  <si>
    <t>อุปถัมภ์</t>
  </si>
  <si>
    <t>นาง สิรินาฏ</t>
  </si>
  <si>
    <t>แก้วทอน</t>
  </si>
  <si>
    <t>นาง อัสนี</t>
  </si>
  <si>
    <t>เจะสุ</t>
  </si>
  <si>
    <t>นาง เจษฎา</t>
  </si>
  <si>
    <t>ธัมมิกะกุล</t>
  </si>
  <si>
    <t>ฤทธิชัย</t>
  </si>
  <si>
    <t>นาย เฉลิมเกียรติ</t>
  </si>
  <si>
    <t>รอดแสง</t>
  </si>
  <si>
    <t>ยอดนุ้ย</t>
  </si>
  <si>
    <t>นาย จำเดิม</t>
  </si>
  <si>
    <t>นาย วินิตย์</t>
  </si>
  <si>
    <t>นาย นิโลม</t>
  </si>
  <si>
    <t>ศรีทองแก้ว</t>
  </si>
  <si>
    <t>นาย โชคดี</t>
  </si>
  <si>
    <t>จันทร์ดำ</t>
  </si>
  <si>
    <t>พรหมเพ็ชร</t>
  </si>
  <si>
    <t>นาง อดิศา</t>
  </si>
  <si>
    <t>งามเจริญกุล</t>
  </si>
  <si>
    <t>จีนหมวกดำ</t>
  </si>
  <si>
    <t>นาง วาฑู</t>
  </si>
  <si>
    <t>ศรนารายณ์</t>
  </si>
  <si>
    <t>วิรุณสาร</t>
  </si>
  <si>
    <t>นาย นิอัสกันดาร์</t>
  </si>
  <si>
    <t>ระเด่นอาหมัด</t>
  </si>
  <si>
    <t>นาง เมที</t>
  </si>
  <si>
    <t>ไชยสี</t>
  </si>
  <si>
    <t>นาง ซารีฮะ</t>
  </si>
  <si>
    <t>อาดหมาด</t>
  </si>
  <si>
    <t>เปาะเสาะ</t>
  </si>
  <si>
    <t>นางสาว ลาวัณย์</t>
  </si>
  <si>
    <t>สังข์วัดชุม</t>
  </si>
  <si>
    <t>นางสาว รัฐพร</t>
  </si>
  <si>
    <t>นางสาว พรเพ็ญ</t>
  </si>
  <si>
    <t>สุวัฒนกุล</t>
  </si>
  <si>
    <t>นาง รอกีเยาะ</t>
  </si>
  <si>
    <t>วามะ</t>
  </si>
  <si>
    <t>นาย โซฟัน</t>
  </si>
  <si>
    <t>นาย ภูมินทร์</t>
  </si>
  <si>
    <t>จันทพิมล</t>
  </si>
  <si>
    <t>ชูเจริญ</t>
  </si>
  <si>
    <t>ประดู่</t>
  </si>
  <si>
    <t>นาง แสงดาว</t>
  </si>
  <si>
    <t>นางสาว ไหมอุมา</t>
  </si>
  <si>
    <t>บัวแก้ว</t>
  </si>
  <si>
    <t>นางสาว นูรยานี</t>
  </si>
  <si>
    <t>สามะอาลี</t>
  </si>
  <si>
    <t>หวานดี</t>
  </si>
  <si>
    <t>นาย ฮาเซม</t>
  </si>
  <si>
    <t>ดอเล๊าะ</t>
  </si>
  <si>
    <t>นาง นัสรีน</t>
  </si>
  <si>
    <t>บากา</t>
  </si>
  <si>
    <t>เสาร์พูล</t>
  </si>
  <si>
    <t>นาย แวยีดิง</t>
  </si>
  <si>
    <t>แวสะมาแอ</t>
  </si>
  <si>
    <t>นาง สุไกย๊ะ</t>
  </si>
  <si>
    <t xml:space="preserve">ดำทอง </t>
  </si>
  <si>
    <t>นาย กวี</t>
  </si>
  <si>
    <t>ดำพลับ</t>
  </si>
  <si>
    <t>นาย เตาเพชร์</t>
  </si>
  <si>
    <t>สิเดะ</t>
  </si>
  <si>
    <t>นางสาว เครือมาศ</t>
  </si>
  <si>
    <t>รอดบน</t>
  </si>
  <si>
    <t xml:space="preserve">ช่วงรัตน์ </t>
  </si>
  <si>
    <t xml:space="preserve">นาย วีระชัย </t>
  </si>
  <si>
    <t xml:space="preserve">เพ็ชรทอง </t>
  </si>
  <si>
    <t xml:space="preserve">นาง ฆอรีเยาะ </t>
  </si>
  <si>
    <t xml:space="preserve">เสนาะจิต </t>
  </si>
  <si>
    <t xml:space="preserve">นาย เลิศพงษ์ </t>
  </si>
  <si>
    <t xml:space="preserve">กันภัย </t>
  </si>
  <si>
    <t xml:space="preserve">นาย ชัยยศ </t>
  </si>
  <si>
    <t xml:space="preserve">โลหภาษัย </t>
  </si>
  <si>
    <t xml:space="preserve">นางสาว นูเรน </t>
  </si>
  <si>
    <t>นางสาว นริสา</t>
  </si>
  <si>
    <t>มะแซ</t>
  </si>
  <si>
    <t xml:space="preserve">นางสาว นิศานาถ </t>
  </si>
  <si>
    <t xml:space="preserve">บัวทอง </t>
  </si>
  <si>
    <t>นางสาว วันทนีย์</t>
  </si>
  <si>
    <t>อุสมันบาฮา</t>
  </si>
  <si>
    <t>นาย เจตน์</t>
  </si>
  <si>
    <t>คงพิทักษ์</t>
  </si>
  <si>
    <t>นาง นุชนารถ</t>
  </si>
  <si>
    <t>ฮุนตระกูล</t>
  </si>
  <si>
    <t>นาย อารอฟัต</t>
  </si>
  <si>
    <t>มะแอ</t>
  </si>
  <si>
    <t xml:space="preserve">นาง นิอัลยา </t>
  </si>
  <si>
    <t>มือลี</t>
  </si>
  <si>
    <t>สุขสุวรรณ</t>
  </si>
  <si>
    <t>นาง ยัสมีน</t>
  </si>
  <si>
    <t>เมซา</t>
  </si>
  <si>
    <t xml:space="preserve">นาย โซฮัน </t>
  </si>
  <si>
    <t xml:space="preserve">นางสาว อนงค์นาถ </t>
  </si>
  <si>
    <t xml:space="preserve">สอนเศษ </t>
  </si>
  <si>
    <t xml:space="preserve">นางสาว นูรีซัน </t>
  </si>
  <si>
    <t xml:space="preserve">บูยา </t>
  </si>
  <si>
    <t xml:space="preserve">หวันประรัตน์ </t>
  </si>
  <si>
    <t xml:space="preserve">นาย อุสมัน </t>
  </si>
  <si>
    <t xml:space="preserve">อาบู </t>
  </si>
  <si>
    <t xml:space="preserve">นางสาว ฟานีซาน </t>
  </si>
  <si>
    <t>เจะดาแม</t>
  </si>
  <si>
    <t xml:space="preserve">นางสาว ยาวารี </t>
  </si>
  <si>
    <t xml:space="preserve">นาย พิพัฒน์ </t>
  </si>
  <si>
    <t>นางสาว นิธิมา</t>
  </si>
  <si>
    <t>ชูนุ้ย</t>
  </si>
  <si>
    <t>นาง ยูวาเฮ</t>
  </si>
  <si>
    <t>ดาหะมิ</t>
  </si>
  <si>
    <t xml:space="preserve">นางสาว มารีณี </t>
  </si>
  <si>
    <t>สลำหมาด</t>
  </si>
  <si>
    <t>นาง อริยา</t>
  </si>
  <si>
    <t>แก้วพิมล</t>
  </si>
  <si>
    <t xml:space="preserve">นาย กิตติ </t>
  </si>
  <si>
    <t xml:space="preserve">เพชรวงษ์ </t>
  </si>
  <si>
    <t>นางสาว อัฟวาน</t>
  </si>
  <si>
    <t>อุเซ็ง</t>
  </si>
  <si>
    <t>นาง สมจิตต์</t>
  </si>
  <si>
    <t>สิงหกันต์</t>
  </si>
  <si>
    <t>ศรีแย้ม</t>
  </si>
  <si>
    <t>ทองชมภูนุช</t>
  </si>
  <si>
    <t>คมคาย</t>
  </si>
  <si>
    <t>ก้อนแก้ว</t>
  </si>
  <si>
    <t>สุขสิงขร</t>
  </si>
  <si>
    <t>สรรพวัตร</t>
  </si>
  <si>
    <t>ขุมเพ็ชร์</t>
  </si>
  <si>
    <t>กิจขันธ์</t>
  </si>
  <si>
    <t>นาย ศุภวัฒณ์</t>
  </si>
  <si>
    <t>นางสาว ประภา</t>
  </si>
  <si>
    <t>สตาภิรมย์</t>
  </si>
  <si>
    <t>เฉลิมสิทธิพงษ์</t>
  </si>
  <si>
    <t>อจลานนท์</t>
  </si>
  <si>
    <t>นาย วิวัฒน์</t>
  </si>
  <si>
    <t>วรวาท</t>
  </si>
  <si>
    <t>นางสาว ชนิตา</t>
  </si>
  <si>
    <t>เต้าประเสริฐ</t>
  </si>
  <si>
    <t>นางสาว อัจฉราวรรณ</t>
  </si>
  <si>
    <t>โรจนนาค</t>
  </si>
  <si>
    <t>สังข์มงคล</t>
  </si>
  <si>
    <t>นาง อรไท</t>
  </si>
  <si>
    <t>กลิ่นศรีสุข</t>
  </si>
  <si>
    <t>มูลจันทร์</t>
  </si>
  <si>
    <t>นาง อนัญพร</t>
  </si>
  <si>
    <t>มากผาสุข</t>
  </si>
  <si>
    <t>นาย ธีรยุทธ</t>
  </si>
  <si>
    <t>รู้ทำนอง</t>
  </si>
  <si>
    <t>สีดารักษ์</t>
  </si>
  <si>
    <t>ผลหมู่</t>
  </si>
  <si>
    <t>ดัดวงษ์</t>
  </si>
  <si>
    <t>ธรรมประสิทธิ์</t>
  </si>
  <si>
    <t>นาย อติศักดิ์</t>
  </si>
  <si>
    <t>แสงอาภรณ์</t>
  </si>
  <si>
    <t>จารี</t>
  </si>
  <si>
    <t>นาย นภดล</t>
  </si>
  <si>
    <t>วิทยาภรณ์</t>
  </si>
  <si>
    <t>นาง ดลพร</t>
  </si>
  <si>
    <t>ขวัญกลับ</t>
  </si>
  <si>
    <t>ดีชื่น</t>
  </si>
  <si>
    <t>ดอนจันทร์ทอง</t>
  </si>
  <si>
    <t>อุสาหะ</t>
  </si>
  <si>
    <t>ยอดเพชร</t>
  </si>
  <si>
    <t>คันธรักษ์</t>
  </si>
  <si>
    <t>อักษรนิตย์</t>
  </si>
  <si>
    <t>นาย บัญทูล</t>
  </si>
  <si>
    <t>กรหมี</t>
  </si>
  <si>
    <t>ประสงค์ธรรม</t>
  </si>
  <si>
    <t>บำรุงราชภักดี</t>
  </si>
  <si>
    <t>นาย พินิต</t>
  </si>
  <si>
    <t>พูนพิพัฒน์</t>
  </si>
  <si>
    <t>นาย นิพัทธิ์</t>
  </si>
  <si>
    <t>โพทอง</t>
  </si>
  <si>
    <t>วรพุฒิ</t>
  </si>
  <si>
    <t>นาง กรณิการ์</t>
  </si>
  <si>
    <t>ยุกตะนันทน์</t>
  </si>
  <si>
    <t>อรรถาเวช</t>
  </si>
  <si>
    <t>ธารมัติ</t>
  </si>
  <si>
    <t>นาย กิตติพล</t>
  </si>
  <si>
    <t>เทพคเชนทร์</t>
  </si>
  <si>
    <t>เรืองปราชญ์</t>
  </si>
  <si>
    <t>นาง จุฬาวรรณ</t>
  </si>
  <si>
    <t>อุดมกิตติ</t>
  </si>
  <si>
    <t>นาย ชนาธิป</t>
  </si>
  <si>
    <t>ภาคอินทรีย์</t>
  </si>
  <si>
    <t>ขันธพัทธ์</t>
  </si>
  <si>
    <t>วงศ์ศรีวิวัฒน์</t>
  </si>
  <si>
    <t>สุวินทรากร</t>
  </si>
  <si>
    <t>นางสาว ละเอียด</t>
  </si>
  <si>
    <t>บรรจงศิริ</t>
  </si>
  <si>
    <t>นาง อนงค์ทิพย์</t>
  </si>
  <si>
    <t>นาง ธนัยนันท์</t>
  </si>
  <si>
    <t>ประสมเพชรหิรัญ</t>
  </si>
  <si>
    <t>คงสมทอง</t>
  </si>
  <si>
    <t>ไตรพจน์</t>
  </si>
  <si>
    <t>นาง เสาวคนธ์</t>
  </si>
  <si>
    <t>โสภารัตน์</t>
  </si>
  <si>
    <t>สุคนธสังข์</t>
  </si>
  <si>
    <t>ธนพัชร์อมรกุล</t>
  </si>
  <si>
    <t>ถาวรกัลปชัย</t>
  </si>
  <si>
    <t>เพ่งสุข</t>
  </si>
  <si>
    <t>นาย บุญเชิด</t>
  </si>
  <si>
    <t>เรืองอนันต์</t>
  </si>
  <si>
    <t xml:space="preserve">นาย วรศิลป์ </t>
  </si>
  <si>
    <t>ธารีเพียร</t>
  </si>
  <si>
    <t xml:space="preserve">นาย จินดา </t>
  </si>
  <si>
    <t>สุขะเกตุ</t>
  </si>
  <si>
    <t xml:space="preserve">นาง จิราภา </t>
  </si>
  <si>
    <t xml:space="preserve">เรือนทอง </t>
  </si>
  <si>
    <t>บำรุงจิตต์</t>
  </si>
  <si>
    <t>นาย นายธนภัทร</t>
  </si>
  <si>
    <t>ศักดิ์กมลทรัพย์</t>
  </si>
  <si>
    <t>อธิพงษ์อาภรณ์</t>
  </si>
  <si>
    <t>นางสาว อุบลวรรณา</t>
  </si>
  <si>
    <t>เกิดแจ้ง</t>
  </si>
  <si>
    <t>ชำนาญธรรม</t>
  </si>
  <si>
    <t>ทับทอง</t>
  </si>
  <si>
    <t>นาง สมควร</t>
  </si>
  <si>
    <t>คัมภีราวัฒน์</t>
  </si>
  <si>
    <t>นางสาว ทิวา</t>
  </si>
  <si>
    <t>บุบผาประเสริฐ</t>
  </si>
  <si>
    <t xml:space="preserve">นางสาว ชริณทิพย์ </t>
  </si>
  <si>
    <t xml:space="preserve">คงสมยุติ </t>
  </si>
  <si>
    <t>นาง สุวรรณ์</t>
  </si>
  <si>
    <t>แววประดิษฐ</t>
  </si>
  <si>
    <t xml:space="preserve">นาย ณัฐศิษฏ์ </t>
  </si>
  <si>
    <t>ลอยผา</t>
  </si>
  <si>
    <t xml:space="preserve">นาง มณี </t>
  </si>
  <si>
    <t xml:space="preserve">พันธุ์ชัย </t>
  </si>
  <si>
    <t xml:space="preserve">นาย นครินทร์ </t>
  </si>
  <si>
    <t xml:space="preserve">โพธาสินธ์ </t>
  </si>
  <si>
    <t xml:space="preserve">นางสาว ปิยนันท์ </t>
  </si>
  <si>
    <t xml:space="preserve">เพชรทองเกลี้ยง </t>
  </si>
  <si>
    <t>พิมพ์สุวรรณ</t>
  </si>
  <si>
    <t>นาย พิธาน</t>
  </si>
  <si>
    <t>แจ้งเจริญ</t>
  </si>
  <si>
    <t xml:space="preserve">บุญเพชรแก้ว </t>
  </si>
  <si>
    <t xml:space="preserve">กลิ่นพุฒซ้อน </t>
  </si>
  <si>
    <t xml:space="preserve">นางสาว เพ็ญประภา </t>
  </si>
  <si>
    <t xml:space="preserve">ราหุล </t>
  </si>
  <si>
    <t>นาง จารึก</t>
  </si>
  <si>
    <t>กล่อมเกลี้ยง</t>
  </si>
  <si>
    <t>นาย สุวัจน์</t>
  </si>
  <si>
    <t>หวังมาน</t>
  </si>
  <si>
    <t>สาตรสมัย</t>
  </si>
  <si>
    <t>สีนากสุก</t>
  </si>
  <si>
    <t>นางสาว วิภาดา</t>
  </si>
  <si>
    <t>สุภานันท์</t>
  </si>
  <si>
    <t xml:space="preserve">นาย นฤภพ </t>
  </si>
  <si>
    <t>เข็มเงิน</t>
  </si>
  <si>
    <t>ตรีมรรค</t>
  </si>
  <si>
    <t>แย้มประชา</t>
  </si>
  <si>
    <t>เกษตรภิบาล</t>
  </si>
  <si>
    <t>จันทนา</t>
  </si>
  <si>
    <t>นาง ยุรี</t>
  </si>
  <si>
    <t>ศศิรัตน์</t>
  </si>
  <si>
    <t>นาย เสวก</t>
  </si>
  <si>
    <t>สัมฤทธินันท์</t>
  </si>
  <si>
    <t>นาง ไสลทิพย์</t>
  </si>
  <si>
    <t>โชติพันธ์</t>
  </si>
  <si>
    <t>ผดุงทรง</t>
  </si>
  <si>
    <t>นาง ทัศนี</t>
  </si>
  <si>
    <t>ไกรภพ</t>
  </si>
  <si>
    <t>นาง นัตยาภรณ์</t>
  </si>
  <si>
    <t>แสงรัตนธงชัย</t>
  </si>
  <si>
    <t>ยิ้มศิริ</t>
  </si>
  <si>
    <t>นาย วรชันย์</t>
  </si>
  <si>
    <t>หลักกรด</t>
  </si>
  <si>
    <t>แสงอุ่น</t>
  </si>
  <si>
    <t>นางสาว ธนภรณ์</t>
  </si>
  <si>
    <t>อินทร์คง</t>
  </si>
  <si>
    <t>นางสาว ดุสิตตา</t>
  </si>
  <si>
    <t>ศรีกระจิบ</t>
  </si>
  <si>
    <t>นาง ขวัญทิชา</t>
  </si>
  <si>
    <t>กิจบำรุง</t>
  </si>
  <si>
    <t>นางสาว รัชดาภร</t>
  </si>
  <si>
    <t>ไตรราช</t>
  </si>
  <si>
    <t>จิตรีการ</t>
  </si>
  <si>
    <t xml:space="preserve">นางสาว นพธีรา </t>
  </si>
  <si>
    <t xml:space="preserve">นวลศรี </t>
  </si>
  <si>
    <t>นาง พัทธวรรณ</t>
  </si>
  <si>
    <t>สมดัง</t>
  </si>
  <si>
    <t>แก้วงอก</t>
  </si>
  <si>
    <t xml:space="preserve">นาย ธัญญะ </t>
  </si>
  <si>
    <t xml:space="preserve">หามนตรี </t>
  </si>
  <si>
    <t>ธงทอง</t>
  </si>
  <si>
    <t>นางสาว อรอารีย์</t>
  </si>
  <si>
    <t>คงเกษม</t>
  </si>
  <si>
    <t>หัวใจเพชร</t>
  </si>
  <si>
    <t>นางสาว อรุชา</t>
  </si>
  <si>
    <t>มณฑปใหญ่</t>
  </si>
  <si>
    <t>นางสาว สกาวรัตน์</t>
  </si>
  <si>
    <t>นาเมืองรักษ์</t>
  </si>
  <si>
    <t xml:space="preserve">นาง พรพรรณ </t>
  </si>
  <si>
    <t>จันทร์เนียม</t>
  </si>
  <si>
    <t xml:space="preserve">นาย สหัฐฒะชัย </t>
  </si>
  <si>
    <t>ฮดฤาชา</t>
  </si>
  <si>
    <t xml:space="preserve">นางสาว เมธาพร </t>
  </si>
  <si>
    <t xml:space="preserve">ลมัยศรี </t>
  </si>
  <si>
    <t xml:space="preserve">นาย จิรวัฒน์ </t>
  </si>
  <si>
    <t xml:space="preserve">หาเรือนมิตร </t>
  </si>
  <si>
    <t xml:space="preserve">นางสาว ภัทราพันธุ์ </t>
  </si>
  <si>
    <t xml:space="preserve">สุขสมเพิ่ม </t>
  </si>
  <si>
    <t xml:space="preserve">นางสาว ฉัตรลดา </t>
  </si>
  <si>
    <t xml:space="preserve">เทพทร </t>
  </si>
  <si>
    <t xml:space="preserve">นางสาว ทัศนันต์ </t>
  </si>
  <si>
    <t xml:space="preserve">ตรีโมกข์ </t>
  </si>
  <si>
    <t>นาย อโนชา</t>
  </si>
  <si>
    <t>นัยสุภาพ</t>
  </si>
  <si>
    <t xml:space="preserve">นางสาว ไขขวัญ </t>
  </si>
  <si>
    <t xml:space="preserve">กองจันทร์ </t>
  </si>
  <si>
    <t xml:space="preserve">นาย วัชระ </t>
  </si>
  <si>
    <t xml:space="preserve">แจ่มฟ้า </t>
  </si>
  <si>
    <t xml:space="preserve">นางสาว ดวงพร </t>
  </si>
  <si>
    <t xml:space="preserve">นันทิกะ </t>
  </si>
  <si>
    <t xml:space="preserve">นางสาว ชญาณิศา </t>
  </si>
  <si>
    <t xml:space="preserve">เปรมสุข </t>
  </si>
  <si>
    <t xml:space="preserve">นางสาว ปานเลขา </t>
  </si>
  <si>
    <t xml:space="preserve">สำรวล </t>
  </si>
  <si>
    <t>ช่างสาร</t>
  </si>
  <si>
    <t>ไกรสอาด</t>
  </si>
  <si>
    <t>มโนรัตน์</t>
  </si>
  <si>
    <t>นางสาว อิทธิญา</t>
  </si>
  <si>
    <t>พึ่งเป็นสุข</t>
  </si>
  <si>
    <t>นาย บรรยาย</t>
  </si>
  <si>
    <t>สมเรือง</t>
  </si>
  <si>
    <t>ปภูสะโร</t>
  </si>
  <si>
    <t xml:space="preserve">นางสาว ชลลัดดา </t>
  </si>
  <si>
    <t>ยอดระยับ</t>
  </si>
  <si>
    <t>สอนชา</t>
  </si>
  <si>
    <t>นาง วาณี</t>
  </si>
  <si>
    <t>แดงมา</t>
  </si>
  <si>
    <t xml:space="preserve">นางสาว ทิพย์นันทา </t>
  </si>
  <si>
    <t>นางสาว ณัฐชยา</t>
  </si>
  <si>
    <t>งามลาภ</t>
  </si>
  <si>
    <t xml:space="preserve">นาง สิริมา </t>
  </si>
  <si>
    <t xml:space="preserve">เต่าคำ </t>
  </si>
  <si>
    <t>นาย ธีรเชษฐ์</t>
  </si>
  <si>
    <t>เต่าคำ</t>
  </si>
  <si>
    <t>นางสาว ศจี</t>
  </si>
  <si>
    <t>จันทะเคน</t>
  </si>
  <si>
    <t xml:space="preserve">นางสาว พรพิมล </t>
  </si>
  <si>
    <t xml:space="preserve">สหัสทิตย์ </t>
  </si>
  <si>
    <t xml:space="preserve">นางสาว นภัสกร </t>
  </si>
  <si>
    <t xml:space="preserve">อินทร์สันต์ </t>
  </si>
  <si>
    <t xml:space="preserve">นาย พิระพงษ์ </t>
  </si>
  <si>
    <t xml:space="preserve">เงาแดง </t>
  </si>
  <si>
    <t xml:space="preserve">สำเภา </t>
  </si>
  <si>
    <t>พงศ์พัฒนศิริ</t>
  </si>
  <si>
    <t xml:space="preserve">นางสาว กลอยตา </t>
  </si>
  <si>
    <t xml:space="preserve">แก้วเกษ </t>
  </si>
  <si>
    <t>นาง นวพร</t>
  </si>
  <si>
    <t>สังข์ทับ</t>
  </si>
  <si>
    <t xml:space="preserve">นาย วิวรรธน์ </t>
  </si>
  <si>
    <t>วิทยายนต์</t>
  </si>
  <si>
    <t>นางสาว กฤติยา</t>
  </si>
  <si>
    <t>ศรีศักดา</t>
  </si>
  <si>
    <t xml:space="preserve">นางสาว มะลิ </t>
  </si>
  <si>
    <t xml:space="preserve">ทองคง </t>
  </si>
  <si>
    <t xml:space="preserve">นางสาว ศศิวิพัสส์ </t>
  </si>
  <si>
    <t xml:space="preserve">เข็มเพ็ชร </t>
  </si>
  <si>
    <t xml:space="preserve">นางสาว ธารารัตน์ </t>
  </si>
  <si>
    <t>ศรีโมรา</t>
  </si>
  <si>
    <t>จันทร์น่วม</t>
  </si>
  <si>
    <t>นางสาว ศตวรรณ</t>
  </si>
  <si>
    <t>คงสมจิตต์</t>
  </si>
  <si>
    <t>นางสาว ฬุริยา</t>
  </si>
  <si>
    <t>อุ่นเดช</t>
  </si>
  <si>
    <t xml:space="preserve">นาย ชัยสิทธิ์ </t>
  </si>
  <si>
    <t>ภักดีประเสริฐ</t>
  </si>
  <si>
    <t>นางสาว รสริน</t>
  </si>
  <si>
    <t>วจนะเสถียร</t>
  </si>
  <si>
    <t>นางสาว ประภาภรณ์</t>
  </si>
  <si>
    <t>กิจสงวน</t>
  </si>
  <si>
    <t>ดาวดอน</t>
  </si>
  <si>
    <t>แก้วลำพูน</t>
  </si>
  <si>
    <t>แก้วพิพัฒน์</t>
  </si>
  <si>
    <t>นาย ขจรวิทย์</t>
  </si>
  <si>
    <t>วัฒนุวรรณ</t>
  </si>
  <si>
    <t>เกษมศรี</t>
  </si>
  <si>
    <t>นาย ปฏิวุฒิ</t>
  </si>
  <si>
    <t>ทองแสงแก้ว</t>
  </si>
  <si>
    <t>พวงแก้ว</t>
  </si>
  <si>
    <t>เพ็ชรสังข์</t>
  </si>
  <si>
    <t>นาย ชาติ</t>
  </si>
  <si>
    <t>คงรื่น</t>
  </si>
  <si>
    <t>นาย นันทวัฒน์</t>
  </si>
  <si>
    <t>เกตุรักษ์</t>
  </si>
  <si>
    <t>นาง อภัย</t>
  </si>
  <si>
    <t>หุตะจูฑะ</t>
  </si>
  <si>
    <t>ช่วยขุน</t>
  </si>
  <si>
    <t>นาง อุดมรัตน์</t>
  </si>
  <si>
    <t>ชลารัตน์</t>
  </si>
  <si>
    <t>นาย เฉลิมโชค</t>
  </si>
  <si>
    <t>กลิ่นเกษร</t>
  </si>
  <si>
    <t>นาง มณทา</t>
  </si>
  <si>
    <t>นาง ปิยาภรณ์</t>
  </si>
  <si>
    <t>เนตรรุ่ง</t>
  </si>
  <si>
    <t>นาย เดโชปถัมภ์</t>
  </si>
  <si>
    <t>เดชวรวิทย์</t>
  </si>
  <si>
    <t>นางสาว มณทา</t>
  </si>
  <si>
    <t>ติจันทร์</t>
  </si>
  <si>
    <t>ทองวล</t>
  </si>
  <si>
    <t>ตันสกุล</t>
  </si>
  <si>
    <t>สิงสันจิตร</t>
  </si>
  <si>
    <t>เกิดสว่าง</t>
  </si>
  <si>
    <t>นาย เชาวรัตน์</t>
  </si>
  <si>
    <t>ทองญวน</t>
  </si>
  <si>
    <t>อินฉ้วน</t>
  </si>
  <si>
    <t>นาย วรเทพ</t>
  </si>
  <si>
    <t>ทองอุไร</t>
  </si>
  <si>
    <t>อิทธิวรากรณ์กุล</t>
  </si>
  <si>
    <t>นาย อนนต์</t>
  </si>
  <si>
    <t>เพ็ชรแก้ว</t>
  </si>
  <si>
    <t>นางสาว ทิพากร</t>
  </si>
  <si>
    <t>เอี่ยวสิโป</t>
  </si>
  <si>
    <t>นางสาว ธัญญวรรณ</t>
  </si>
  <si>
    <t xml:space="preserve">สินธวัฒน์ </t>
  </si>
  <si>
    <t xml:space="preserve">นางสาว สุพรรณนีย์ </t>
  </si>
  <si>
    <t>เบี้ยแก้ว</t>
  </si>
  <si>
    <t>นางสาว เย็นตา</t>
  </si>
  <si>
    <t>หัตการ</t>
  </si>
  <si>
    <t>นาง เลขา</t>
  </si>
  <si>
    <t>กำลังกล้า</t>
  </si>
  <si>
    <t>นาง ชฎารัตน์</t>
  </si>
  <si>
    <t>กุดหอม</t>
  </si>
  <si>
    <t>ชิวหากาญจน์</t>
  </si>
  <si>
    <t>นาง อุษณี</t>
  </si>
  <si>
    <t>เจียมรา</t>
  </si>
  <si>
    <t>นาง พรศรี</t>
  </si>
  <si>
    <t>ทองดอนดู่</t>
  </si>
  <si>
    <t xml:space="preserve">นางสาว ปุญญพัฒน์ </t>
  </si>
  <si>
    <t>ราชวงค์</t>
  </si>
  <si>
    <t xml:space="preserve">นาย กวีพจน์ </t>
  </si>
  <si>
    <t xml:space="preserve">มัชฉากิจ </t>
  </si>
  <si>
    <t>นางสาว อนุสรา</t>
  </si>
  <si>
    <t>จำปาดวง</t>
  </si>
  <si>
    <t xml:space="preserve">นางสาว พิไลลักษณ์ </t>
  </si>
  <si>
    <t xml:space="preserve">นนทวัฒน์ </t>
  </si>
  <si>
    <t>นางสาว นุจรินทร์</t>
  </si>
  <si>
    <t>ประดิษฐการ</t>
  </si>
  <si>
    <t xml:space="preserve">นางสาว ถนอมพักตร์ </t>
  </si>
  <si>
    <t xml:space="preserve">พัฒนรักษ์ </t>
  </si>
  <si>
    <t xml:space="preserve">นางสาว พรเพ็ญ </t>
  </si>
  <si>
    <t xml:space="preserve">จักรพงศ์ </t>
  </si>
  <si>
    <t>นาง อารีวรรณ</t>
  </si>
  <si>
    <t>ฉิมทับ</t>
  </si>
  <si>
    <t>นาย ไตรเทพ</t>
  </si>
  <si>
    <t>สุดสำอางค์</t>
  </si>
  <si>
    <t>งานสินโสภณ</t>
  </si>
  <si>
    <t xml:space="preserve">จริยห์ตถะกิจ </t>
  </si>
  <si>
    <t xml:space="preserve">แก้วมณี </t>
  </si>
  <si>
    <t>นาย ณัฐวิทย์</t>
  </si>
  <si>
    <t>ญาณพิสิฐกุล</t>
  </si>
  <si>
    <t>นาง สุนิษา</t>
  </si>
  <si>
    <t>พลันการ</t>
  </si>
  <si>
    <t xml:space="preserve">นางสาว ทิพวัลย์ </t>
  </si>
  <si>
    <t xml:space="preserve">จรัญรักษ์ </t>
  </si>
  <si>
    <t xml:space="preserve">นางสาว สุภิญญา </t>
  </si>
  <si>
    <t xml:space="preserve">ทองพัฒน์ </t>
  </si>
  <si>
    <t>นางสาว ชลลดา</t>
  </si>
  <si>
    <t>หอมรักษ์</t>
  </si>
  <si>
    <t>แย้มจรัส</t>
  </si>
  <si>
    <t>ดิษฐสระพงศ์</t>
  </si>
  <si>
    <t>นางสาว เกศรินทร์</t>
  </si>
  <si>
    <t>สุวรรณวัฒน์</t>
  </si>
  <si>
    <t>นิลปักษี</t>
  </si>
  <si>
    <t>รุ่งขาว</t>
  </si>
  <si>
    <t>นาย ยุสรี</t>
  </si>
  <si>
    <t>นางสาว ชวนคนึง</t>
  </si>
  <si>
    <t>วรัจฉรียกุล</t>
  </si>
  <si>
    <t>นางสาว รักษา</t>
  </si>
  <si>
    <t>นางสาว กฤษณา</t>
  </si>
  <si>
    <t>มรรคาเขต</t>
  </si>
  <si>
    <t>ชูรักษ์</t>
  </si>
  <si>
    <t>หมวดมณี</t>
  </si>
  <si>
    <t>นาย เริ่ม</t>
  </si>
  <si>
    <t>นาง ชอบ</t>
  </si>
  <si>
    <t>จันทนกุล</t>
  </si>
  <si>
    <t>นาง ปัญญา</t>
  </si>
  <si>
    <t>หุตะนาวิน</t>
  </si>
  <si>
    <t>จิตชาญวิชัย</t>
  </si>
  <si>
    <t>นาย คำรพ</t>
  </si>
  <si>
    <t>บุญพรานชู</t>
  </si>
  <si>
    <t>นิ่มละมัย</t>
  </si>
  <si>
    <t>รำมะนา</t>
  </si>
  <si>
    <t>สิงหะพล</t>
  </si>
  <si>
    <t>พลปัถพี</t>
  </si>
  <si>
    <t>นาง นวดี</t>
  </si>
  <si>
    <t>นวลสกุล</t>
  </si>
  <si>
    <t>คงศรีทอง</t>
  </si>
  <si>
    <t>นาง ปาริชาต</t>
  </si>
  <si>
    <t>พลบัถพี</t>
  </si>
  <si>
    <t>นาย ไพรัตน์</t>
  </si>
  <si>
    <t>นาง อรพิน</t>
  </si>
  <si>
    <t>อัครวิโรจน์กุล</t>
  </si>
  <si>
    <t>นาง พจนา</t>
  </si>
  <si>
    <t>หอยสกุล</t>
  </si>
  <si>
    <t>ท้วมพิบูลย์</t>
  </si>
  <si>
    <t>นาย พิทูรย์</t>
  </si>
  <si>
    <t>จรูญรัตน์</t>
  </si>
  <si>
    <t>นาย เพื่อม</t>
  </si>
  <si>
    <t>ช่อเขียว</t>
  </si>
  <si>
    <t>นาย ทำนูล</t>
  </si>
  <si>
    <t>เพ็งจำรัส</t>
  </si>
  <si>
    <t>เจือกโว้น</t>
  </si>
  <si>
    <t>ภักดี</t>
  </si>
  <si>
    <t>ทองต้ง</t>
  </si>
  <si>
    <t>นาย เชิดไชย</t>
  </si>
  <si>
    <t>นาง ช้องมาศ</t>
  </si>
  <si>
    <t>ทองพลับ</t>
  </si>
  <si>
    <t>นาย ทรงพล</t>
  </si>
  <si>
    <t>หนูวรรณ์</t>
  </si>
  <si>
    <t>นาง อัชดา</t>
  </si>
  <si>
    <t>ฆังคะประทุม</t>
  </si>
  <si>
    <t>นาย โยธิน</t>
  </si>
  <si>
    <t>เขาไข่แก้ว</t>
  </si>
  <si>
    <t>ดำคงแสง</t>
  </si>
  <si>
    <t>คงนุ่ม</t>
  </si>
  <si>
    <t>นาย ชุมพร</t>
  </si>
  <si>
    <t>เพชรพูล</t>
  </si>
  <si>
    <t>เพ็งประไพ</t>
  </si>
  <si>
    <t>นาควิโรจน์</t>
  </si>
  <si>
    <t>หวังบิลพัฒ</t>
  </si>
  <si>
    <t>นาย วิจารย์</t>
  </si>
  <si>
    <t>บุษรานนท์</t>
  </si>
  <si>
    <t>นาย กฤษณชนม์</t>
  </si>
  <si>
    <t>เทพเกลี้ยง</t>
  </si>
  <si>
    <t>พิยะกูล</t>
  </si>
  <si>
    <t>นาง พวงรัตน์</t>
  </si>
  <si>
    <t>กาฬสิงห์</t>
  </si>
  <si>
    <t>นางสาว ไรพร</t>
  </si>
  <si>
    <t>ไชยโยธา</t>
  </si>
  <si>
    <t>เกื้อสกุล</t>
  </si>
  <si>
    <t>สุขะวัลลิ</t>
  </si>
  <si>
    <t>ขวัญโศภณ</t>
  </si>
  <si>
    <t>เกื้อสุข</t>
  </si>
  <si>
    <t>ทองมาเอง</t>
  </si>
  <si>
    <t>จันทร์แก้ว</t>
  </si>
  <si>
    <t>นาย ศรี</t>
  </si>
  <si>
    <t>รักร่วม</t>
  </si>
  <si>
    <t xml:space="preserve">ปานนิล </t>
  </si>
  <si>
    <t>นาง จำเริญสุข</t>
  </si>
  <si>
    <t>จินดารักษ์</t>
  </si>
  <si>
    <t>ชูดี</t>
  </si>
  <si>
    <t>อยู่ยงค์</t>
  </si>
  <si>
    <t xml:space="preserve">นาง มลติชา </t>
  </si>
  <si>
    <t>ช่วยขาว</t>
  </si>
  <si>
    <t>นางสาว พนารัตน์</t>
  </si>
  <si>
    <t>ชาญณรงค์</t>
  </si>
  <si>
    <t>สุขปาน</t>
  </si>
  <si>
    <t>นางสาว ปรียา</t>
  </si>
  <si>
    <t>จิตตพงศ์</t>
  </si>
  <si>
    <t xml:space="preserve">พรหมวิจิต </t>
  </si>
  <si>
    <t xml:space="preserve">นางสาว ดวงเนตร </t>
  </si>
  <si>
    <t xml:space="preserve">แก้วพันธ์ </t>
  </si>
  <si>
    <t xml:space="preserve">ชูจิต </t>
  </si>
  <si>
    <t xml:space="preserve">นางสาว ชริดา </t>
  </si>
  <si>
    <t xml:space="preserve">แก้วรัตนะ </t>
  </si>
  <si>
    <t>นางสาว รวิษฎา</t>
  </si>
  <si>
    <t>อ่อนอุ่น</t>
  </si>
  <si>
    <t>นางสาว บงกชกร</t>
  </si>
  <si>
    <t>เดชโสภา</t>
  </si>
  <si>
    <t xml:space="preserve">นาย สรรเพชร </t>
  </si>
  <si>
    <t>พัดยา</t>
  </si>
  <si>
    <t>นางสาว สานิตย์</t>
  </si>
  <si>
    <t xml:space="preserve">นางสาว กมลนัทธ์ </t>
  </si>
  <si>
    <t>ชูเซ่ง</t>
  </si>
  <si>
    <t xml:space="preserve">นาย ธารสวาท </t>
  </si>
  <si>
    <t xml:space="preserve">พิมเสน </t>
  </si>
  <si>
    <t xml:space="preserve">รักษาศรี </t>
  </si>
  <si>
    <t>นาย อำมร</t>
  </si>
  <si>
    <t>อินนุรักษ์</t>
  </si>
  <si>
    <t>สงสุรินทร์</t>
  </si>
  <si>
    <t>นาง ถนอมศรี</t>
  </si>
  <si>
    <t>นพฤทธิ์</t>
  </si>
  <si>
    <t>นางสาว เตือนจิต</t>
  </si>
  <si>
    <t>วิสุทธิสรรพ</t>
  </si>
  <si>
    <t>เอียดรอด</t>
  </si>
  <si>
    <t>สงนุ้ย</t>
  </si>
  <si>
    <t>เกลี้ยงสง</t>
  </si>
  <si>
    <t>นาย ไพรวัลณ์</t>
  </si>
  <si>
    <t>นางสาว จิรานาฎ</t>
  </si>
  <si>
    <t>รัตนพงศ์</t>
  </si>
  <si>
    <t>นาย ประวิง</t>
  </si>
  <si>
    <t>เพ็ชร์บุญ</t>
  </si>
  <si>
    <t>รุ่งรัศมีวิริยะ</t>
  </si>
  <si>
    <t>รัตนรังษี</t>
  </si>
  <si>
    <t>นาง ศรีพิกุล</t>
  </si>
  <si>
    <t>บุญทองเสน</t>
  </si>
  <si>
    <t>นาง ปารีณา</t>
  </si>
  <si>
    <t>ภคุโล</t>
  </si>
  <si>
    <t>นาง บุญทิพย์</t>
  </si>
  <si>
    <t>ยกฉวี</t>
  </si>
  <si>
    <t>นาย กำแพง</t>
  </si>
  <si>
    <t>แก้วสุวรรณ์</t>
  </si>
  <si>
    <t>นุกูลรัตน์</t>
  </si>
  <si>
    <t>นาง สิรินณา</t>
  </si>
  <si>
    <t>ย่องซี้</t>
  </si>
  <si>
    <t>นางสาว พัชนีกูล</t>
  </si>
  <si>
    <t>บุญแสง</t>
  </si>
  <si>
    <t>นางสาว หับสะ</t>
  </si>
  <si>
    <t>ตงเยต</t>
  </si>
  <si>
    <t>เพชรคง</t>
  </si>
  <si>
    <t>สงคง</t>
  </si>
  <si>
    <t>นางสาว พรรณพนัต</t>
  </si>
  <si>
    <t>จรัณภัคพงศ์</t>
  </si>
  <si>
    <t>ใหญ่บก</t>
  </si>
  <si>
    <t>ชายเกตุ</t>
  </si>
  <si>
    <t>นางสาว ตุลยา</t>
  </si>
  <si>
    <t>กลับแก้ว</t>
  </si>
  <si>
    <t>นางสาว เรณู</t>
  </si>
  <si>
    <t>ห้องเม่ง</t>
  </si>
  <si>
    <t>หมื่นหนู</t>
  </si>
  <si>
    <t>เอียดนุ้ย</t>
  </si>
  <si>
    <t>นาย เพาว์</t>
  </si>
  <si>
    <t>เพ็ชรหนู</t>
  </si>
  <si>
    <t>เหน็บบัว</t>
  </si>
  <si>
    <t xml:space="preserve">นาง วิดาวรรณ </t>
  </si>
  <si>
    <t>กอบเกื้อ</t>
  </si>
  <si>
    <t>ดิกิจ</t>
  </si>
  <si>
    <t>อ่อนแสง</t>
  </si>
  <si>
    <t xml:space="preserve">ว่าที่ ร.ต. ไพพรรณี </t>
  </si>
  <si>
    <t xml:space="preserve">จันทร์ฉาย </t>
  </si>
  <si>
    <t>วุ้นเนียม</t>
  </si>
  <si>
    <t>ขาวสุด</t>
  </si>
  <si>
    <t>นาย ชัยนาท</t>
  </si>
  <si>
    <t>คงเขียว</t>
  </si>
  <si>
    <t xml:space="preserve">นางสาว พจนา </t>
  </si>
  <si>
    <t xml:space="preserve">บุญพรัต </t>
  </si>
  <si>
    <t xml:space="preserve">บัวชุม </t>
  </si>
  <si>
    <t xml:space="preserve">นาง ธนกาญจน์ </t>
  </si>
  <si>
    <t>รัตโนภาส</t>
  </si>
  <si>
    <t xml:space="preserve">นางสาว อัญ </t>
  </si>
  <si>
    <t xml:space="preserve">หนูขวัญ </t>
  </si>
  <si>
    <t xml:space="preserve">นาง วรรณา </t>
  </si>
  <si>
    <t xml:space="preserve">นาง สุพรรษา </t>
  </si>
  <si>
    <t xml:space="preserve">ย้อยรักษ์ </t>
  </si>
  <si>
    <t xml:space="preserve">สุขน่วม </t>
  </si>
  <si>
    <t xml:space="preserve">นางสาว กันย์รัตน์ </t>
  </si>
  <si>
    <t xml:space="preserve">เกื้อนุ่น </t>
  </si>
  <si>
    <t xml:space="preserve">นางสาว เมษา </t>
  </si>
  <si>
    <t xml:space="preserve">เกื้อคลัง </t>
  </si>
  <si>
    <t>ทองสีดำ</t>
  </si>
  <si>
    <t>นางสาว ณาตยา</t>
  </si>
  <si>
    <t>ราชพลสิทธิ์</t>
  </si>
  <si>
    <t>นาง เสริมศรี</t>
  </si>
  <si>
    <t>สุวรรณคีรี</t>
  </si>
  <si>
    <t>นาย แฉล้ม</t>
  </si>
  <si>
    <t>พึ่งไชย</t>
  </si>
  <si>
    <t>ยศมา</t>
  </si>
  <si>
    <t>นาง ศิริวรรณ</t>
  </si>
  <si>
    <t>สีม่วง</t>
  </si>
  <si>
    <t>บุญผ่อง</t>
  </si>
  <si>
    <t>จิอู๋</t>
  </si>
  <si>
    <t>ชัยสุวิรัตน์</t>
  </si>
  <si>
    <t>ศรแก้ว</t>
  </si>
  <si>
    <t>ไตรยุทธรงค์</t>
  </si>
  <si>
    <t>นาย สุนันท์</t>
  </si>
  <si>
    <t>คุ้มวานิช</t>
  </si>
  <si>
    <t>นาย ศักดิ์ดา</t>
  </si>
  <si>
    <t>ศรีวัฒนางกูร</t>
  </si>
  <si>
    <t>นาย สุรพงษ์</t>
  </si>
  <si>
    <t>นาย สุทธิ์</t>
  </si>
  <si>
    <t>สกุลวิวรรธน์</t>
  </si>
  <si>
    <t>นาง กัลยาพร</t>
  </si>
  <si>
    <t>วัดแก้ว</t>
  </si>
  <si>
    <t>สายสุจริต</t>
  </si>
  <si>
    <t>นาย ไชยันต์</t>
  </si>
  <si>
    <t>อมรางกูร</t>
  </si>
  <si>
    <t>ฟองชัย</t>
  </si>
  <si>
    <t>เกษสุวรรณ</t>
  </si>
  <si>
    <t>แก้วขาว</t>
  </si>
  <si>
    <t>นาย พรรณยงค์</t>
  </si>
  <si>
    <t>จันทร์เพ็ง</t>
  </si>
  <si>
    <t>ขจรศักดิ์</t>
  </si>
  <si>
    <t>นางสาว สุรินทร์</t>
  </si>
  <si>
    <t>อิ่มนรัญ</t>
  </si>
  <si>
    <t>นาง เทียบ</t>
  </si>
  <si>
    <t>นาสมยนต์</t>
  </si>
  <si>
    <t>นาย มานัฏฐ์</t>
  </si>
  <si>
    <t>สิงห์วี</t>
  </si>
  <si>
    <t>วงศ์วิวรรธน์</t>
  </si>
  <si>
    <t>โพธิ์ป้อม</t>
  </si>
  <si>
    <t>สาระศรี</t>
  </si>
  <si>
    <t>ไพรทอง</t>
  </si>
  <si>
    <t>นางสาว วรนุช</t>
  </si>
  <si>
    <t>สุวไตรรัตนา</t>
  </si>
  <si>
    <t>นาย ยืนยง</t>
  </si>
  <si>
    <t>มีสุข</t>
  </si>
  <si>
    <t>นาย วิเศษศักดิ์</t>
  </si>
  <si>
    <t>ศรีสุริยะธาดา</t>
  </si>
  <si>
    <t xml:space="preserve">นาย นพพงษ์ </t>
  </si>
  <si>
    <t>ใจกาวิล</t>
  </si>
  <si>
    <t>นาง นภา</t>
  </si>
  <si>
    <t xml:space="preserve">สาระศรี </t>
  </si>
  <si>
    <t>นาง ปรินดา</t>
  </si>
  <si>
    <t>ตั้งวงศ์</t>
  </si>
  <si>
    <t>นาง แม้นมาศ</t>
  </si>
  <si>
    <t>นางสาว เกษณีย์</t>
  </si>
  <si>
    <t>รังษีวงศ์</t>
  </si>
  <si>
    <t xml:space="preserve">นาย ฉกาจ </t>
  </si>
  <si>
    <t xml:space="preserve">ศรีบาง </t>
  </si>
  <si>
    <t>เข็มวงษ์</t>
  </si>
  <si>
    <t>นางสาว จีรภา</t>
  </si>
  <si>
    <t>ดาทอง</t>
  </si>
  <si>
    <t>นาย ภากร</t>
  </si>
  <si>
    <t xml:space="preserve">นาย ธิตินทร์ </t>
  </si>
  <si>
    <t xml:space="preserve">จารักษ์ </t>
  </si>
  <si>
    <t>ทาระนัด</t>
  </si>
  <si>
    <t xml:space="preserve">นางสาว สุรีย์รัตน์ </t>
  </si>
  <si>
    <t xml:space="preserve">แสนสุวรรณ </t>
  </si>
  <si>
    <t xml:space="preserve">นางสาว พวงทอง </t>
  </si>
  <si>
    <t xml:space="preserve">ประพฤติ </t>
  </si>
  <si>
    <t>ยศบุญเรือง</t>
  </si>
  <si>
    <t>นางสาว กนกกาญจน์</t>
  </si>
  <si>
    <t>ศักดิ์สิทธิ์</t>
  </si>
  <si>
    <t xml:space="preserve">เครือจักร </t>
  </si>
  <si>
    <t xml:space="preserve">นาง ศิริกร </t>
  </si>
  <si>
    <t xml:space="preserve">สีตา </t>
  </si>
  <si>
    <t>นาย ภานุวัฒน์</t>
  </si>
  <si>
    <t>ทิพย์ตา</t>
  </si>
  <si>
    <t xml:space="preserve">ลมูลภักตร์ </t>
  </si>
  <si>
    <t>นาง เกสร</t>
  </si>
  <si>
    <t xml:space="preserve">บีกขุนทด </t>
  </si>
  <si>
    <t xml:space="preserve">นาง หนึ่งฤทัย </t>
  </si>
  <si>
    <t xml:space="preserve">ฟุ้งสร้อยระย้า </t>
  </si>
  <si>
    <t>อยู่เงิน</t>
  </si>
  <si>
    <t xml:space="preserve">นางสาว รุ่งรัตน์ </t>
  </si>
  <si>
    <t xml:space="preserve">มาประสิทธิ์ </t>
  </si>
  <si>
    <t>นาย เปรมชัย</t>
  </si>
  <si>
    <t>หมอกมืด</t>
  </si>
  <si>
    <t xml:space="preserve">นาย ณัฐวุฒิ </t>
  </si>
  <si>
    <t>ตั้งตระกูล</t>
  </si>
  <si>
    <t xml:space="preserve">นาง พิมสิริ </t>
  </si>
  <si>
    <t>ทาดวงตา</t>
  </si>
  <si>
    <t>นาย เอกรัฐ</t>
  </si>
  <si>
    <t>นาถ้ำทอง</t>
  </si>
  <si>
    <t xml:space="preserve">นางสาว กุลจิราณัฎฐ์ </t>
  </si>
  <si>
    <t xml:space="preserve">คงเนียม </t>
  </si>
  <si>
    <t xml:space="preserve">นางสาว สุภาพรรณ </t>
  </si>
  <si>
    <t xml:space="preserve">เพ็งเพชร </t>
  </si>
  <si>
    <t>นางสาว กนกพร</t>
  </si>
  <si>
    <t>จรูญชัย</t>
  </si>
  <si>
    <t>ไตรรัตน์</t>
  </si>
  <si>
    <t>นาง อารี</t>
  </si>
  <si>
    <t>หมั่นทรัพย์</t>
  </si>
  <si>
    <t>นาง เหรียญทอง</t>
  </si>
  <si>
    <t>นาง มะยม</t>
  </si>
  <si>
    <t>เนียมสุวรรณ์</t>
  </si>
  <si>
    <t>ฉิมไทย</t>
  </si>
  <si>
    <t>นาง อุรา</t>
  </si>
  <si>
    <t>ตั่นฉ้วน</t>
  </si>
  <si>
    <t>นันทารมย์</t>
  </si>
  <si>
    <t>ฟูพงษ์</t>
  </si>
  <si>
    <t>บุศยาจารย์</t>
  </si>
  <si>
    <t>นาง พรทิพา</t>
  </si>
  <si>
    <t>ด่านอรุณ</t>
  </si>
  <si>
    <t>เสือครุฑ</t>
  </si>
  <si>
    <t>นาย ไพทูรย์</t>
  </si>
  <si>
    <t>พิมทอง</t>
  </si>
  <si>
    <t>จำนงภักดิ์</t>
  </si>
  <si>
    <t>นาย รุ่ง</t>
  </si>
  <si>
    <t>น้อยทวี</t>
  </si>
  <si>
    <t>นางสาว ปิยะนาถ</t>
  </si>
  <si>
    <t>ทองยิ้ม</t>
  </si>
  <si>
    <t>ช่วงโพธิ์</t>
  </si>
  <si>
    <t>รอดเรือง</t>
  </si>
  <si>
    <t>พันธนะ</t>
  </si>
  <si>
    <t>รัตนเศรณี</t>
  </si>
  <si>
    <t>นางสาว ภัควลัญชญ์</t>
  </si>
  <si>
    <t>ประทุมโพธิ์</t>
  </si>
  <si>
    <t>แก้วเพชร</t>
  </si>
  <si>
    <t>นางสาว ณฐกานต์</t>
  </si>
  <si>
    <t>มั่นแดง</t>
  </si>
  <si>
    <t>นาง วชิรญาณ์</t>
  </si>
  <si>
    <t>จาดมี</t>
  </si>
  <si>
    <t>นาง ขวัญกมล</t>
  </si>
  <si>
    <t>จันทร์มาทอง</t>
  </si>
  <si>
    <t>มู้จันทร์</t>
  </si>
  <si>
    <t>บวบทอง</t>
  </si>
  <si>
    <t>นางสาว อารีนาถ</t>
  </si>
  <si>
    <t>กุณที</t>
  </si>
  <si>
    <t>นางสาว สุกัลยา</t>
  </si>
  <si>
    <t>นาคเพ็ง</t>
  </si>
  <si>
    <t>นางสาว วีรนุช</t>
  </si>
  <si>
    <t>ครุฑอินทร์</t>
  </si>
  <si>
    <t>นาย กิตติพัฒน์</t>
  </si>
  <si>
    <t>อินทรประสิทธิ์</t>
  </si>
  <si>
    <t>นาย โชคอำนวย</t>
  </si>
  <si>
    <t>เยื้องย่อง</t>
  </si>
  <si>
    <t>นาย เกื้อกูล</t>
  </si>
  <si>
    <t>เนตรชาย</t>
  </si>
  <si>
    <t xml:space="preserve">นางสาว ปวริศา </t>
  </si>
  <si>
    <t xml:space="preserve">นาคเพ็ง </t>
  </si>
  <si>
    <t xml:space="preserve">นาง วนิดา </t>
  </si>
  <si>
    <t xml:space="preserve">พาเหมาะ </t>
  </si>
  <si>
    <t xml:space="preserve">นางสาว อัญชรี </t>
  </si>
  <si>
    <t>เดชมา</t>
  </si>
  <si>
    <t xml:space="preserve">นางสาว นิตยดา </t>
  </si>
  <si>
    <t xml:space="preserve">ปานโพธิ์ </t>
  </si>
  <si>
    <t xml:space="preserve">วงเงิน </t>
  </si>
  <si>
    <t>นางสาว พรวิภา</t>
  </si>
  <si>
    <t xml:space="preserve">รักษธรรม </t>
  </si>
  <si>
    <t xml:space="preserve">นาย ชินเพชร </t>
  </si>
  <si>
    <t>เพชรประดิษฐ</t>
  </si>
  <si>
    <t>นางสาว เบญจรัตน์</t>
  </si>
  <si>
    <t>อ่ำปั้น</t>
  </si>
  <si>
    <t xml:space="preserve">นางสาว สุรีพร </t>
  </si>
  <si>
    <t xml:space="preserve">สุขศิริ </t>
  </si>
  <si>
    <t xml:space="preserve">นาย อัษฎกร </t>
  </si>
  <si>
    <t xml:space="preserve">ขุนพิลึก </t>
  </si>
  <si>
    <t xml:space="preserve">นางสาว จิณาภา </t>
  </si>
  <si>
    <t xml:space="preserve">นางสาว จอมขวัญ </t>
  </si>
  <si>
    <t xml:space="preserve">ยกศิริ </t>
  </si>
  <si>
    <t>นาง มาริสา</t>
  </si>
  <si>
    <t>จันทร์สนิท</t>
  </si>
  <si>
    <t xml:space="preserve">นางสาว รัตนประภา </t>
  </si>
  <si>
    <t>วีระศักดิ์ตระกูล</t>
  </si>
  <si>
    <t>นาย นัฐวุฒิ</t>
  </si>
  <si>
    <t>บุญสาร</t>
  </si>
  <si>
    <t>นาง จิตรา</t>
  </si>
  <si>
    <t>ศิริเขตกิจ</t>
  </si>
  <si>
    <t>นางสาว ณภัทรทิตา</t>
  </si>
  <si>
    <t>ฉายศรี</t>
  </si>
  <si>
    <t>เอี้ยวฮะ</t>
  </si>
  <si>
    <t>นางสาว วรินทร์พร</t>
  </si>
  <si>
    <t>จิ๋วรัตนสกุล</t>
  </si>
  <si>
    <t>นาย อนุศักดิ์</t>
  </si>
  <si>
    <t>กีรติวาสี</t>
  </si>
  <si>
    <t>ภูทองขาว</t>
  </si>
  <si>
    <t>นาย วิบูลย์</t>
  </si>
  <si>
    <t>หงสยาภรณ์</t>
  </si>
  <si>
    <t>ปานรัตน์</t>
  </si>
  <si>
    <t>นาง ภัชรา</t>
  </si>
  <si>
    <t>เหลืองหิรัญ</t>
  </si>
  <si>
    <t>ตนะวิไชย</t>
  </si>
  <si>
    <t>นาง รัชนีพร</t>
  </si>
  <si>
    <t>วีระพงษ์</t>
  </si>
  <si>
    <t>เถื่อนด้วง</t>
  </si>
  <si>
    <t>วาณิชย์</t>
  </si>
  <si>
    <t>ธรรมเดช</t>
  </si>
  <si>
    <t>ระเวกโฉม</t>
  </si>
  <si>
    <t>ใจฝั้น</t>
  </si>
  <si>
    <t>วงศ์เมือง</t>
  </si>
  <si>
    <t>ทับสุข</t>
  </si>
  <si>
    <t>คล่องคำนวณการ</t>
  </si>
  <si>
    <t>ดีมา</t>
  </si>
  <si>
    <t>นาย ศิลปชัย</t>
  </si>
  <si>
    <t>ลิ้มตระกูล</t>
  </si>
  <si>
    <t>นาย สุธีร์</t>
  </si>
  <si>
    <t>ทองนาค</t>
  </si>
  <si>
    <t>นาย สุวัตร</t>
  </si>
  <si>
    <t>คล่องสั่งสอน</t>
  </si>
  <si>
    <t>ยิ้มห้อย</t>
  </si>
  <si>
    <t>นาย ถัก</t>
  </si>
  <si>
    <t>จรูญศักดิ์</t>
  </si>
  <si>
    <t>นาย ชิตนนท์</t>
  </si>
  <si>
    <t>หูวานนท์</t>
  </si>
  <si>
    <t>สายต่างใจ</t>
  </si>
  <si>
    <t xml:space="preserve">นาย ขวัญชัย </t>
  </si>
  <si>
    <t>ลัมยศ</t>
  </si>
  <si>
    <t>นาง อินทรีย์</t>
  </si>
  <si>
    <t>สุขนรินทร์</t>
  </si>
  <si>
    <t>นาย ชูเดช</t>
  </si>
  <si>
    <t>ดีแล้ว</t>
  </si>
  <si>
    <t>วงศ์ทิพย์</t>
  </si>
  <si>
    <t>นาย ไกรวุทธิ์</t>
  </si>
  <si>
    <t>พงศ์พันธุ์</t>
  </si>
  <si>
    <t>ใบยา</t>
  </si>
  <si>
    <t>นาย ชวาล</t>
  </si>
  <si>
    <t>คชฤทธิ์</t>
  </si>
  <si>
    <t>นาย สรชัย</t>
  </si>
  <si>
    <t>ไกรกลิ่น</t>
  </si>
  <si>
    <t>ทองวิจิตร</t>
  </si>
  <si>
    <t>ทรัพย์นาคี</t>
  </si>
  <si>
    <t>ส่งถาวร</t>
  </si>
  <si>
    <t>นาย สุจิตร์</t>
  </si>
  <si>
    <t>นาย จำรุณ</t>
  </si>
  <si>
    <t>ระวีคำ</t>
  </si>
  <si>
    <t>นาง วรางคณา</t>
  </si>
  <si>
    <t>รุ่งโรจน์</t>
  </si>
  <si>
    <t>นาย สุบิน</t>
  </si>
  <si>
    <t>นาย ดำรงค์วิทย์</t>
  </si>
  <si>
    <t>นาง วัลภา</t>
  </si>
  <si>
    <t>ศรีนุช</t>
  </si>
  <si>
    <t>แต่งเนตร</t>
  </si>
  <si>
    <t>ลี้เกษมพันธุ์</t>
  </si>
  <si>
    <t>นาย วราห์ชัย</t>
  </si>
  <si>
    <t>พญาพรหม</t>
  </si>
  <si>
    <t>นาย บุญสม</t>
  </si>
  <si>
    <t>จันทร์พุฒ</t>
  </si>
  <si>
    <t>มั่นทับ</t>
  </si>
  <si>
    <t>แพงเรือน</t>
  </si>
  <si>
    <t>นางสาว เหมือนใจ</t>
  </si>
  <si>
    <t>จันทบาล</t>
  </si>
  <si>
    <t xml:space="preserve">นาย วัฒนพงษ์ </t>
  </si>
  <si>
    <t xml:space="preserve">งอกคำ </t>
  </si>
  <si>
    <t>นาง ประทีป</t>
  </si>
  <si>
    <t xml:space="preserve">ธรรมโชติ </t>
  </si>
  <si>
    <t xml:space="preserve">นาง ลักขณา </t>
  </si>
  <si>
    <t>พุ่มแก้ว</t>
  </si>
  <si>
    <t xml:space="preserve">ปัญญา </t>
  </si>
  <si>
    <t xml:space="preserve">นาย ฉัตรณรงค์ </t>
  </si>
  <si>
    <t>มาจันทร์</t>
  </si>
  <si>
    <t xml:space="preserve">นาย สุริยา </t>
  </si>
  <si>
    <t xml:space="preserve">อินชาวนา </t>
  </si>
  <si>
    <t xml:space="preserve">นาย ปริมาณ </t>
  </si>
  <si>
    <t xml:space="preserve">ปั้นลี้ </t>
  </si>
  <si>
    <t>นาย สำรวม</t>
  </si>
  <si>
    <t>รอดสิน</t>
  </si>
  <si>
    <t>ยิ้มประดิษฐ์</t>
  </si>
  <si>
    <t>นาย วุฑฒิ</t>
  </si>
  <si>
    <t>สายนำพามีลาภ</t>
  </si>
  <si>
    <t>รอดอยู่</t>
  </si>
  <si>
    <t>แสงอ่วม</t>
  </si>
  <si>
    <t>นาย เจน</t>
  </si>
  <si>
    <t xml:space="preserve">นาย ภรัณยู </t>
  </si>
  <si>
    <t>กิตติธนพันธุ์</t>
  </si>
  <si>
    <t>นาง พิราวรรณ์</t>
  </si>
  <si>
    <t>เตชะวรเกียรติ์</t>
  </si>
  <si>
    <t xml:space="preserve">โชติศรี </t>
  </si>
  <si>
    <t xml:space="preserve">นางสาว ชญาณ์นันท์ </t>
  </si>
  <si>
    <t xml:space="preserve">ทับบุญ </t>
  </si>
  <si>
    <t>นาย รัฐศาสตร์</t>
  </si>
  <si>
    <t>เฟื่องจิตต์</t>
  </si>
  <si>
    <t>นางสาว ฐิตาภรณ์</t>
  </si>
  <si>
    <t>เวยสาร</t>
  </si>
  <si>
    <t>สมเทศ</t>
  </si>
  <si>
    <t>นางสาว กัญจน์ชญา</t>
  </si>
  <si>
    <t>วงศ์ฝั้น</t>
  </si>
  <si>
    <t xml:space="preserve">โปร่งเจริญ </t>
  </si>
  <si>
    <t>แก้วโมลี</t>
  </si>
  <si>
    <t xml:space="preserve">วงศ์ไชย </t>
  </si>
  <si>
    <t>นาย ธนวรรธน์</t>
  </si>
  <si>
    <t>ท้วมเทศ</t>
  </si>
  <si>
    <t xml:space="preserve">นางสาว ฐิติมา </t>
  </si>
  <si>
    <t xml:space="preserve">หล้าอ่อน </t>
  </si>
  <si>
    <t>นุ่มเนื้อ</t>
  </si>
  <si>
    <t>นางสาว ทองพาขวัญ</t>
  </si>
  <si>
    <t>ทรัพย์เริงสกุล</t>
  </si>
  <si>
    <t xml:space="preserve">นาย คมเจศ </t>
  </si>
  <si>
    <t>เนียมเปี่ยม</t>
  </si>
  <si>
    <t>นาง สนม</t>
  </si>
  <si>
    <t>วงศา</t>
  </si>
  <si>
    <t>นาง ลำยง</t>
  </si>
  <si>
    <t>แจ่มฉาย</t>
  </si>
  <si>
    <t>นาง จิระพร</t>
  </si>
  <si>
    <t>ปันผสม</t>
  </si>
  <si>
    <t>นาย วน</t>
  </si>
  <si>
    <t>ด้วงรอด</t>
  </si>
  <si>
    <t>นาย ดำรงค์ชัย</t>
  </si>
  <si>
    <t>มีช้าง</t>
  </si>
  <si>
    <t>ดอนจักร</t>
  </si>
  <si>
    <t>สุวรรณไชยา</t>
  </si>
  <si>
    <t>สิงห์คำ</t>
  </si>
  <si>
    <t>นาย จรวย</t>
  </si>
  <si>
    <t>เกตุพราห์ม</t>
  </si>
  <si>
    <t>คณะเกษม</t>
  </si>
  <si>
    <t>นาง ศิลิล</t>
  </si>
  <si>
    <t>โภคา</t>
  </si>
  <si>
    <t>ชอบเสียง</t>
  </si>
  <si>
    <t>นาง พุทธิพร</t>
  </si>
  <si>
    <t>เถื่อนใหญ่</t>
  </si>
  <si>
    <t>นาง ชลิดา</t>
  </si>
  <si>
    <t>จันต๊ะโมกข์</t>
  </si>
  <si>
    <t>สิงห์สน</t>
  </si>
  <si>
    <t>อินทร์เรือน</t>
  </si>
  <si>
    <t>นางสาว อุดม</t>
  </si>
  <si>
    <t>โพธิ์เงิน</t>
  </si>
  <si>
    <t>แก้วแจ้ง</t>
  </si>
  <si>
    <t>นางสาว วลัยพร</t>
  </si>
  <si>
    <t>ชนกกำชัย</t>
  </si>
  <si>
    <t>อัจฉฤกษ์</t>
  </si>
  <si>
    <t>นาง เกยูร</t>
  </si>
  <si>
    <t>จารุรัตนพงศ์</t>
  </si>
  <si>
    <t>นาย ธนวัตร</t>
  </si>
  <si>
    <t>ค้ำชู</t>
  </si>
  <si>
    <t>กลางจิตร์</t>
  </si>
  <si>
    <t>นาคเอี่ยม</t>
  </si>
  <si>
    <t>นาง ปฏิญญา</t>
  </si>
  <si>
    <t>ทองสนิท</t>
  </si>
  <si>
    <t>นาย ชัยธวัช</t>
  </si>
  <si>
    <t>ชูศรี</t>
  </si>
  <si>
    <t>จันทร์นาค</t>
  </si>
  <si>
    <t>นางสาว น้ำผึ้ง</t>
  </si>
  <si>
    <t>นาง ณัฏฐา</t>
  </si>
  <si>
    <t xml:space="preserve">ชินารักษ์ </t>
  </si>
  <si>
    <t xml:space="preserve">ชมภูแก้ว </t>
  </si>
  <si>
    <t>นางสาว ปานทิพย์</t>
  </si>
  <si>
    <t>วงษ์แก้ว</t>
  </si>
  <si>
    <t>นางสาว มลธิชา</t>
  </si>
  <si>
    <t xml:space="preserve">วัฒนสิงห์ </t>
  </si>
  <si>
    <t xml:space="preserve">นาง โสภิดา </t>
  </si>
  <si>
    <t>ก๊กเครือ</t>
  </si>
  <si>
    <t xml:space="preserve">นาง พิศสุดา </t>
  </si>
  <si>
    <t>คงมั่น</t>
  </si>
  <si>
    <t xml:space="preserve">นาง เสาวคนธ์ </t>
  </si>
  <si>
    <t xml:space="preserve">เชื้อผู้ดี </t>
  </si>
  <si>
    <t xml:space="preserve">นางสาว ยุวรรณดา </t>
  </si>
  <si>
    <t>สุวรรณหงษ์</t>
  </si>
  <si>
    <t xml:space="preserve">นางสาว วัลลภา </t>
  </si>
  <si>
    <t xml:space="preserve">วอทอง </t>
  </si>
  <si>
    <t>นางสาว สุพัชชา</t>
  </si>
  <si>
    <t>สุขน้อย</t>
  </si>
  <si>
    <t>ขำน้ำคู้</t>
  </si>
  <si>
    <t>นางสาว เปรมจิต</t>
  </si>
  <si>
    <t>โทนะบุตร</t>
  </si>
  <si>
    <t>นางสาว ดอกไม้</t>
  </si>
  <si>
    <t>คงหนองลาน</t>
  </si>
  <si>
    <t>นาง รสจรินทร์</t>
  </si>
  <si>
    <t>หลวงโปธา</t>
  </si>
  <si>
    <t>นาคานุกูล</t>
  </si>
  <si>
    <t xml:space="preserve">นาง วีรรัช </t>
  </si>
  <si>
    <t>ชีพธำรง</t>
  </si>
  <si>
    <t xml:space="preserve">พูลชู </t>
  </si>
  <si>
    <t xml:space="preserve">นาง ศรีสุชาดา </t>
  </si>
  <si>
    <t xml:space="preserve">กวนด้วง </t>
  </si>
  <si>
    <t xml:space="preserve">นางสาว ฉัตรแก้ว </t>
  </si>
  <si>
    <t xml:space="preserve">วิรบุตร์ </t>
  </si>
  <si>
    <t>นาย วิธิสรรค์</t>
  </si>
  <si>
    <t xml:space="preserve">ปราสาททรัพย์ </t>
  </si>
  <si>
    <t xml:space="preserve">นางสาว ทัศนีย์วรรณ </t>
  </si>
  <si>
    <t xml:space="preserve">มณีท่าโพธิ์ </t>
  </si>
  <si>
    <t xml:space="preserve">นางสาว ศิริทร </t>
  </si>
  <si>
    <t xml:space="preserve">ฟักทอง </t>
  </si>
  <si>
    <t>แป้นเมือง</t>
  </si>
  <si>
    <t>นาง พิรุฬห์วัลย์</t>
  </si>
  <si>
    <t>อิ่มอ่อง</t>
  </si>
  <si>
    <t>นาย จีรวุฒิ</t>
  </si>
  <si>
    <t>พานิชอำนวย</t>
  </si>
  <si>
    <t>เถาอวน</t>
  </si>
  <si>
    <t xml:space="preserve">สินเอี่ยม </t>
  </si>
  <si>
    <t>นาย ธัชณัฐพงศ์</t>
  </si>
  <si>
    <t>ศรีทองเพชร</t>
  </si>
  <si>
    <t>เทพพิทักษ์</t>
  </si>
  <si>
    <t>นาง เยาวดี</t>
  </si>
  <si>
    <t>จันทร์สง่า</t>
  </si>
  <si>
    <t xml:space="preserve">นาย ธนธร </t>
  </si>
  <si>
    <t>นาย จิรยุทธ</t>
  </si>
  <si>
    <t>จิตราภิรมย์</t>
  </si>
  <si>
    <t>สิทธิหล่อ</t>
  </si>
  <si>
    <t xml:space="preserve">นางสาว วิรมณ </t>
  </si>
  <si>
    <t xml:space="preserve">ปรางทอง </t>
  </si>
  <si>
    <t xml:space="preserve">นาย บรรดาศักดิ์ </t>
  </si>
  <si>
    <t>เศษจันทึก</t>
  </si>
  <si>
    <t xml:space="preserve">นางสาว วรรณวิสา </t>
  </si>
  <si>
    <t xml:space="preserve">สพประสงค์ </t>
  </si>
  <si>
    <t>นางสาว ภัทรปภา</t>
  </si>
  <si>
    <t>มินรินทร์</t>
  </si>
  <si>
    <t xml:space="preserve">นางสาว ศุลีพร </t>
  </si>
  <si>
    <t>เออร์-ราฮีบี้ย์</t>
  </si>
  <si>
    <t>ชมบุญตา</t>
  </si>
  <si>
    <t>นางสาว ประภาทิพย์</t>
  </si>
  <si>
    <t>รอดรักษา</t>
  </si>
  <si>
    <t>นาย ไว</t>
  </si>
  <si>
    <t>บุญยวัตร</t>
  </si>
  <si>
    <t>นาง ประทุมมา</t>
  </si>
  <si>
    <t>นาง รุ่งรดา</t>
  </si>
  <si>
    <t>นาย โยธี</t>
  </si>
  <si>
    <t>เปล่งขำ</t>
  </si>
  <si>
    <t>นาง พเยาว์</t>
  </si>
  <si>
    <t>เรืองสุกใส</t>
  </si>
  <si>
    <t>นาง เพื่อนแพง</t>
  </si>
  <si>
    <t xml:space="preserve">ขัติศรี </t>
  </si>
  <si>
    <t>นาย กุลเชษฐ์</t>
  </si>
  <si>
    <t>ยอดโค้น</t>
  </si>
  <si>
    <t xml:space="preserve">แท่งเงิน </t>
  </si>
  <si>
    <t>อุปกิจ</t>
  </si>
  <si>
    <t>นาย ชนะ</t>
  </si>
  <si>
    <t>ศรัทธาสุข</t>
  </si>
  <si>
    <t>สิทธิวุฒิ</t>
  </si>
  <si>
    <t>วันเมฆ</t>
  </si>
  <si>
    <t>นาคเพชร</t>
  </si>
  <si>
    <t>ใจหลวง</t>
  </si>
  <si>
    <t>รัตนเพ็ชร</t>
  </si>
  <si>
    <t>นาง รุ่งทิพย์</t>
  </si>
  <si>
    <t>จิรัฐติพงษ์</t>
  </si>
  <si>
    <t>นาง ทองมัน</t>
  </si>
  <si>
    <t>ไชยพรม</t>
  </si>
  <si>
    <t>นาง อัญชลิดา</t>
  </si>
  <si>
    <t>เมืองขวัญใจ</t>
  </si>
  <si>
    <t>นาง เปรม</t>
  </si>
  <si>
    <t>วรรณารักษ์</t>
  </si>
  <si>
    <t>แซ่เฮา</t>
  </si>
  <si>
    <t>นาย ประกิตย์</t>
  </si>
  <si>
    <t>มณีงาม</t>
  </si>
  <si>
    <t>จรรยานะ</t>
  </si>
  <si>
    <t>ปาลาศ</t>
  </si>
  <si>
    <t>ฟองจันทร์</t>
  </si>
  <si>
    <t>นาง ประกายแก้ว</t>
  </si>
  <si>
    <t>แก้วอุดรศรี</t>
  </si>
  <si>
    <t>เหมืองหม้อ</t>
  </si>
  <si>
    <t>หล้าน้อย</t>
  </si>
  <si>
    <t>หอมกระจาย</t>
  </si>
  <si>
    <t>นาง สังวาลย์</t>
  </si>
  <si>
    <t>นาง กิ่งแก้ว</t>
  </si>
  <si>
    <t>สุทธิเนียม</t>
  </si>
  <si>
    <t>ไพรสารี</t>
  </si>
  <si>
    <t>นาง มัณฑนี</t>
  </si>
  <si>
    <t>นาง อำพร</t>
  </si>
  <si>
    <t>เสนรังสี</t>
  </si>
  <si>
    <t>นาง อพินยา</t>
  </si>
  <si>
    <t xml:space="preserve">มั่งแดง </t>
  </si>
  <si>
    <t>นาย ประเวทย์</t>
  </si>
  <si>
    <t>แก้วทองมา</t>
  </si>
  <si>
    <t>นาง ธีรัจฉรา</t>
  </si>
  <si>
    <t>นาย จงกล</t>
  </si>
  <si>
    <t>อยู่เจริญกิจ</t>
  </si>
  <si>
    <t xml:space="preserve">อาจทวีกุล </t>
  </si>
  <si>
    <t>เบ็ญจมาลย์</t>
  </si>
  <si>
    <t xml:space="preserve">นาย มนัส </t>
  </si>
  <si>
    <t>วิรเศรษฐ์</t>
  </si>
  <si>
    <t>แต้ใจ</t>
  </si>
  <si>
    <t>ชุ่มทอง</t>
  </si>
  <si>
    <t>นาย พิสัณห์</t>
  </si>
  <si>
    <t>นาย ลี</t>
  </si>
  <si>
    <t>เย็นคต</t>
  </si>
  <si>
    <t>นาง นพมาศ</t>
  </si>
  <si>
    <t>เสียงก้อง</t>
  </si>
  <si>
    <t xml:space="preserve">ว่าที่ ร.ต.หญิง เกศนาฏ </t>
  </si>
  <si>
    <t xml:space="preserve">กลิ่นทอง </t>
  </si>
  <si>
    <t>นาย อดินันท์</t>
  </si>
  <si>
    <t>นุชโพธิ์</t>
  </si>
  <si>
    <t>นาย อารม</t>
  </si>
  <si>
    <t>ทองเนินกุ่ม</t>
  </si>
  <si>
    <t xml:space="preserve">ศรีฉัตรใจ </t>
  </si>
  <si>
    <t xml:space="preserve">นาย จักราวุธ </t>
  </si>
  <si>
    <t xml:space="preserve">ศุขวัฒน์ </t>
  </si>
  <si>
    <t>นางสาว วณพร</t>
  </si>
  <si>
    <t>นางสาว รัตติกาล</t>
  </si>
  <si>
    <t>จักรใจวงค์</t>
  </si>
  <si>
    <t>นาย คะเน</t>
  </si>
  <si>
    <t xml:space="preserve">นางสาว พนมวรรณ </t>
  </si>
  <si>
    <t>อยู่พร้อม</t>
  </si>
  <si>
    <t>นาง เกศรา</t>
  </si>
  <si>
    <t>รังผึ้ง</t>
  </si>
  <si>
    <t>นางสาว มณีนิล</t>
  </si>
  <si>
    <t>อินขัติ</t>
  </si>
  <si>
    <t xml:space="preserve">ว่าที่ ร.ต. ปกรณ์ </t>
  </si>
  <si>
    <t xml:space="preserve">คลังพหล </t>
  </si>
  <si>
    <t>กันขัด</t>
  </si>
  <si>
    <t xml:space="preserve">นางสาว มยุรี </t>
  </si>
  <si>
    <t>วงค์ษา</t>
  </si>
  <si>
    <t>นางสาว ชัญญ์ฒณัฏฐา</t>
  </si>
  <si>
    <t>ศิรปัญญาเพ็ชร</t>
  </si>
  <si>
    <t xml:space="preserve">นาย กิติศักดิ์ </t>
  </si>
  <si>
    <t xml:space="preserve">วงศ์สิงห์ </t>
  </si>
  <si>
    <t xml:space="preserve">นางสาว อัศนีย์ </t>
  </si>
  <si>
    <t>เครือดวงคำ</t>
  </si>
  <si>
    <t>นาย อดุลย์ศักดิ์</t>
  </si>
  <si>
    <t>ว่าที่ พ.ต. นคร</t>
  </si>
  <si>
    <t>โฆษชุณหนันท์</t>
  </si>
  <si>
    <t>นางสาว กัลยา</t>
  </si>
  <si>
    <t>ปันดี</t>
  </si>
  <si>
    <t>นาง จริญญา</t>
  </si>
  <si>
    <t>อรุณประเสริฐ</t>
  </si>
  <si>
    <t>นาง กัญญาพร</t>
  </si>
  <si>
    <t>ทีกว้าง</t>
  </si>
  <si>
    <t>นาง ทัศนีย์</t>
  </si>
  <si>
    <t>จิตรสังวร</t>
  </si>
  <si>
    <t>นาง จุฑารัตน์</t>
  </si>
  <si>
    <t>ล้อมแพน</t>
  </si>
  <si>
    <t>นาง กัลย์กมล</t>
  </si>
  <si>
    <t>เหล่าป่าเป้า</t>
  </si>
  <si>
    <t>นาง พิรุณ</t>
  </si>
  <si>
    <t>ศรีสังข์</t>
  </si>
  <si>
    <t>พลเตี้ยม</t>
  </si>
  <si>
    <t>มีมา</t>
  </si>
  <si>
    <t>ปัญญาอินทร์</t>
  </si>
  <si>
    <t>นาง จงกล</t>
  </si>
  <si>
    <t>เพ็งวัน</t>
  </si>
  <si>
    <t>เมืองชา</t>
  </si>
  <si>
    <t>นาง ศิรินทร์</t>
  </si>
  <si>
    <t>เนาว์ชมภู</t>
  </si>
  <si>
    <t>แย้มพราม</t>
  </si>
  <si>
    <t>สะสมสิน</t>
  </si>
  <si>
    <t>นางสาว ประกายดาว</t>
  </si>
  <si>
    <t xml:space="preserve">นางสาว ชัญญา </t>
  </si>
  <si>
    <t>แผลงเดช</t>
  </si>
  <si>
    <t xml:space="preserve">นาย ไพรศาล </t>
  </si>
  <si>
    <t>อุดอิน</t>
  </si>
  <si>
    <t>เรืองรักษา</t>
  </si>
  <si>
    <t xml:space="preserve">นาง นรินทร </t>
  </si>
  <si>
    <t xml:space="preserve">ทองจันทร์ </t>
  </si>
  <si>
    <t>นาย นิรุตติ์</t>
  </si>
  <si>
    <t xml:space="preserve">แจ้งเปี่ยม </t>
  </si>
  <si>
    <t xml:space="preserve">นางสาว นฤพร </t>
  </si>
  <si>
    <t xml:space="preserve">หรรษคุณาฒัย </t>
  </si>
  <si>
    <t xml:space="preserve">นางสาว กุณฑีราภัสสร </t>
  </si>
  <si>
    <t>ร้านกันทาพัทธ์</t>
  </si>
  <si>
    <t xml:space="preserve">นาง สุทธีรา </t>
  </si>
  <si>
    <t xml:space="preserve">คำมอญ </t>
  </si>
  <si>
    <t>นางสาว นิสาพร</t>
  </si>
  <si>
    <t>อิทธิพร</t>
  </si>
  <si>
    <t>กันไชย</t>
  </si>
  <si>
    <t>พรหมเมศร์</t>
  </si>
  <si>
    <t>ชาวเขียววงศ์</t>
  </si>
  <si>
    <t>สุขเณร</t>
  </si>
  <si>
    <t>นาย ตุลย์</t>
  </si>
  <si>
    <t>ทิพยจันทร์</t>
  </si>
  <si>
    <t xml:space="preserve">นางสาว นงนุช </t>
  </si>
  <si>
    <t xml:space="preserve">ใจเงิน </t>
  </si>
  <si>
    <t xml:space="preserve">นาย ปฎิภาณ </t>
  </si>
  <si>
    <t xml:space="preserve">สมบัติบูรณ์ </t>
  </si>
  <si>
    <t xml:space="preserve">ยิ้วเหี้ยง </t>
  </si>
  <si>
    <t>สอนศิริ</t>
  </si>
  <si>
    <t xml:space="preserve">นางสาว วิลัยวรรณ </t>
  </si>
  <si>
    <t xml:space="preserve">ยศสมบัติ </t>
  </si>
  <si>
    <t xml:space="preserve">นางสาว สุภาภรณ์ </t>
  </si>
  <si>
    <t xml:space="preserve">งาเนียม </t>
  </si>
  <si>
    <t>สัตยาภรณ์</t>
  </si>
  <si>
    <t>นางสาว กมลรัตน์</t>
  </si>
  <si>
    <t>มายรรยงค์</t>
  </si>
  <si>
    <t xml:space="preserve">นาย บัณฑิต </t>
  </si>
  <si>
    <t xml:space="preserve">อุปสิทธิ์ </t>
  </si>
  <si>
    <t xml:space="preserve">นางสาว มณทิรา </t>
  </si>
  <si>
    <t xml:space="preserve">ธรรมาภิมุข </t>
  </si>
  <si>
    <t xml:space="preserve">นาย สิทธิโชค </t>
  </si>
  <si>
    <t>กล่อมวิญญา</t>
  </si>
  <si>
    <t xml:space="preserve">นาย อรรถพร </t>
  </si>
  <si>
    <t>กลิ่นเพชร</t>
  </si>
  <si>
    <t>นาย เฉลิมวุธ</t>
  </si>
  <si>
    <t>ทะไชย</t>
  </si>
  <si>
    <t>นางสาว แสงเดือน</t>
  </si>
  <si>
    <t>แป้นประโคน</t>
  </si>
  <si>
    <t>จันคะณา</t>
  </si>
  <si>
    <t>นาง สมเจตน์</t>
  </si>
  <si>
    <t>เรืองโรจน์</t>
  </si>
  <si>
    <t>ทองสัมฤทธิ์</t>
  </si>
  <si>
    <t>เงินบำรุง</t>
  </si>
  <si>
    <t>เรืองภิญโญ</t>
  </si>
  <si>
    <t>นาย พีระพล</t>
  </si>
  <si>
    <t>เนตรทิพย์</t>
  </si>
  <si>
    <t>ไมตระรัตน์</t>
  </si>
  <si>
    <t>นาย ศรีหยัด</t>
  </si>
  <si>
    <t>ดอยลอม</t>
  </si>
  <si>
    <t>ณ ถลาง</t>
  </si>
  <si>
    <t>ช่างทำร่อง</t>
  </si>
  <si>
    <t>สาราณียคุณ</t>
  </si>
  <si>
    <t>กลิ่นเทศ</t>
  </si>
  <si>
    <t>นาย วีรยุทธ</t>
  </si>
  <si>
    <t>ชะนะวงษ์</t>
  </si>
  <si>
    <t>นาย ณัฐวรัฐ</t>
  </si>
  <si>
    <t>นาย นิเวช</t>
  </si>
  <si>
    <t>บุตรา</t>
  </si>
  <si>
    <t>ศรีอักษร</t>
  </si>
  <si>
    <t>นาย นพณัฐ</t>
  </si>
  <si>
    <t>ลาไชย</t>
  </si>
  <si>
    <t>นาง สายัณต์</t>
  </si>
  <si>
    <t>คงเย็น</t>
  </si>
  <si>
    <t>ธรรมสิทธิ์</t>
  </si>
  <si>
    <t>อำภา</t>
  </si>
  <si>
    <t>นาง อรภา</t>
  </si>
  <si>
    <t>วัฒนินทร</t>
  </si>
  <si>
    <t>นาย เอกพล</t>
  </si>
  <si>
    <t>กำมา</t>
  </si>
  <si>
    <t>นาย วันไชย</t>
  </si>
  <si>
    <t>สุนทรพิพัฒน์กุล</t>
  </si>
  <si>
    <t>มะลิวัลย์</t>
  </si>
  <si>
    <t>อัษฎาวุธวงศกร</t>
  </si>
  <si>
    <t>นาง สุรีย์พร</t>
  </si>
  <si>
    <t>อินทยศ</t>
  </si>
  <si>
    <t>นาย ทองหล่อ</t>
  </si>
  <si>
    <t>แสงพรม</t>
  </si>
  <si>
    <t xml:space="preserve">นาง ณสุดา </t>
  </si>
  <si>
    <t>นาย รัฐ</t>
  </si>
  <si>
    <t>วิโรจน์ศิริ</t>
  </si>
  <si>
    <t>แสวงทอง</t>
  </si>
  <si>
    <t>เสมาทอง</t>
  </si>
  <si>
    <t>สงเรืองศรี</t>
  </si>
  <si>
    <t>นาย ประฉัน</t>
  </si>
  <si>
    <t>แก้วทา</t>
  </si>
  <si>
    <t>ไมตรี</t>
  </si>
  <si>
    <t>มานะกิจกลการ</t>
  </si>
  <si>
    <t>นาง จุมรี</t>
  </si>
  <si>
    <t>ชิตเกษร</t>
  </si>
  <si>
    <t>นาย ผจญ</t>
  </si>
  <si>
    <t>สวัสดิพงษ์</t>
  </si>
  <si>
    <t>จันทาพูน</t>
  </si>
  <si>
    <t>นาง จิภาญุ</t>
  </si>
  <si>
    <t>เทพภักดี</t>
  </si>
  <si>
    <t>กลมเกลี้ยง</t>
  </si>
  <si>
    <t>พรมมาก</t>
  </si>
  <si>
    <t>พรหมคำ</t>
  </si>
  <si>
    <t>สุวรรณภูมิ</t>
  </si>
  <si>
    <t>นาย ชวเรศ</t>
  </si>
  <si>
    <t>มีบุตรดี</t>
  </si>
  <si>
    <t>นาย ทรงสิทธิ์</t>
  </si>
  <si>
    <t>จำนงค์วัฒน์</t>
  </si>
  <si>
    <t>สุโพธิ์</t>
  </si>
  <si>
    <t>นาย จิระ</t>
  </si>
  <si>
    <t>เพ็ชรวงศ์</t>
  </si>
  <si>
    <t>บุณยสุรักษ์</t>
  </si>
  <si>
    <t xml:space="preserve">นางสาว ชนิดาภา </t>
  </si>
  <si>
    <t xml:space="preserve">สาตรีเฮ้า </t>
  </si>
  <si>
    <t xml:space="preserve">ตุ้ยหะ </t>
  </si>
  <si>
    <t>นวลตาล</t>
  </si>
  <si>
    <t xml:space="preserve">นางสาว มณีรัตน์ </t>
  </si>
  <si>
    <t xml:space="preserve">ตุ้ยสำราญ </t>
  </si>
  <si>
    <t xml:space="preserve">นางสาว พลอยลภัส </t>
  </si>
  <si>
    <t xml:space="preserve">นางสาว ณัฏฐวรณัน </t>
  </si>
  <si>
    <t xml:space="preserve">สมิดาสุตานันท์ </t>
  </si>
  <si>
    <t xml:space="preserve">นางสาว ชฎาพร </t>
  </si>
  <si>
    <t>อินเปลี่ยน</t>
  </si>
  <si>
    <t>นาย เจริญสิน</t>
  </si>
  <si>
    <t>นาย สุภาร</t>
  </si>
  <si>
    <t>อภัยนอก</t>
  </si>
  <si>
    <t xml:space="preserve">นางสาว จีระพร </t>
  </si>
  <si>
    <t xml:space="preserve">ทองเสริม </t>
  </si>
  <si>
    <t>ลำดวน</t>
  </si>
  <si>
    <t>ชาอุ่น</t>
  </si>
  <si>
    <t>แรมวิโรจน์</t>
  </si>
  <si>
    <t>นางสาว วรุณย์พันธ์</t>
  </si>
  <si>
    <t>สัจจวณิชย์</t>
  </si>
  <si>
    <t xml:space="preserve">นางสาว อำภา </t>
  </si>
  <si>
    <t xml:space="preserve">คุรุพงศ์ </t>
  </si>
  <si>
    <t xml:space="preserve">เชียงราย </t>
  </si>
  <si>
    <t xml:space="preserve">นางสาว รสริน </t>
  </si>
  <si>
    <t xml:space="preserve">ทรตัน </t>
  </si>
  <si>
    <t>นางสาว อัญธิกา</t>
  </si>
  <si>
    <t>ตนมิตร</t>
  </si>
  <si>
    <t>เพ็งขุนทด</t>
  </si>
  <si>
    <t>วงค์สายแก้ว</t>
  </si>
  <si>
    <t>คำเกตุ</t>
  </si>
  <si>
    <t>นางสาว กำไลทอง</t>
  </si>
  <si>
    <t>สุวรรณโณ</t>
  </si>
  <si>
    <t xml:space="preserve">นางสาว เฉลิมศรี </t>
  </si>
  <si>
    <t xml:space="preserve">ถิ่นจันทร์ </t>
  </si>
  <si>
    <t>แปก่ำ</t>
  </si>
  <si>
    <t>ก๋าคำมูล</t>
  </si>
  <si>
    <t xml:space="preserve">อินน้อย </t>
  </si>
  <si>
    <t>ยงยืน</t>
  </si>
  <si>
    <t>นางสาว ธัญชนก</t>
  </si>
  <si>
    <t>สายบุญยืน</t>
  </si>
  <si>
    <t>นาย ธีรวงศ์</t>
  </si>
  <si>
    <t>ชวลิตพงษ์</t>
  </si>
  <si>
    <t>พูลทอง</t>
  </si>
  <si>
    <t>นาย ปวิช</t>
  </si>
  <si>
    <t xml:space="preserve">จงธีรโรจน์ </t>
  </si>
  <si>
    <t>นางสาว กุลริศา</t>
  </si>
  <si>
    <t>เกตุนาค</t>
  </si>
  <si>
    <t>นางสาว ธัญญรัตน์</t>
  </si>
  <si>
    <t>ภัทรชนนวรพล</t>
  </si>
  <si>
    <t>สุขใย</t>
  </si>
  <si>
    <t>บุญประกอบ</t>
  </si>
  <si>
    <t>ยะแก้ว</t>
  </si>
  <si>
    <t>สัมมาวรรณ</t>
  </si>
  <si>
    <t>พิมพ์ศรี</t>
  </si>
  <si>
    <t>อินแนน</t>
  </si>
  <si>
    <t>กันทะจันทร์</t>
  </si>
  <si>
    <t>เพชรช่อ</t>
  </si>
  <si>
    <t>นาง พรนิภา</t>
  </si>
  <si>
    <t>ทองศิริ</t>
  </si>
  <si>
    <t>สุฤทธิ์</t>
  </si>
  <si>
    <t>เลิศวิทยสกุล</t>
  </si>
  <si>
    <t>นาย ยอด</t>
  </si>
  <si>
    <t>แจ่มแจ้ง</t>
  </si>
  <si>
    <t>นาง สมทรง</t>
  </si>
  <si>
    <t>รัตนวิชัย</t>
  </si>
  <si>
    <t>นาง วัชราภรณ์</t>
  </si>
  <si>
    <t>มณฑาจันทร์</t>
  </si>
  <si>
    <t>นาย ญาณกร</t>
  </si>
  <si>
    <t>อรัญกูล</t>
  </si>
  <si>
    <t>นาย พนมไพร</t>
  </si>
  <si>
    <t>น้อยลา</t>
  </si>
  <si>
    <t>นาย สงกา</t>
  </si>
  <si>
    <t>ปราชม</t>
  </si>
  <si>
    <t>สีสวาสดิ์</t>
  </si>
  <si>
    <t>นาง พรเพ็ญ</t>
  </si>
  <si>
    <t>จีนยี่</t>
  </si>
  <si>
    <t>นาง ชรินรัตน์</t>
  </si>
  <si>
    <t>ตีทอง</t>
  </si>
  <si>
    <t>พรหมเศรณี</t>
  </si>
  <si>
    <t>ภูขมัง</t>
  </si>
  <si>
    <t>นาง ตระกูล</t>
  </si>
  <si>
    <t>กุนสง</t>
  </si>
  <si>
    <t>นางสาว สายหยุด</t>
  </si>
  <si>
    <t>โตสุข</t>
  </si>
  <si>
    <t>นางสาว บุญญาพร</t>
  </si>
  <si>
    <t>ทิพยบวรกุล</t>
  </si>
  <si>
    <t>นางสาว ณัฏฐพร</t>
  </si>
  <si>
    <t>จันทขันธ์</t>
  </si>
  <si>
    <t>ใจเฉื่อย</t>
  </si>
  <si>
    <t>จันทร์วรพิพัฒน์</t>
  </si>
  <si>
    <t>นางสาว กรองกาญจน์</t>
  </si>
  <si>
    <t>กาญจนวิบูลย์</t>
  </si>
  <si>
    <t>นางสาว อัมภิญา</t>
  </si>
  <si>
    <t>ปิ่นสี</t>
  </si>
  <si>
    <t>นางสาว พิจิตรา</t>
  </si>
  <si>
    <t>นาง กุลนิภา</t>
  </si>
  <si>
    <t>ทะเพชร</t>
  </si>
  <si>
    <t>นาย พีรพล</t>
  </si>
  <si>
    <t>สุธงษา</t>
  </si>
  <si>
    <t xml:space="preserve">นางสาว กัญญาภัค </t>
  </si>
  <si>
    <t xml:space="preserve">เจริญรักษ์ </t>
  </si>
  <si>
    <t xml:space="preserve">นาง ณัฐนันท์ </t>
  </si>
  <si>
    <t>กันตุ่ม</t>
  </si>
  <si>
    <t xml:space="preserve">นาสูงชน </t>
  </si>
  <si>
    <t xml:space="preserve">นางสาว ธัญจิรา </t>
  </si>
  <si>
    <t>ยศสุพรม</t>
  </si>
  <si>
    <t xml:space="preserve">นางสาว กัญญานี </t>
  </si>
  <si>
    <t xml:space="preserve">ศรีมังกร </t>
  </si>
  <si>
    <t>กั้ววงษ์</t>
  </si>
  <si>
    <t xml:space="preserve">ว่าที่ ร.ต. ธนวัฒน์ </t>
  </si>
  <si>
    <t xml:space="preserve">บุญยาเกิดศิริ </t>
  </si>
  <si>
    <t xml:space="preserve">นางสาว มะลิสา </t>
  </si>
  <si>
    <t>ถือศิล</t>
  </si>
  <si>
    <t xml:space="preserve">นาย กิตติธัช </t>
  </si>
  <si>
    <t xml:space="preserve">มะโนสา </t>
  </si>
  <si>
    <t xml:space="preserve">นาย สุรนาท </t>
  </si>
  <si>
    <t xml:space="preserve">ศรีพันธ์ </t>
  </si>
  <si>
    <t xml:space="preserve">นางสาว ปุณยนุช </t>
  </si>
  <si>
    <t xml:space="preserve">วงศ์จันทรา </t>
  </si>
  <si>
    <t xml:space="preserve">แก้วเหลี่ยม </t>
  </si>
  <si>
    <t xml:space="preserve">นาย ธเนตร </t>
  </si>
  <si>
    <t xml:space="preserve">ฤทธิ์มหันต์ </t>
  </si>
  <si>
    <t xml:space="preserve">อุดมพงษ์ </t>
  </si>
  <si>
    <t xml:space="preserve">นาง อนงค์รัตน์ </t>
  </si>
  <si>
    <t xml:space="preserve">ทองดี </t>
  </si>
  <si>
    <t>นาย อมร</t>
  </si>
  <si>
    <t>ลีน้อย</t>
  </si>
  <si>
    <t>แซ่ลี</t>
  </si>
  <si>
    <t xml:space="preserve">นางสาว ทิพวรรณ </t>
  </si>
  <si>
    <t>บุญพา</t>
  </si>
  <si>
    <t>นางสาว ศศินิภา</t>
  </si>
  <si>
    <t>พรรณา</t>
  </si>
  <si>
    <t>นางสาว กัญณัฏฐ์</t>
  </si>
  <si>
    <t>สุขสว่าง</t>
  </si>
  <si>
    <t xml:space="preserve">นางสาว กาญจนารมณ์ </t>
  </si>
  <si>
    <t xml:space="preserve">ทองโปร่ง </t>
  </si>
  <si>
    <t>ศรัทธารัตน์</t>
  </si>
  <si>
    <t>ขุนอิน</t>
  </si>
  <si>
    <t>วันตา</t>
  </si>
  <si>
    <t>นางสาว มณฑิรา</t>
  </si>
  <si>
    <t>อุบลเลิศกุล</t>
  </si>
  <si>
    <t>นางสาว พันธ์ทิพย์</t>
  </si>
  <si>
    <t>ดำศรีสุข</t>
  </si>
  <si>
    <t>นางสาว ชนัญธิดา</t>
  </si>
  <si>
    <t>สุวรรณชาตรี</t>
  </si>
  <si>
    <t>นาย จีรพงษ์</t>
  </si>
  <si>
    <t>นางสาว ศรัณยา</t>
  </si>
  <si>
    <t>อ่อนคำ</t>
  </si>
  <si>
    <t>นางสาว ภาวิณี</t>
  </si>
  <si>
    <t>แยัมเพ็ง</t>
  </si>
  <si>
    <t>จันทะมา</t>
  </si>
  <si>
    <t>นาย ปุรเชษฐ์</t>
  </si>
  <si>
    <t>โพธิ์ทอง</t>
  </si>
  <si>
    <t>นาย เอื้อ</t>
  </si>
  <si>
    <t>กิจวิเชียร</t>
  </si>
  <si>
    <t>แก้วระยะ</t>
  </si>
  <si>
    <t>แก้วสำรวม</t>
  </si>
  <si>
    <t>ขาวทอง</t>
  </si>
  <si>
    <t>คงเทียบ</t>
  </si>
  <si>
    <t>นางสาว สมบัติ</t>
  </si>
  <si>
    <t>พราหมณ์สำราญ</t>
  </si>
  <si>
    <t>นางสาว สุมาลัย</t>
  </si>
  <si>
    <t>แสงสุวรรณกุล</t>
  </si>
  <si>
    <t>แท่นนาค</t>
  </si>
  <si>
    <t>อินทนิน</t>
  </si>
  <si>
    <t>นาง ภภัสสร</t>
  </si>
  <si>
    <t>ทับทิม</t>
  </si>
  <si>
    <t>จันทร์ลาด</t>
  </si>
  <si>
    <t>แพบุตร</t>
  </si>
  <si>
    <t>นาง ปัทมาภรณ์</t>
  </si>
  <si>
    <t>นวลน้อย</t>
  </si>
  <si>
    <t>นาย ฐิติภูมิ</t>
  </si>
  <si>
    <t>ตุ้มศรี</t>
  </si>
  <si>
    <t>คนคล่อง</t>
  </si>
  <si>
    <t>นาย บุญรวม</t>
  </si>
  <si>
    <t>บุตรเมือง</t>
  </si>
  <si>
    <t>นาง ชุลีพร</t>
  </si>
  <si>
    <t>ทรัพย์สิน</t>
  </si>
  <si>
    <t>พูลชนะ</t>
  </si>
  <si>
    <t>นาง ปรียากร</t>
  </si>
  <si>
    <t>นาง เดือนรุ่ง</t>
  </si>
  <si>
    <t>แสงหิรัญ</t>
  </si>
  <si>
    <t>ไพรอร่าม</t>
  </si>
  <si>
    <t>นาง เกศินี</t>
  </si>
  <si>
    <t>พูลนวม</t>
  </si>
  <si>
    <t>ช่อพฤกษ์</t>
  </si>
  <si>
    <t>โชติมิตร</t>
  </si>
  <si>
    <t>นาง ทวีรัตน์</t>
  </si>
  <si>
    <t>จิตรองอาจ</t>
  </si>
  <si>
    <t>นาง หัทยา</t>
  </si>
  <si>
    <t>ปฐมนุพงศ์</t>
  </si>
  <si>
    <t xml:space="preserve">นาง ราศรี </t>
  </si>
  <si>
    <t xml:space="preserve">อักษรมี </t>
  </si>
  <si>
    <t xml:space="preserve">ปฐมนุพงศ์ </t>
  </si>
  <si>
    <t>นาย เผื่อน</t>
  </si>
  <si>
    <t>สมิงนรา</t>
  </si>
  <si>
    <t>เมืองเล็ก</t>
  </si>
  <si>
    <t>เกิดมั่งมี</t>
  </si>
  <si>
    <t>นาย บวรวัสส์</t>
  </si>
  <si>
    <t>แก้วมรกต</t>
  </si>
  <si>
    <t>นางสาว ศิรประภา</t>
  </si>
  <si>
    <t>โพธิ์กาศ</t>
  </si>
  <si>
    <t xml:space="preserve">นาย นราธิป </t>
  </si>
  <si>
    <t xml:space="preserve">นาง ลดาวัลย์ </t>
  </si>
  <si>
    <t xml:space="preserve">ทอนฮามแก้ว </t>
  </si>
  <si>
    <t xml:space="preserve">นาง ชมพูนุท </t>
  </si>
  <si>
    <t xml:space="preserve">นางสาว จิรัชญา </t>
  </si>
  <si>
    <t xml:space="preserve">ครุฑดำ </t>
  </si>
  <si>
    <t>นางสาว พจนารถ</t>
  </si>
  <si>
    <t>หินอ่อน</t>
  </si>
  <si>
    <t>นางสาว สุจิรา</t>
  </si>
  <si>
    <t>กิจเจริญ</t>
  </si>
  <si>
    <t>ตั้งศุภธวัช</t>
  </si>
  <si>
    <t>ยิ้มดี</t>
  </si>
  <si>
    <t>คลับคล้าย</t>
  </si>
  <si>
    <t>ชาญจารุ</t>
  </si>
  <si>
    <t>ปวนน้อย</t>
  </si>
  <si>
    <t>นางสาว ประพันธ์</t>
  </si>
  <si>
    <t>ชนะวรรณโณ</t>
  </si>
  <si>
    <t>กาลปักษ์</t>
  </si>
  <si>
    <t>จิตรตระวี</t>
  </si>
  <si>
    <t>สิทธิด่าง</t>
  </si>
  <si>
    <t>นาย ยุทธพงศ์</t>
  </si>
  <si>
    <t>นาง ปัจฉิมา</t>
  </si>
  <si>
    <t>เผือกเทศ</t>
  </si>
  <si>
    <t>ศรีนาโค</t>
  </si>
  <si>
    <t>นางสาว ธัญลักษณ์</t>
  </si>
  <si>
    <t>นิ่มนุ้ย</t>
  </si>
  <si>
    <t>นาง รุ่งนภา</t>
  </si>
  <si>
    <t>อังคุณี</t>
  </si>
  <si>
    <t>จอมจิต</t>
  </si>
  <si>
    <t>นาย ยุกตนันท์</t>
  </si>
  <si>
    <t>จำปาเทศ</t>
  </si>
  <si>
    <t>นางสาว ผุสดี</t>
  </si>
  <si>
    <t xml:space="preserve">นาย สักรินทร์ </t>
  </si>
  <si>
    <t xml:space="preserve">เทียนทอง </t>
  </si>
  <si>
    <t>นาง รัฐยา</t>
  </si>
  <si>
    <t xml:space="preserve">ชายศรี </t>
  </si>
  <si>
    <t>นางสาว อำไพ</t>
  </si>
  <si>
    <t>สุขจำรูญ</t>
  </si>
  <si>
    <t xml:space="preserve">นางสาว อลิสา </t>
  </si>
  <si>
    <t xml:space="preserve">ชาตเวช </t>
  </si>
  <si>
    <t>วีระเชื้อ</t>
  </si>
  <si>
    <t xml:space="preserve">สังข์สน </t>
  </si>
  <si>
    <t>นาย ธีรเดช</t>
  </si>
  <si>
    <t>งามกระจาย</t>
  </si>
  <si>
    <t xml:space="preserve">นาง อรุณี </t>
  </si>
  <si>
    <t>แก้วถาวร</t>
  </si>
  <si>
    <t>เอี่ยมสะอาด</t>
  </si>
  <si>
    <t xml:space="preserve">นางสาว วรรณฉัตร </t>
  </si>
  <si>
    <t xml:space="preserve">วิเชียรฉาย </t>
  </si>
  <si>
    <t>นางสาว ปิยวรรณ</t>
  </si>
  <si>
    <t>พูลสมบัติ</t>
  </si>
  <si>
    <t xml:space="preserve">นาย จาตุรงค์ </t>
  </si>
  <si>
    <t>บุญพ่วง</t>
  </si>
  <si>
    <t xml:space="preserve">นาง นิรมล </t>
  </si>
  <si>
    <t xml:space="preserve">เพชรแดง </t>
  </si>
  <si>
    <t xml:space="preserve">นางสาว สายพิน </t>
  </si>
  <si>
    <t xml:space="preserve">ชูจิตร </t>
  </si>
  <si>
    <t xml:space="preserve">นางสาว ธีตินาถ </t>
  </si>
  <si>
    <t xml:space="preserve">เพ็ชรรัตน์ </t>
  </si>
  <si>
    <t>นาย ชัยวัธน์</t>
  </si>
  <si>
    <t>สมุทรเก่า</t>
  </si>
  <si>
    <t>นาย เขมชาติ</t>
  </si>
  <si>
    <t>ปัญจมทุม</t>
  </si>
  <si>
    <t>เนียมเกิด</t>
  </si>
  <si>
    <t>ทองเปี่ยม</t>
  </si>
  <si>
    <t xml:space="preserve">สองสี </t>
  </si>
  <si>
    <t>นาย สังวรณ์</t>
  </si>
  <si>
    <t>เสนะโลหิต</t>
  </si>
  <si>
    <t>สายศร</t>
  </si>
  <si>
    <t>นาย สมเพชร</t>
  </si>
  <si>
    <t>กาทุ่ง</t>
  </si>
  <si>
    <t>นาย วาทิน</t>
  </si>
  <si>
    <t>สกุลอารีวัฒนา</t>
  </si>
  <si>
    <t>นาย วิศาล</t>
  </si>
  <si>
    <t>รุจิเมธางกูร</t>
  </si>
  <si>
    <t>นาย เดช</t>
  </si>
  <si>
    <t>ปัญญาธรรม</t>
  </si>
  <si>
    <t>นางสาว สุพิน</t>
  </si>
  <si>
    <t>ศิริวาส</t>
  </si>
  <si>
    <t>สืบแสน</t>
  </si>
  <si>
    <t>แก้วกัน</t>
  </si>
  <si>
    <t>จุมพิศ</t>
  </si>
  <si>
    <t>นาต๊ะ</t>
  </si>
  <si>
    <t>นาย สมปาน</t>
  </si>
  <si>
    <t>ทรวงแก้ว</t>
  </si>
  <si>
    <t>คงญาติ</t>
  </si>
  <si>
    <t>นาย ชัชคม</t>
  </si>
  <si>
    <t>แก้วสุก</t>
  </si>
  <si>
    <t>ประทักษ์ใจ</t>
  </si>
  <si>
    <t>หนูคุ้มทรัพย์</t>
  </si>
  <si>
    <t>เรียนใจดี</t>
  </si>
  <si>
    <t>อนุมาวัฒนากุล</t>
  </si>
  <si>
    <t>มากมาย</t>
  </si>
  <si>
    <t>นาย มิตรชัย</t>
  </si>
  <si>
    <t>มั่งคั่ง</t>
  </si>
  <si>
    <t>แตงอ่อน</t>
  </si>
  <si>
    <t>นาย ภุชงค์</t>
  </si>
  <si>
    <t>จักรบุตร</t>
  </si>
  <si>
    <t>จินากุล</t>
  </si>
  <si>
    <t>นาย วัลยนต์</t>
  </si>
  <si>
    <t>ปาติ๊บ</t>
  </si>
  <si>
    <t>สลีหล้า</t>
  </si>
  <si>
    <t>สินมณี</t>
  </si>
  <si>
    <t>นาง ดรุณี</t>
  </si>
  <si>
    <t>ฝั้นแบน</t>
  </si>
  <si>
    <t>ข่วงบุญ</t>
  </si>
  <si>
    <t>แก่นหอม</t>
  </si>
  <si>
    <t>นาย วัฒนชัย</t>
  </si>
  <si>
    <t>แนวณรงค์</t>
  </si>
  <si>
    <t>ปะระมะ</t>
  </si>
  <si>
    <t>นาย โกเมนทร์</t>
  </si>
  <si>
    <t>หัวนา</t>
  </si>
  <si>
    <t>นาง อรรถพร</t>
  </si>
  <si>
    <t>สามหมื่นคำ</t>
  </si>
  <si>
    <t>นาง ประกายแสง</t>
  </si>
  <si>
    <t>นาง ภุมรินทร์</t>
  </si>
  <si>
    <t>ปัญญาใส</t>
  </si>
  <si>
    <t>เสียงเพราะ</t>
  </si>
  <si>
    <t>นาง พัชรภรณ์</t>
  </si>
  <si>
    <t>ภู่สวัสดิ์</t>
  </si>
  <si>
    <t>นาย ณัฐพัฒน์</t>
  </si>
  <si>
    <t>สงชู</t>
  </si>
  <si>
    <t>วรรณกุล</t>
  </si>
  <si>
    <t>ตันติพันธุ์พิพัฒน์</t>
  </si>
  <si>
    <t xml:space="preserve">ศุขรักษ์ </t>
  </si>
  <si>
    <t>นาง ณัฐมน</t>
  </si>
  <si>
    <t xml:space="preserve">จารุเลิศพิศุทธิ์ </t>
  </si>
  <si>
    <t>คำชา</t>
  </si>
  <si>
    <t>นาง สกุลยา</t>
  </si>
  <si>
    <t>นาย ชินพงษ์</t>
  </si>
  <si>
    <t>พุทธทรง</t>
  </si>
  <si>
    <t>สุวรรณชัย</t>
  </si>
  <si>
    <t>นาง สุขหทัย</t>
  </si>
  <si>
    <t>ศรีธรรมมา</t>
  </si>
  <si>
    <t>นาย ธนพนธ์</t>
  </si>
  <si>
    <t>มณีวรรณ</t>
  </si>
  <si>
    <t>นาย เที่ยง</t>
  </si>
  <si>
    <t>คาระโก</t>
  </si>
  <si>
    <t>นาย พีระพันธุ์</t>
  </si>
  <si>
    <t>สุทธกุล</t>
  </si>
  <si>
    <t>นาย นิธิศ</t>
  </si>
  <si>
    <t>เทพปิตุพงศ์</t>
  </si>
  <si>
    <t>คำภีระ</t>
  </si>
  <si>
    <t>เกยงค์</t>
  </si>
  <si>
    <t>มูลทิ</t>
  </si>
  <si>
    <t xml:space="preserve">ชุมภูขอด  </t>
  </si>
  <si>
    <t>วงศ์เนาวรัตน์</t>
  </si>
  <si>
    <t>นางสาว วิภารัตน์</t>
  </si>
  <si>
    <t>พระคำลือ</t>
  </si>
  <si>
    <t>นางสาว นภลดา</t>
  </si>
  <si>
    <t>น้อยคำพวง</t>
  </si>
  <si>
    <t>กาศสกุล</t>
  </si>
  <si>
    <t>นางสาว อริสา</t>
  </si>
  <si>
    <t xml:space="preserve">เบญจประทานพร </t>
  </si>
  <si>
    <t xml:space="preserve">นาง อาภาพักตร์ </t>
  </si>
  <si>
    <t>สุวรรณพินท์</t>
  </si>
  <si>
    <t xml:space="preserve">นิพาพันธ์ </t>
  </si>
  <si>
    <t xml:space="preserve">นาย รัตนโชติ </t>
  </si>
  <si>
    <t xml:space="preserve">ไชยวงศ์ </t>
  </si>
  <si>
    <t xml:space="preserve">นาย สิทธิ </t>
  </si>
  <si>
    <t>เดชวิลัย</t>
  </si>
  <si>
    <t>ตันมาลาภรณ์</t>
  </si>
  <si>
    <t xml:space="preserve">นางสาว สริญญา </t>
  </si>
  <si>
    <t xml:space="preserve">ภูมิภู </t>
  </si>
  <si>
    <t xml:space="preserve">นางสาว กัลยาณี </t>
  </si>
  <si>
    <t xml:space="preserve">ประเสริฐขรวงศ์ </t>
  </si>
  <si>
    <t>นาย ศราวิชญ์</t>
  </si>
  <si>
    <t>สายมงคล</t>
  </si>
  <si>
    <t>นาง ทองเหรียญ</t>
  </si>
  <si>
    <t>โยธา</t>
  </si>
  <si>
    <t>นาง สุภาศรี</t>
  </si>
  <si>
    <t>ไชยวงศ์</t>
  </si>
  <si>
    <t>สานอูป</t>
  </si>
  <si>
    <t>นาย สำรง</t>
  </si>
  <si>
    <t>สายสุยะ</t>
  </si>
  <si>
    <t>นาง กัญจนา</t>
  </si>
  <si>
    <t>สอนอุ่น</t>
  </si>
  <si>
    <t>นาง ฤทัยทิพย์</t>
  </si>
  <si>
    <t>นาง อุมาวลี</t>
  </si>
  <si>
    <t xml:space="preserve">ใจเอื้อ </t>
  </si>
  <si>
    <t>นาง พนัชกร</t>
  </si>
  <si>
    <t>จันทร์ทวี</t>
  </si>
  <si>
    <t>นาย ธเนศพล</t>
  </si>
  <si>
    <t>วงศ์เจริญ</t>
  </si>
  <si>
    <t>ทาขาว</t>
  </si>
  <si>
    <t>นาง ศุภาพร</t>
  </si>
  <si>
    <t>ต่อสกุล</t>
  </si>
  <si>
    <t xml:space="preserve">จริตธรรม </t>
  </si>
  <si>
    <t xml:space="preserve">นาง ลินดา </t>
  </si>
  <si>
    <t>เรืองจันทร์</t>
  </si>
  <si>
    <t xml:space="preserve">นาง มลฑริกา </t>
  </si>
  <si>
    <t>นางสาว กชพรรณ</t>
  </si>
  <si>
    <t xml:space="preserve">นาย ตุลย์ </t>
  </si>
  <si>
    <t xml:space="preserve">แก่นหอม </t>
  </si>
  <si>
    <t xml:space="preserve">นาง ประดิชญา </t>
  </si>
  <si>
    <t>จิราเกียรติขจร</t>
  </si>
  <si>
    <t xml:space="preserve">นางสาว ณัฏฐพัชร์ </t>
  </si>
  <si>
    <t xml:space="preserve">ชุมภูราษฏร์ </t>
  </si>
  <si>
    <t>นางสาว สิรมนตร์</t>
  </si>
  <si>
    <t>คชสาร</t>
  </si>
  <si>
    <t xml:space="preserve">นาย จิดาพัฒน์ </t>
  </si>
  <si>
    <t xml:space="preserve">พิมพิรัตน์ </t>
  </si>
  <si>
    <t>นางสาว วรพินทร์</t>
  </si>
  <si>
    <t>ศรีใจอินทร์</t>
  </si>
  <si>
    <t>กำหนด</t>
  </si>
  <si>
    <t>นาย พลากร</t>
  </si>
  <si>
    <t xml:space="preserve">สิริราษฎร์ </t>
  </si>
  <si>
    <t>สันป่าเป้า</t>
  </si>
  <si>
    <t xml:space="preserve">นางสาว อรุโณทัย </t>
  </si>
  <si>
    <t xml:space="preserve">ไวทยโยธิน </t>
  </si>
  <si>
    <t xml:space="preserve">นาย ดุษดี </t>
  </si>
  <si>
    <t>ทรอาษา</t>
  </si>
  <si>
    <t xml:space="preserve">นาย ธรรมรักษ์ </t>
  </si>
  <si>
    <t xml:space="preserve">สืบธรรม </t>
  </si>
  <si>
    <t xml:space="preserve">นางสาว นุชรีย์  </t>
  </si>
  <si>
    <t xml:space="preserve">ชัยวรรณธรรม </t>
  </si>
  <si>
    <t>อินโองการ</t>
  </si>
  <si>
    <t>นางสาว จิรสุดา</t>
  </si>
  <si>
    <t>ปัญญาไศย</t>
  </si>
  <si>
    <t xml:space="preserve">นางสาว พิมพา </t>
  </si>
  <si>
    <t>บุญนำมา</t>
  </si>
  <si>
    <t xml:space="preserve">นางสาว โสภิตรา </t>
  </si>
  <si>
    <t>จันหมื่น</t>
  </si>
  <si>
    <t>สิริราษฏร์</t>
  </si>
  <si>
    <t>นางสาว ศรีไสล</t>
  </si>
  <si>
    <t>อุปนันชัย</t>
  </si>
  <si>
    <t xml:space="preserve">นาย กิจจา </t>
  </si>
  <si>
    <t xml:space="preserve">สืบหงษ์ </t>
  </si>
  <si>
    <t xml:space="preserve">ว่าที่ ร.ต.หญิง พัชรินทร์ </t>
  </si>
  <si>
    <t xml:space="preserve">สอนปันดิ </t>
  </si>
  <si>
    <t xml:space="preserve">นาย ภูวสิษฎ์ </t>
  </si>
  <si>
    <t xml:space="preserve">นาย ภูกฤษ </t>
  </si>
  <si>
    <t xml:space="preserve">ดีปาละ </t>
  </si>
  <si>
    <t xml:space="preserve">นาย กฤษฎายุ </t>
  </si>
  <si>
    <t xml:space="preserve">วันดี </t>
  </si>
  <si>
    <t>ทะฤาษี</t>
  </si>
  <si>
    <t>นางสาว ณปภัช</t>
  </si>
  <si>
    <t>นาย สมมารถ</t>
  </si>
  <si>
    <t>สยมภาค</t>
  </si>
  <si>
    <t>มังกรจารุกุล</t>
  </si>
  <si>
    <t>นาย คมกริช</t>
  </si>
  <si>
    <t>ระย้าแก้ว</t>
  </si>
  <si>
    <t>ซื่อสัตย์</t>
  </si>
  <si>
    <t>จริยาแจ่มสิทธิ์</t>
  </si>
  <si>
    <t>ปัญจขันธ์</t>
  </si>
  <si>
    <t>ศรีอ้วน</t>
  </si>
  <si>
    <t>นาย สว่าง</t>
  </si>
  <si>
    <t>แก้วเมืองวงศ์</t>
  </si>
  <si>
    <t>ตุ้มกุล</t>
  </si>
  <si>
    <t>เออไชยยา</t>
  </si>
  <si>
    <t>นางสาว นิรชรา</t>
  </si>
  <si>
    <t>วงศ์ไชย</t>
  </si>
  <si>
    <t>ทาเกิด</t>
  </si>
  <si>
    <t>ด่านศักดิ์ดา</t>
  </si>
  <si>
    <t>ยืนยงแสน</t>
  </si>
  <si>
    <t>นาย ศุภสิทธิ์</t>
  </si>
  <si>
    <t>ชัยเรืองวุฒิ</t>
  </si>
  <si>
    <t>คำแสนพันธ์</t>
  </si>
  <si>
    <t>เพชรวสันต์</t>
  </si>
  <si>
    <t>นาย นง</t>
  </si>
  <si>
    <t>เขื่อนขันธ์</t>
  </si>
  <si>
    <t>เรืองเดช</t>
  </si>
  <si>
    <t>นาง สุกฤตา</t>
  </si>
  <si>
    <t>อารินทร์</t>
  </si>
  <si>
    <t>ปารมณ์</t>
  </si>
  <si>
    <t>คชประเสริฐ</t>
  </si>
  <si>
    <t>นักหล่อ</t>
  </si>
  <si>
    <t>นาย บุญรวย</t>
  </si>
  <si>
    <t>ก๋าเงิน</t>
  </si>
  <si>
    <t>เร่งเร็ว</t>
  </si>
  <si>
    <t>นาง ทัศนาพร</t>
  </si>
  <si>
    <t>เผ่าปินตา</t>
  </si>
  <si>
    <t>นาย สุรวิช</t>
  </si>
  <si>
    <t>วงศ์ปัญญา</t>
  </si>
  <si>
    <t>หาญเสือเหลือง</t>
  </si>
  <si>
    <t>นางสาว ศุภัชญา</t>
  </si>
  <si>
    <t>สิงห์ประเสริฐ</t>
  </si>
  <si>
    <t>คำปันติ๊บ</t>
  </si>
  <si>
    <t xml:space="preserve">นาย ราเชนทร์ </t>
  </si>
  <si>
    <t>สุวรรณหิตาทร</t>
  </si>
  <si>
    <t>นาย ณัฐพล</t>
  </si>
  <si>
    <t>กิตติบุญญวัฒน์</t>
  </si>
  <si>
    <t>นาย อรรถจิต</t>
  </si>
  <si>
    <t>รงค์ทอง</t>
  </si>
  <si>
    <t xml:space="preserve">นาย กษิดิศ </t>
  </si>
  <si>
    <t xml:space="preserve">ศรีพันธุ์ </t>
  </si>
  <si>
    <t xml:space="preserve">นางสาว ศตพร </t>
  </si>
  <si>
    <t xml:space="preserve">ศรีประภา </t>
  </si>
  <si>
    <t>นางสาว กรณ์สิรี</t>
  </si>
  <si>
    <t>อภิสิริรัชฎ์</t>
  </si>
  <si>
    <t>ราชสีห์</t>
  </si>
  <si>
    <t>นาย อนุพนธ์</t>
  </si>
  <si>
    <t>มูลตุ้ย</t>
  </si>
  <si>
    <t xml:space="preserve">นาย ยงยุทธ </t>
  </si>
  <si>
    <t xml:space="preserve">ดาวตาก </t>
  </si>
  <si>
    <t xml:space="preserve">นาย ภูษณะพงษ์ </t>
  </si>
  <si>
    <t xml:space="preserve">เวียงยา </t>
  </si>
  <si>
    <t>นางสาว ภณิดา</t>
  </si>
  <si>
    <t>ปรีดาสุริยะชัย</t>
  </si>
  <si>
    <t>นาง เสาวภาคย์</t>
  </si>
  <si>
    <t>ดาวตาก</t>
  </si>
  <si>
    <t xml:space="preserve">นางสาว ลลิตา </t>
  </si>
  <si>
    <t xml:space="preserve">กำแพงแก้ว </t>
  </si>
  <si>
    <t xml:space="preserve">นางสาว มณีนุช </t>
  </si>
  <si>
    <t xml:space="preserve">ณ สุวรรณ </t>
  </si>
  <si>
    <t xml:space="preserve">นางสาว รุ่งอรุณ </t>
  </si>
  <si>
    <t xml:space="preserve">ทาวรรณะ </t>
  </si>
  <si>
    <t xml:space="preserve">นาย อัครินทร์ </t>
  </si>
  <si>
    <t xml:space="preserve">ธนันต์ชัยเลิศ </t>
  </si>
  <si>
    <t xml:space="preserve">นาย สมเพียร </t>
  </si>
  <si>
    <t xml:space="preserve">ภิธรรมมา </t>
  </si>
  <si>
    <t>นาย เอกณัฏฐ์</t>
  </si>
  <si>
    <t xml:space="preserve">จายหลวง </t>
  </si>
  <si>
    <t>นางสาว ภัทรธิญา</t>
  </si>
  <si>
    <t>แก้วนาติ๊บ</t>
  </si>
  <si>
    <t>นาย ธนสมบัติ</t>
  </si>
  <si>
    <t>ใจจิตต์</t>
  </si>
  <si>
    <t>สมงาม</t>
  </si>
  <si>
    <t>กลไกล</t>
  </si>
  <si>
    <t>ทิพย์ชู</t>
  </si>
  <si>
    <t xml:space="preserve">นาง สุนันทา </t>
  </si>
  <si>
    <t xml:space="preserve">ณ มา </t>
  </si>
  <si>
    <t xml:space="preserve">จุลรัตน์ </t>
  </si>
  <si>
    <t xml:space="preserve">ห่านตระกูล </t>
  </si>
  <si>
    <t>นาย ขิณเพชร</t>
  </si>
  <si>
    <t>ทองคำปัน</t>
  </si>
  <si>
    <t>กะรัตน์</t>
  </si>
  <si>
    <t>ใจด้วง</t>
  </si>
  <si>
    <t>ศรีนุ</t>
  </si>
  <si>
    <t xml:space="preserve">นาง เสฏฐีรัตน์ </t>
  </si>
  <si>
    <t>คงภัคบวรภพ</t>
  </si>
  <si>
    <t>นาย นฤมิตร</t>
  </si>
  <si>
    <t>สมัคร</t>
  </si>
  <si>
    <t>นุเมฆ</t>
  </si>
  <si>
    <t>นาง ชุติการย์</t>
  </si>
  <si>
    <t>ตันทอง</t>
  </si>
  <si>
    <t>ตั๋นเต็ม</t>
  </si>
  <si>
    <t>นาย การุณย์</t>
  </si>
  <si>
    <t>นางสาว ขวัญเรือน</t>
  </si>
  <si>
    <t>วิลัยรัตน์</t>
  </si>
  <si>
    <t>ขาวขัน</t>
  </si>
  <si>
    <t>นาง วัฒนีย์</t>
  </si>
  <si>
    <t>ธุระสิทธิ์</t>
  </si>
  <si>
    <t>นางสาว แสงทอง</t>
  </si>
  <si>
    <t>นามปิง</t>
  </si>
  <si>
    <t>นาย อุทาน</t>
  </si>
  <si>
    <t>พันธ์ณวงค์</t>
  </si>
  <si>
    <t>นาย ณัฏฐพร</t>
  </si>
  <si>
    <t>บุณยัษเฐียร</t>
  </si>
  <si>
    <t>แสนโข</t>
  </si>
  <si>
    <t>นาย สรภัส</t>
  </si>
  <si>
    <t>เพ็ชรดวงดี</t>
  </si>
  <si>
    <t xml:space="preserve">ผ่านวิริยะกุลชัย </t>
  </si>
  <si>
    <t xml:space="preserve">นาย พรเพชร </t>
  </si>
  <si>
    <t xml:space="preserve">เผ่าแก้ว </t>
  </si>
  <si>
    <t xml:space="preserve">นาย แดน </t>
  </si>
  <si>
    <t xml:space="preserve">ปัญโญ </t>
  </si>
  <si>
    <t xml:space="preserve">นาย ธีรวัฒน์ </t>
  </si>
  <si>
    <t xml:space="preserve">ข้าวทวี </t>
  </si>
  <si>
    <t xml:space="preserve">นาย อภิชัย </t>
  </si>
  <si>
    <t xml:space="preserve">หมู่ก้อน </t>
  </si>
  <si>
    <t xml:space="preserve">นาง อรนุช </t>
  </si>
  <si>
    <t>หงษ์หิน</t>
  </si>
  <si>
    <t xml:space="preserve">นาย ยุทธการ </t>
  </si>
  <si>
    <t>อ่องประกฤติ</t>
  </si>
  <si>
    <t>นางสาว ชมพูนุช</t>
  </si>
  <si>
    <t>ชุมภูปฎิ</t>
  </si>
  <si>
    <t xml:space="preserve">ถุงออน </t>
  </si>
  <si>
    <t>นาย ฤชากร</t>
  </si>
  <si>
    <t>ขุนอ้อย</t>
  </si>
  <si>
    <t>นาวา</t>
  </si>
  <si>
    <t>นาง ชุลีกร</t>
  </si>
  <si>
    <t>ตันกูล</t>
  </si>
  <si>
    <t>นางสาว วาสิณี</t>
  </si>
  <si>
    <t>วิรุญรัตน์</t>
  </si>
  <si>
    <t>นาย จาตุรันต์</t>
  </si>
  <si>
    <t xml:space="preserve">นาง นงค์ลักษณ์ </t>
  </si>
  <si>
    <t xml:space="preserve">สืบสาย </t>
  </si>
  <si>
    <t xml:space="preserve">พิลัยหล้า </t>
  </si>
  <si>
    <t xml:space="preserve">นาย สิรภัทร </t>
  </si>
  <si>
    <t>บุญปั๋น</t>
  </si>
  <si>
    <t xml:space="preserve">นาย อำนาจ </t>
  </si>
  <si>
    <t xml:space="preserve">มณีบุญเรือง </t>
  </si>
  <si>
    <t xml:space="preserve">นาย ยุทธพงษ์ </t>
  </si>
  <si>
    <t xml:space="preserve">ทะปัญญา </t>
  </si>
  <si>
    <t xml:space="preserve">ธนะรังสฤษฏ์ </t>
  </si>
  <si>
    <t>นางสาว เมธิยา</t>
  </si>
  <si>
    <t xml:space="preserve">ศรียา </t>
  </si>
  <si>
    <t>สุดใจ</t>
  </si>
  <si>
    <t>นาย นาวิน</t>
  </si>
  <si>
    <t>ทะริยะ</t>
  </si>
  <si>
    <t>นาย ธราดล</t>
  </si>
  <si>
    <t>ปัญญาวิชา</t>
  </si>
  <si>
    <t xml:space="preserve">นาย ไกรสรณ์ </t>
  </si>
  <si>
    <t xml:space="preserve">คำเงิน </t>
  </si>
  <si>
    <t xml:space="preserve">นางสาว ธนัญชา </t>
  </si>
  <si>
    <t>สุขโสม</t>
  </si>
  <si>
    <t xml:space="preserve">นางสาว ณหทัย </t>
  </si>
  <si>
    <t xml:space="preserve">พลรัฐ </t>
  </si>
  <si>
    <t>นางสาว วรากร</t>
  </si>
  <si>
    <t>ราชคม</t>
  </si>
  <si>
    <t xml:space="preserve">นาย บุญญาฤทธิ์ </t>
  </si>
  <si>
    <t>จิณโกฎ</t>
  </si>
  <si>
    <t xml:space="preserve">กาวิวงศ์ </t>
  </si>
  <si>
    <t>นางสาว ชิชานา</t>
  </si>
  <si>
    <t>จันทร์ปา</t>
  </si>
  <si>
    <t>นาย ไพรวัฒน์</t>
  </si>
  <si>
    <t>อิ่นแก้ว</t>
  </si>
  <si>
    <t xml:space="preserve">นางสาว รัชฎาพร </t>
  </si>
  <si>
    <t xml:space="preserve">นพรัตน์ </t>
  </si>
  <si>
    <t>แก้วเพ็ชรวงค์</t>
  </si>
  <si>
    <t>นาย พงษ์พัฒน์</t>
  </si>
  <si>
    <t>ชุมภู</t>
  </si>
  <si>
    <t xml:space="preserve">คำยา </t>
  </si>
  <si>
    <t>หนูแดง</t>
  </si>
  <si>
    <t>นาย ปาน</t>
  </si>
  <si>
    <t>เจนกิจ</t>
  </si>
  <si>
    <t>นาย นุกูล</t>
  </si>
  <si>
    <t>บัญชาญ</t>
  </si>
  <si>
    <t>นาย จิระวุฒิ</t>
  </si>
  <si>
    <t>ติ๋วตระกูล</t>
  </si>
  <si>
    <t>นาย สุวิชญ</t>
  </si>
  <si>
    <t>ตั่นสุวรรณ</t>
  </si>
  <si>
    <t xml:space="preserve">ชอบธรรม </t>
  </si>
  <si>
    <t>เหมือนคิด</t>
  </si>
  <si>
    <t>ธีรพิทยานนท์</t>
  </si>
  <si>
    <t>ผลพนัก</t>
  </si>
  <si>
    <t>แป๊ะอุ้ย</t>
  </si>
  <si>
    <t>นาย ประดับ</t>
  </si>
  <si>
    <t>ชูสกุลวงศ์</t>
  </si>
  <si>
    <t>แป้นทอง</t>
  </si>
  <si>
    <t>ทองสมบัติ</t>
  </si>
  <si>
    <t>นาย สุรวัฒน์</t>
  </si>
  <si>
    <t>เมืองแก้ว</t>
  </si>
  <si>
    <t>พินโน</t>
  </si>
  <si>
    <t>นาง ศรุดา</t>
  </si>
  <si>
    <t>กิระชานนท์</t>
  </si>
  <si>
    <t>นาย เงิน</t>
  </si>
  <si>
    <t>แซ่เอี๋ยว</t>
  </si>
  <si>
    <t>นางสาว ศุภาวดี</t>
  </si>
  <si>
    <t>สุทธิแสน</t>
  </si>
  <si>
    <t>นางสาว อรัญญา</t>
  </si>
  <si>
    <t>ชูแก้ว</t>
  </si>
  <si>
    <t>นางสาว ชมพูรัตน์</t>
  </si>
  <si>
    <t>ชมบุญ</t>
  </si>
  <si>
    <t>นาย สุบรรณ์</t>
  </si>
  <si>
    <t>รักษ์ทอง</t>
  </si>
  <si>
    <t>นาย ชาลี</t>
  </si>
  <si>
    <t>สิตบุศย์</t>
  </si>
  <si>
    <t>นาง กชมล</t>
  </si>
  <si>
    <t>งามลักษณ์</t>
  </si>
  <si>
    <t>นาง มณิภา</t>
  </si>
  <si>
    <t>ณ ตะกั่วทุ่ง</t>
  </si>
  <si>
    <t>วงศ์ขจร</t>
  </si>
  <si>
    <t>คำภีรสิงห์</t>
  </si>
  <si>
    <t>นางสาว สีฟ้า</t>
  </si>
  <si>
    <t>แซ่ลิ้ม</t>
  </si>
  <si>
    <t>เจียมตัว</t>
  </si>
  <si>
    <t>ก้องเอกภพ</t>
  </si>
  <si>
    <t>นาย ณัฐดนัย</t>
  </si>
  <si>
    <t xml:space="preserve">นางสาว กมลรัตน์ </t>
  </si>
  <si>
    <t xml:space="preserve">มุกดา </t>
  </si>
  <si>
    <t xml:space="preserve">เส้งทับ </t>
  </si>
  <si>
    <t xml:space="preserve">ผลรัตนไพบูลย์ </t>
  </si>
  <si>
    <t xml:space="preserve">นาง สวลี </t>
  </si>
  <si>
    <t xml:space="preserve">รูปสม </t>
  </si>
  <si>
    <t>นางสาว ธนิษฐา</t>
  </si>
  <si>
    <t>เพ็ชรน้อย</t>
  </si>
  <si>
    <t xml:space="preserve">นาย ภักดี </t>
  </si>
  <si>
    <t xml:space="preserve">ทิพย์ไกรลาศ </t>
  </si>
  <si>
    <t>นาง จิรา</t>
  </si>
  <si>
    <t>ทองศรีนวล</t>
  </si>
  <si>
    <t>นาง ปณภัช</t>
  </si>
  <si>
    <t xml:space="preserve">กระจ่างศรี </t>
  </si>
  <si>
    <t xml:space="preserve">ชลหาญ </t>
  </si>
  <si>
    <t xml:space="preserve">นางสาว ปรียานันท์ </t>
  </si>
  <si>
    <t>กาญจนารัตน์</t>
  </si>
  <si>
    <t>กาฬกาญจน์</t>
  </si>
  <si>
    <t>ภูผา</t>
  </si>
  <si>
    <t>นาย สาย</t>
  </si>
  <si>
    <t>โสรธร</t>
  </si>
  <si>
    <t>วงศ์สมศักดิ์</t>
  </si>
  <si>
    <t>นาง บุญยัง</t>
  </si>
  <si>
    <t>สุวรรณดิษฐ์</t>
  </si>
  <si>
    <t>เพ็ชรประดิษฐ์</t>
  </si>
  <si>
    <t>นาย พงศ์ชัย</t>
  </si>
  <si>
    <t>พิศชวนชม</t>
  </si>
  <si>
    <t>นาง สุคนธ์</t>
  </si>
  <si>
    <t>โพชะราช</t>
  </si>
  <si>
    <t>นาง พิกุล</t>
  </si>
  <si>
    <t>วงษ์คำจันทร์</t>
  </si>
  <si>
    <t>มิสาโท</t>
  </si>
  <si>
    <t>ทุมนิมิตร์</t>
  </si>
  <si>
    <t>เนื่องละมุล</t>
  </si>
  <si>
    <t>นาง ประเพียร</t>
  </si>
  <si>
    <t>ตะล่อมกลาง</t>
  </si>
  <si>
    <t>ดาวไธสง</t>
  </si>
  <si>
    <t>วิจารณ์จิตร</t>
  </si>
  <si>
    <t>เอมะพัฒน์</t>
  </si>
  <si>
    <t>โชควัฒน์วิกุล</t>
  </si>
  <si>
    <t>ดีคำวงค์</t>
  </si>
  <si>
    <t>นาง บานเย็น</t>
  </si>
  <si>
    <t>ลาโยธี</t>
  </si>
  <si>
    <t>โยธะบุรี</t>
  </si>
  <si>
    <t>เชื้อทอง</t>
  </si>
  <si>
    <t>นาย ไตรมิตร</t>
  </si>
  <si>
    <t>หมื่นไธสง</t>
  </si>
  <si>
    <t>สิทธิจันทร์</t>
  </si>
  <si>
    <t>นาย บรรหาญ</t>
  </si>
  <si>
    <t>สุวรรณพันธ์</t>
  </si>
  <si>
    <t>นาง พิมลพรรณ</t>
  </si>
  <si>
    <t>พลแก้ว</t>
  </si>
  <si>
    <t>นาย หาญ</t>
  </si>
  <si>
    <t>ช่อประพันธ์</t>
  </si>
  <si>
    <t>คำสะอาด</t>
  </si>
  <si>
    <t>นาง สุนิดา</t>
  </si>
  <si>
    <t>ธีรางศุ</t>
  </si>
  <si>
    <t>ยืนชีวี</t>
  </si>
  <si>
    <t>นาย จิตติศักดิ์</t>
  </si>
  <si>
    <t>แก้วโพธิ์</t>
  </si>
  <si>
    <t>ภู่แก้ว</t>
  </si>
  <si>
    <t>นาย มงคลสมัย</t>
  </si>
  <si>
    <t>ยางงาม</t>
  </si>
  <si>
    <t>เหล่าลือชา</t>
  </si>
  <si>
    <t>นาย วิชัน</t>
  </si>
  <si>
    <t>มานิล</t>
  </si>
  <si>
    <t>แสนทวีสุข</t>
  </si>
  <si>
    <t>นาย ประกอบกิจ</t>
  </si>
  <si>
    <t>ภูชนะศรี</t>
  </si>
  <si>
    <t>นาง จินตนารัตน์</t>
  </si>
  <si>
    <t>ปะกิระตัง</t>
  </si>
  <si>
    <t>นาย ประสรรค์</t>
  </si>
  <si>
    <t>อู่เงิน</t>
  </si>
  <si>
    <t>ชัยลิ้นฟ้า</t>
  </si>
  <si>
    <t>ศรีบุศยกุล</t>
  </si>
  <si>
    <t>ภูกัน</t>
  </si>
  <si>
    <t xml:space="preserve">นาง อนงค์ศรี </t>
  </si>
  <si>
    <t xml:space="preserve">ภู่แก้ว </t>
  </si>
  <si>
    <t>นาง สุวิสาข์</t>
  </si>
  <si>
    <t>สาระอินทร์</t>
  </si>
  <si>
    <t>ดวงจันทร์ทิพย์</t>
  </si>
  <si>
    <t>เรืองศักดิ์</t>
  </si>
  <si>
    <t>นาย อมฤทธิ์</t>
  </si>
  <si>
    <t>สารจิตต์</t>
  </si>
  <si>
    <t xml:space="preserve">นาง กัญญาภัทร </t>
  </si>
  <si>
    <t xml:space="preserve">ณะไธสง </t>
  </si>
  <si>
    <t>คำศิริรักษ์</t>
  </si>
  <si>
    <t>หาญชนะ</t>
  </si>
  <si>
    <t>นางสาว ธนัชภรณ์</t>
  </si>
  <si>
    <t>วัฒนชัย</t>
  </si>
  <si>
    <t>โนนทอง</t>
  </si>
  <si>
    <t>นางสาว รัชติภรณ์</t>
  </si>
  <si>
    <t>เผ้าอาจ</t>
  </si>
  <si>
    <t xml:space="preserve">นางสาว เทพวดี </t>
  </si>
  <si>
    <t xml:space="preserve">ช้างดี </t>
  </si>
  <si>
    <t xml:space="preserve">บำรุงสวัสดิ์ </t>
  </si>
  <si>
    <t xml:space="preserve">นาย ยุทธพร </t>
  </si>
  <si>
    <t>ฝนทั่ง</t>
  </si>
  <si>
    <t xml:space="preserve">นางสาว นันนิภา </t>
  </si>
  <si>
    <t xml:space="preserve">ประสันลักษณ์ </t>
  </si>
  <si>
    <t>นาย สุรวิทย์</t>
  </si>
  <si>
    <t>ชาติประมง</t>
  </si>
  <si>
    <t>นาย จงรัก</t>
  </si>
  <si>
    <t>ฮาดภักดี</t>
  </si>
  <si>
    <t>นาง เพียงกมล</t>
  </si>
  <si>
    <t>ศิริสัจจัง</t>
  </si>
  <si>
    <t>นาย จักรชัย</t>
  </si>
  <si>
    <t>ตัณฑศิลป์</t>
  </si>
  <si>
    <t>นางสาว ศุภักษร</t>
  </si>
  <si>
    <t>แก้วไพฑูรย์</t>
  </si>
  <si>
    <t>นาย ไกรสีห์</t>
  </si>
  <si>
    <t>ปิ่นสุวรรณ</t>
  </si>
  <si>
    <t>นาง สรัญทร</t>
  </si>
  <si>
    <t>สระบัวบาน</t>
  </si>
  <si>
    <t>นาย วิเชษฐ์</t>
  </si>
  <si>
    <t>เขียวสลุง</t>
  </si>
  <si>
    <t>นาย พล</t>
  </si>
  <si>
    <t>มีระหารนอก</t>
  </si>
  <si>
    <t>นาย ชาญยุทธ</t>
  </si>
  <si>
    <t>แย้มพยุง</t>
  </si>
  <si>
    <t>ธุระแสง</t>
  </si>
  <si>
    <t>ศรประสิทธิ์</t>
  </si>
  <si>
    <t>ฤทธิเดช</t>
  </si>
  <si>
    <t>โยประทุม</t>
  </si>
  <si>
    <t>นาง สุรางค์</t>
  </si>
  <si>
    <t>นาง บุญเพ็ง</t>
  </si>
  <si>
    <t>สิงห์ศร</t>
  </si>
  <si>
    <t>นาย ธีระพงค์</t>
  </si>
  <si>
    <t>ฤทธิ์โชติ</t>
  </si>
  <si>
    <t>โสระธิวา</t>
  </si>
  <si>
    <t>ใสบาล</t>
  </si>
  <si>
    <t>อินทา</t>
  </si>
  <si>
    <t>นาย ก้าน</t>
  </si>
  <si>
    <t>ทวยมีฤทธิ์</t>
  </si>
  <si>
    <t>นาง สุศฤงคาร</t>
  </si>
  <si>
    <t>แก้วทาสี</t>
  </si>
  <si>
    <t>นาย วรพงศ์</t>
  </si>
  <si>
    <t>ช่วยอุดม</t>
  </si>
  <si>
    <t>นาง แพรวพิศ</t>
  </si>
  <si>
    <t>ฤทธิโชติ</t>
  </si>
  <si>
    <t>ดวงมะฮุง</t>
  </si>
  <si>
    <t>กุศลจิต</t>
  </si>
  <si>
    <t>เสาสามา</t>
  </si>
  <si>
    <t>นางสาว สุมิตตา</t>
  </si>
  <si>
    <t>บุญผิว</t>
  </si>
  <si>
    <t>สมอุดร</t>
  </si>
  <si>
    <t>นาย บุญสวน</t>
  </si>
  <si>
    <t>กลางโคตร</t>
  </si>
  <si>
    <t>นาง เกศศิริ</t>
  </si>
  <si>
    <t>พูลสวาท</t>
  </si>
  <si>
    <t>นาง รุ่งสว่าง</t>
  </si>
  <si>
    <t>จงเกษกรณ์</t>
  </si>
  <si>
    <t>นาย วสัน</t>
  </si>
  <si>
    <t>อุปแสน</t>
  </si>
  <si>
    <t>นาง ทองลา</t>
  </si>
  <si>
    <t>นางสาว กริชญาพร</t>
  </si>
  <si>
    <t>สุ่มมาตย์</t>
  </si>
  <si>
    <t>นาง ชกัญฏา</t>
  </si>
  <si>
    <t>จันทชุม</t>
  </si>
  <si>
    <t>ไชยลาภ</t>
  </si>
  <si>
    <t xml:space="preserve">อาจศิริ </t>
  </si>
  <si>
    <t>พายุบุตร</t>
  </si>
  <si>
    <t>นาง นุชนาถ</t>
  </si>
  <si>
    <t>เหล่าหมวด</t>
  </si>
  <si>
    <t>นาย ปงศ์ปณตช์</t>
  </si>
  <si>
    <t>ปะนะภูเต</t>
  </si>
  <si>
    <t xml:space="preserve">นาง  จารุณีย์ </t>
  </si>
  <si>
    <t xml:space="preserve">รักษาภักดี </t>
  </si>
  <si>
    <t>ไพราม</t>
  </si>
  <si>
    <t>พันธุชิน</t>
  </si>
  <si>
    <t>แพงไธสงค์</t>
  </si>
  <si>
    <t>นาง เพ็ญประภา</t>
  </si>
  <si>
    <t>เพชรสุกใส</t>
  </si>
  <si>
    <t>นาง ระเบียบ</t>
  </si>
  <si>
    <t xml:space="preserve">นาไชยเวศน์ </t>
  </si>
  <si>
    <t>จันนา</t>
  </si>
  <si>
    <t>ฤทธิ์สยาม</t>
  </si>
  <si>
    <t>นาย พุทธิพงษ์</t>
  </si>
  <si>
    <t>พารา</t>
  </si>
  <si>
    <t>นาง เสาวนุช</t>
  </si>
  <si>
    <t>ศรีวรขันธ์</t>
  </si>
  <si>
    <t>ปะการะสังข์</t>
  </si>
  <si>
    <t xml:space="preserve">จันทรโสภณ </t>
  </si>
  <si>
    <t xml:space="preserve">ผิวเผื่อน </t>
  </si>
  <si>
    <t xml:space="preserve">เทพแพง </t>
  </si>
  <si>
    <t xml:space="preserve">นาย วิจิตร </t>
  </si>
  <si>
    <t xml:space="preserve">อาจสอน </t>
  </si>
  <si>
    <t xml:space="preserve">นางสาว เนาวรัตน์ </t>
  </si>
  <si>
    <t xml:space="preserve">แสนแก้ว </t>
  </si>
  <si>
    <t xml:space="preserve">สมมุติรัมย์ </t>
  </si>
  <si>
    <t xml:space="preserve">นาง จุไรรัตน์ </t>
  </si>
  <si>
    <t>ขันอาสา</t>
  </si>
  <si>
    <t>นาง ญาณี</t>
  </si>
  <si>
    <t>สมสงวน</t>
  </si>
  <si>
    <t>ถิ่นสำอางค์</t>
  </si>
  <si>
    <t>พิเมย</t>
  </si>
  <si>
    <t>นางสาว พรภักดิ์</t>
  </si>
  <si>
    <t>รักษาภักดี</t>
  </si>
  <si>
    <t>นางสาว ทิพสุคนธ์</t>
  </si>
  <si>
    <t>คุณเศรษฐ์</t>
  </si>
  <si>
    <t>จันทร์สี</t>
  </si>
  <si>
    <t>สารแสน</t>
  </si>
  <si>
    <t>นางสาว อมรรัตน์</t>
  </si>
  <si>
    <t>ประสพมงคล</t>
  </si>
  <si>
    <t xml:space="preserve">นาย สุภสิงห์ </t>
  </si>
  <si>
    <t xml:space="preserve">โพธิสนธ์ </t>
  </si>
  <si>
    <t xml:space="preserve">พงษ์ยิ้ม </t>
  </si>
  <si>
    <t xml:space="preserve">นางสาว สุวรีย์ </t>
  </si>
  <si>
    <t xml:space="preserve">เคนหงษ์ </t>
  </si>
  <si>
    <t xml:space="preserve">คำแสนพันธ์ </t>
  </si>
  <si>
    <t xml:space="preserve">ละโพธิ์ </t>
  </si>
  <si>
    <t>ไชยวงษ์</t>
  </si>
  <si>
    <t xml:space="preserve">นางสาว มุกดารัศมิ์ </t>
  </si>
  <si>
    <t xml:space="preserve">สุวรรณพันธ์ </t>
  </si>
  <si>
    <t xml:space="preserve">ลาโคตร </t>
  </si>
  <si>
    <t xml:space="preserve">สุวรรณปา </t>
  </si>
  <si>
    <t>สิทธิเสือ</t>
  </si>
  <si>
    <t xml:space="preserve">นางสาว สุญาณี </t>
  </si>
  <si>
    <t xml:space="preserve">แสนเศษ </t>
  </si>
  <si>
    <t>เกิดบุญมี</t>
  </si>
  <si>
    <t>นาง อภิรมณ์</t>
  </si>
  <si>
    <t>แทนกาง</t>
  </si>
  <si>
    <t>ประทุมพล</t>
  </si>
  <si>
    <t xml:space="preserve">นาย สมร </t>
  </si>
  <si>
    <t xml:space="preserve">อุ่นเจริญ </t>
  </si>
  <si>
    <t>นาย ศักดิ์สิทธิ์</t>
  </si>
  <si>
    <t>ภูจ่าพล</t>
  </si>
  <si>
    <t>นางสาว อริสรา</t>
  </si>
  <si>
    <t>ภูเด่นผา</t>
  </si>
  <si>
    <t>นางสาว กิ่งกาญจน์</t>
  </si>
  <si>
    <t>วันนาพ่อ</t>
  </si>
  <si>
    <t>ดียะตาม</t>
  </si>
  <si>
    <t>นางสาว สุทธิณี</t>
  </si>
  <si>
    <t>สงวนทรัพย์</t>
  </si>
  <si>
    <t>บินชัย</t>
  </si>
  <si>
    <t>ดิสเสถียร</t>
  </si>
  <si>
    <t xml:space="preserve">นางสาว ชลธิชา </t>
  </si>
  <si>
    <t>ยวงใย</t>
  </si>
  <si>
    <t>นาย กิจจารักษ์</t>
  </si>
  <si>
    <t>วงษ์กุดเลาะ</t>
  </si>
  <si>
    <t>พฤกษ์อุดม</t>
  </si>
  <si>
    <t xml:space="preserve">นางสาว สุดาภรณ์ </t>
  </si>
  <si>
    <t xml:space="preserve">ชุมปัญญา </t>
  </si>
  <si>
    <t>นาย ขจรพงศ์</t>
  </si>
  <si>
    <t>สุชาติพงศ์</t>
  </si>
  <si>
    <t xml:space="preserve">นางสาว สกาวรัตน์ </t>
  </si>
  <si>
    <t xml:space="preserve">ผลประสาท </t>
  </si>
  <si>
    <t>นาย มนเทียร</t>
  </si>
  <si>
    <t>ทองรักษ์</t>
  </si>
  <si>
    <t>สิริชาติ</t>
  </si>
  <si>
    <t>วนาสถิตย์</t>
  </si>
  <si>
    <t>ทรัพย์ขจรเดช</t>
  </si>
  <si>
    <t>มณีธร</t>
  </si>
  <si>
    <t>จินดาหลวง</t>
  </si>
  <si>
    <t>นาย อลงกาญจน์</t>
  </si>
  <si>
    <t>ล่องแซง</t>
  </si>
  <si>
    <t>จันทร์สมบัติ</t>
  </si>
  <si>
    <t>ติ๊บหน่อ</t>
  </si>
  <si>
    <t>ฮ่องสอน</t>
  </si>
  <si>
    <t>นาย แก้วมา</t>
  </si>
  <si>
    <t>สุรินทร์คำ</t>
  </si>
  <si>
    <t>ตันติอนุพงศ์</t>
  </si>
  <si>
    <t>ไฝนันท์ตา</t>
  </si>
  <si>
    <t>นางสาว ศศิวลัย</t>
  </si>
  <si>
    <t>นพคุณ</t>
  </si>
  <si>
    <t>นางสาว จรรย์อมล</t>
  </si>
  <si>
    <t>หรี่จา</t>
  </si>
  <si>
    <t>นาง กัณณิกา</t>
  </si>
  <si>
    <t>ใคร้ยงค์</t>
  </si>
  <si>
    <t>นาย เจษฎา</t>
  </si>
  <si>
    <t>กาพย์ไชย</t>
  </si>
  <si>
    <t>นางสาว บุตร์ชล</t>
  </si>
  <si>
    <t xml:space="preserve">สุวรรณลพ </t>
  </si>
  <si>
    <t xml:space="preserve">นางสาว ชุติกาญจน์ </t>
  </si>
  <si>
    <t>งามวิสัย</t>
  </si>
  <si>
    <t>นางสาว รุ้งลาวัลย์</t>
  </si>
  <si>
    <t>รัญจวรรณะ</t>
  </si>
  <si>
    <t>นางสาว ประทุมพร</t>
  </si>
  <si>
    <t>ขอดแก้ว</t>
  </si>
  <si>
    <t xml:space="preserve">นางสาว อำไพวรรณ </t>
  </si>
  <si>
    <t>พงศ์รัตน</t>
  </si>
  <si>
    <t xml:space="preserve">นางสาว เพชรรัตน์ </t>
  </si>
  <si>
    <t xml:space="preserve">วงค์ธานี </t>
  </si>
  <si>
    <t xml:space="preserve">นางสาว กัญญพัชร์ </t>
  </si>
  <si>
    <t xml:space="preserve">พยาวัง </t>
  </si>
  <si>
    <t xml:space="preserve">นางสาว สุพัตรา </t>
  </si>
  <si>
    <t xml:space="preserve">นาย สโรจณ์พงศ์ </t>
  </si>
  <si>
    <t xml:space="preserve">คงสวัสดิ์ </t>
  </si>
  <si>
    <t xml:space="preserve">นางสาว พิมพ์พิชชา </t>
  </si>
  <si>
    <t xml:space="preserve">ทานา </t>
  </si>
  <si>
    <t>นาย เอกลักษณ์</t>
  </si>
  <si>
    <t>ปินคำ</t>
  </si>
  <si>
    <t xml:space="preserve">ศรีวิชัย </t>
  </si>
  <si>
    <t xml:space="preserve">นางสาว ยุพาพร </t>
  </si>
  <si>
    <t xml:space="preserve">อุณหนันท์ </t>
  </si>
  <si>
    <t>นางสาว รชนีกร</t>
  </si>
  <si>
    <t>บุญมาปะ</t>
  </si>
  <si>
    <t>นาย ณธกร</t>
  </si>
  <si>
    <t>บูลย์ประมุข</t>
  </si>
  <si>
    <t>นางสาว ณัฐวรา</t>
  </si>
  <si>
    <t>อนันต๊ะ</t>
  </si>
  <si>
    <t>ประภัสระกูล</t>
  </si>
  <si>
    <t>คำพินิจ</t>
  </si>
  <si>
    <t>วงศ์สถาน</t>
  </si>
  <si>
    <t xml:space="preserve">นาย ศิโรรัตน์ </t>
  </si>
  <si>
    <t xml:space="preserve">ไชยมงคล </t>
  </si>
  <si>
    <t>นางสาว วนัชพร</t>
  </si>
  <si>
    <t>หาญจริง</t>
  </si>
  <si>
    <t>เลียวสิริพงศ์</t>
  </si>
  <si>
    <t>นาย อัครพล</t>
  </si>
  <si>
    <t>ขัติยะ</t>
  </si>
  <si>
    <t>นาง รมิดา</t>
  </si>
  <si>
    <t>เพชระกระจ่าง</t>
  </si>
  <si>
    <t>อุดมสิทธิ์</t>
  </si>
  <si>
    <t>เมฆลา</t>
  </si>
  <si>
    <t>ไชยวรรณ์</t>
  </si>
  <si>
    <t>ก้องพนาไพร</t>
  </si>
  <si>
    <t>เมืองวงศ์</t>
  </si>
  <si>
    <t>นางสาว ปารชญา</t>
  </si>
  <si>
    <t>พิสูตร</t>
  </si>
  <si>
    <t>สอนศรี</t>
  </si>
  <si>
    <t>นางสาว ณัฎฐ์พณิชา</t>
  </si>
  <si>
    <t xml:space="preserve">สุภานันท์ </t>
  </si>
  <si>
    <t xml:space="preserve">นางสาว พชรวลัย </t>
  </si>
  <si>
    <t xml:space="preserve">เอี่ยมอาภรณ์ </t>
  </si>
  <si>
    <t xml:space="preserve">นาย บดินทร์ </t>
  </si>
  <si>
    <t xml:space="preserve">ศิริวงศ์ </t>
  </si>
  <si>
    <t xml:space="preserve">ศิริน้อย </t>
  </si>
  <si>
    <t xml:space="preserve">ฟองกระจาย </t>
  </si>
  <si>
    <t>นางสาว ฉัฒรปวีณ์</t>
  </si>
  <si>
    <t>ธนณัฏฐ์ธนัท</t>
  </si>
  <si>
    <t>นางสาว อุทัยวรรณ</t>
  </si>
  <si>
    <t>คำผง</t>
  </si>
  <si>
    <t xml:space="preserve">นาง อัฐชราภรณ์ </t>
  </si>
  <si>
    <t>นางสาว นนทนันท์</t>
  </si>
  <si>
    <t>นาคสมบูรณ์</t>
  </si>
  <si>
    <t>สิทธิลภ</t>
  </si>
  <si>
    <t>นางสาว ดวงตะณา</t>
  </si>
  <si>
    <t>วังกุล</t>
  </si>
  <si>
    <t>นางสาว อนันญพร</t>
  </si>
  <si>
    <t>ทำของดี</t>
  </si>
  <si>
    <t xml:space="preserve">นาย ราชัน </t>
  </si>
  <si>
    <t xml:space="preserve">ตันถนอม </t>
  </si>
  <si>
    <t>นางสาว บุษยพรรณ</t>
  </si>
  <si>
    <t xml:space="preserve">นาย รณกร </t>
  </si>
  <si>
    <t>แสงสรศรี</t>
  </si>
  <si>
    <t>ปกรณ์ศิริ</t>
  </si>
  <si>
    <t>ดวงศรี</t>
  </si>
  <si>
    <t>ศรีประสาร</t>
  </si>
  <si>
    <t>มโนขันธ์</t>
  </si>
  <si>
    <t>เขาเขจร</t>
  </si>
  <si>
    <t>พลโยธา</t>
  </si>
  <si>
    <t>นาย ธนชาติ</t>
  </si>
  <si>
    <t>วะชุม</t>
  </si>
  <si>
    <t>นาย เกษมสิน</t>
  </si>
  <si>
    <t>แสนโสม</t>
  </si>
  <si>
    <t>เสียงล้ำ</t>
  </si>
  <si>
    <t>ศรีโยหะ</t>
  </si>
  <si>
    <t>นาง ยุภารัตน์</t>
  </si>
  <si>
    <t>อินภูวา</t>
  </si>
  <si>
    <t>จันปุ่ม</t>
  </si>
  <si>
    <t>นาย นิมิตร</t>
  </si>
  <si>
    <t>นาย บุญเริง</t>
  </si>
  <si>
    <t>พลายแก้ว</t>
  </si>
  <si>
    <t>นาย ไพเราะ</t>
  </si>
  <si>
    <t>คนซื่อ</t>
  </si>
  <si>
    <t>ยืนยั่ง</t>
  </si>
  <si>
    <t>นาย วิศวะนนท์</t>
  </si>
  <si>
    <t>โสมสิทธิ์</t>
  </si>
  <si>
    <t>ดวงดี</t>
  </si>
  <si>
    <t xml:space="preserve">นางสาว ดาวฤดี </t>
  </si>
  <si>
    <t xml:space="preserve">มีชัย </t>
  </si>
  <si>
    <t xml:space="preserve">นางสาว กชพรรณ </t>
  </si>
  <si>
    <t>เกษอินทร์ษา</t>
  </si>
  <si>
    <t xml:space="preserve">นารีวงศ์ </t>
  </si>
  <si>
    <t xml:space="preserve">นาย วิชิต </t>
  </si>
  <si>
    <t>บุษดี</t>
  </si>
  <si>
    <t>ศรีเกื้อกลิ่น</t>
  </si>
  <si>
    <t>ประยงค์หอม</t>
  </si>
  <si>
    <t xml:space="preserve">ว่าที่ ร.ต.หญิง วัลย์ศิรัส </t>
  </si>
  <si>
    <t xml:space="preserve">กุญชนะรงค์ </t>
  </si>
  <si>
    <t xml:space="preserve">นางสาว ธมกร </t>
  </si>
  <si>
    <t>ไชยบุบผา</t>
  </si>
  <si>
    <t xml:space="preserve">นางสาว มาลัยทิพย์ </t>
  </si>
  <si>
    <t xml:space="preserve">สรรพโส </t>
  </si>
  <si>
    <t>นาง นันทิดา</t>
  </si>
  <si>
    <t>แสนอุบล</t>
  </si>
  <si>
    <t>จินาวรณ์</t>
  </si>
  <si>
    <t>นาย บุญรอด</t>
  </si>
  <si>
    <t>แคนติ</t>
  </si>
  <si>
    <t>ผลประสาท</t>
  </si>
  <si>
    <t>นาย พรศิลป์</t>
  </si>
  <si>
    <t>พันธ์วงศ์</t>
  </si>
  <si>
    <t>นาย สุกิจ</t>
  </si>
  <si>
    <t>ราชเมืองขวาง</t>
  </si>
  <si>
    <t>นาง มณีจันทร์</t>
  </si>
  <si>
    <t>นาง อาริยา</t>
  </si>
  <si>
    <t>ขันธ์แก้ว</t>
  </si>
  <si>
    <t>ศิริกุล</t>
  </si>
  <si>
    <t>นาง ไพล้อด</t>
  </si>
  <si>
    <t>ทวีโคตร</t>
  </si>
  <si>
    <t>นาย บวรพงศ์</t>
  </si>
  <si>
    <t>จรูญพงศ์</t>
  </si>
  <si>
    <t>นาง เรียมศรี</t>
  </si>
  <si>
    <t>ทองผา</t>
  </si>
  <si>
    <t>ปัททุม</t>
  </si>
  <si>
    <t>ไตรยศ</t>
  </si>
  <si>
    <t>นาง พะเยา</t>
  </si>
  <si>
    <t>ไตรยวงศ์</t>
  </si>
  <si>
    <t>นาง วิมลนาถ</t>
  </si>
  <si>
    <t>สืบแก้ว(โนรีรัตน์)</t>
  </si>
  <si>
    <t>เมืองแทน</t>
  </si>
  <si>
    <t>ทุ่นทอง</t>
  </si>
  <si>
    <t>นางสาว สมจิต</t>
  </si>
  <si>
    <t>บุทธิจักร์</t>
  </si>
  <si>
    <t>นาย สุระกิจ</t>
  </si>
  <si>
    <t>อาจวิชัย</t>
  </si>
  <si>
    <t>ศรีลาศักดิ์</t>
  </si>
  <si>
    <t>นาง ณัฐพร</t>
  </si>
  <si>
    <t>ซามงค์</t>
  </si>
  <si>
    <t>นาย บรรดิษฐ</t>
  </si>
  <si>
    <t>น้อยทรง</t>
  </si>
  <si>
    <t>นาง อุไรแพ</t>
  </si>
  <si>
    <t>หาทวีแสน</t>
  </si>
  <si>
    <t xml:space="preserve">นางสาว ชษิตา </t>
  </si>
  <si>
    <t>เชื้อเมืองแสน</t>
  </si>
  <si>
    <t>นาง อรจิรา</t>
  </si>
  <si>
    <t>มุ่งดี</t>
  </si>
  <si>
    <t>นาย สุเมต</t>
  </si>
  <si>
    <t>ประจงจิตร</t>
  </si>
  <si>
    <t>ขุลีดี</t>
  </si>
  <si>
    <t>นาง ภิรมย์ญา</t>
  </si>
  <si>
    <t>กลางประพันธ์</t>
  </si>
  <si>
    <t>แป้นอ้อย</t>
  </si>
  <si>
    <t>นาย พรประสิทธิ์</t>
  </si>
  <si>
    <t>โสสว่าง</t>
  </si>
  <si>
    <t>เพ็งแก้ว</t>
  </si>
  <si>
    <t>นาง สุรัฎฐิยา</t>
  </si>
  <si>
    <t>นาง วังนภา</t>
  </si>
  <si>
    <t>ซาเสน</t>
  </si>
  <si>
    <t>นางสาว จันทร์สุดา</t>
  </si>
  <si>
    <t>คำปัน</t>
  </si>
  <si>
    <t>พันดวง</t>
  </si>
  <si>
    <t xml:space="preserve">นาง ศุภพิต </t>
  </si>
  <si>
    <t>ปัญญาวงค์</t>
  </si>
  <si>
    <t>นาง วิจิตรา</t>
  </si>
  <si>
    <t>บุตรดีวงค์</t>
  </si>
  <si>
    <t>นาง วิราวรรณ์</t>
  </si>
  <si>
    <t>ผากา</t>
  </si>
  <si>
    <t>นาง อภินันท์</t>
  </si>
  <si>
    <t>ทองคำวัน</t>
  </si>
  <si>
    <t xml:space="preserve">นาง พชรวรรณ </t>
  </si>
  <si>
    <t>อ่อนคำหล้า</t>
  </si>
  <si>
    <t xml:space="preserve">นาย อมรเทพ </t>
  </si>
  <si>
    <t xml:space="preserve">แสนสุข </t>
  </si>
  <si>
    <t>นางสาว สุตตา</t>
  </si>
  <si>
    <t>โยนานารถ</t>
  </si>
  <si>
    <t xml:space="preserve">นาย ธนานันท์ </t>
  </si>
  <si>
    <t xml:space="preserve">นางสาว กานดา </t>
  </si>
  <si>
    <t xml:space="preserve">ทศรักษา </t>
  </si>
  <si>
    <t xml:space="preserve">นางสาว ดาวใจ </t>
  </si>
  <si>
    <t xml:space="preserve">ทองออน </t>
  </si>
  <si>
    <t>นางสาว พัชรี</t>
  </si>
  <si>
    <t>คนยืน</t>
  </si>
  <si>
    <t>สมสุข</t>
  </si>
  <si>
    <t>ทาเทพ</t>
  </si>
  <si>
    <t>เภาแก้ว</t>
  </si>
  <si>
    <t>นาง เขมิกา</t>
  </si>
  <si>
    <t xml:space="preserve">แป้นอ้อย </t>
  </si>
  <si>
    <t>อนุราช</t>
  </si>
  <si>
    <t>นาง จิรรัตน์</t>
  </si>
  <si>
    <t>ไชยชนะ</t>
  </si>
  <si>
    <t>ลอยทอง</t>
  </si>
  <si>
    <t>ศรีซ้าย</t>
  </si>
  <si>
    <t>วิรุณกาญจน์</t>
  </si>
  <si>
    <t>สุบการี</t>
  </si>
  <si>
    <t>นาย สงบ</t>
  </si>
  <si>
    <t>เกื้อสม</t>
  </si>
  <si>
    <t>ภูยุทธานนท์</t>
  </si>
  <si>
    <t>นาย เอกพงษ์</t>
  </si>
  <si>
    <t>หนูพลับ</t>
  </si>
  <si>
    <t>ดำรงรักษ์</t>
  </si>
  <si>
    <t>ซียง</t>
  </si>
  <si>
    <t>เบ็ญหีม</t>
  </si>
  <si>
    <t xml:space="preserve">สุวรรณชาตรี </t>
  </si>
  <si>
    <t xml:space="preserve">เฉลิมเมือง </t>
  </si>
  <si>
    <t xml:space="preserve">นาย จักรกฤษณ์ </t>
  </si>
  <si>
    <t xml:space="preserve">กันแสงแก้ว </t>
  </si>
  <si>
    <t>ยอดทอง</t>
  </si>
  <si>
    <t>นางสาว ซีหย๊ะ</t>
  </si>
  <si>
    <t>จันทอง</t>
  </si>
  <si>
    <t xml:space="preserve">วิบูลย์พันธุ์ </t>
  </si>
  <si>
    <t>นางสาว กมลชนก</t>
  </si>
  <si>
    <t>ญานุชิตร</t>
  </si>
  <si>
    <t xml:space="preserve">โปจีน </t>
  </si>
  <si>
    <t>ขัตติยวรรณ</t>
  </si>
  <si>
    <t xml:space="preserve">นาง ภาวิณี </t>
  </si>
  <si>
    <t xml:space="preserve">นาง ญาดา </t>
  </si>
  <si>
    <t>อาแล</t>
  </si>
  <si>
    <t xml:space="preserve">นางสาว จารุภา </t>
  </si>
  <si>
    <t>คงชะนะ</t>
  </si>
  <si>
    <t>นาย พีรบูรณ์</t>
  </si>
  <si>
    <t>พรหมจันทร์</t>
  </si>
  <si>
    <t xml:space="preserve">นางสาว ศศิภา </t>
  </si>
  <si>
    <t xml:space="preserve">แก้วศรีสุข </t>
  </si>
  <si>
    <t>นางสาว มารีนา</t>
  </si>
  <si>
    <t>เจ๊ะตาเย๊ะ</t>
  </si>
  <si>
    <t>นางสาว ชวิศา</t>
  </si>
  <si>
    <t>ทองรัตน์</t>
  </si>
  <si>
    <t xml:space="preserve">นางสาว เกษสุดา </t>
  </si>
  <si>
    <t>นางสาว อพิชญา</t>
  </si>
  <si>
    <t>พายัพทิวา</t>
  </si>
  <si>
    <t>ทองวิเศษ</t>
  </si>
  <si>
    <t>นาง ลำยอง</t>
  </si>
  <si>
    <t>พูนศิลป์</t>
  </si>
  <si>
    <t>นาย กัสมัน</t>
  </si>
  <si>
    <t>ยะมาแล</t>
  </si>
  <si>
    <t>วงษ์รวยดี</t>
  </si>
  <si>
    <t>นาย หรอเหม</t>
  </si>
  <si>
    <t>หีมโตะเตะ</t>
  </si>
  <si>
    <t>ทองพูล</t>
  </si>
  <si>
    <t>นาย สุทธิพงศ์</t>
  </si>
  <si>
    <t>ทองบุญ</t>
  </si>
  <si>
    <t>นาง อารีนี</t>
  </si>
  <si>
    <t>มะทา</t>
  </si>
  <si>
    <t>นางสาว อินสชา</t>
  </si>
  <si>
    <t>พิทักษ์ฉนวน</t>
  </si>
  <si>
    <t>นาง วีระ</t>
  </si>
  <si>
    <t>ดือราแฮ</t>
  </si>
  <si>
    <t>นาย ซูลกอร์นัยน์</t>
  </si>
  <si>
    <t>มะลี</t>
  </si>
  <si>
    <t>นางสาว ปุณญิสา</t>
  </si>
  <si>
    <t xml:space="preserve">เซ่งซิ้ว </t>
  </si>
  <si>
    <t>นาย อับดุลฮาฟิซ</t>
  </si>
  <si>
    <t>สะตีมือมะ</t>
  </si>
  <si>
    <t>นางสาว ทิพย์ธญา</t>
  </si>
  <si>
    <t>รอดพล</t>
  </si>
  <si>
    <t>นาง เกณฑ์ฤดี</t>
  </si>
  <si>
    <t>ทวนทอง</t>
  </si>
  <si>
    <t>นาง ศศลักษณ์</t>
  </si>
  <si>
    <t xml:space="preserve">มหัศนียนนท์ </t>
  </si>
  <si>
    <t xml:space="preserve">นางสาว อาภรณ์ </t>
  </si>
  <si>
    <t xml:space="preserve">รัตนพิบูลย์ </t>
  </si>
  <si>
    <t xml:space="preserve">นางสาว ภัทรสิริตา </t>
  </si>
  <si>
    <t xml:space="preserve">พรหมประสิทธิ์ </t>
  </si>
  <si>
    <t>วายูอิง</t>
  </si>
  <si>
    <t>นางสาว ฮายาตี</t>
  </si>
  <si>
    <t xml:space="preserve">นาย โฆษิต </t>
  </si>
  <si>
    <t>ศิลามหาฤกษ์</t>
  </si>
  <si>
    <t xml:space="preserve">นางสาว ทัดดาว </t>
  </si>
  <si>
    <t xml:space="preserve">ขวัญแสง </t>
  </si>
  <si>
    <t xml:space="preserve">นางสาว กัลยา </t>
  </si>
  <si>
    <t xml:space="preserve">ราชบุตร </t>
  </si>
  <si>
    <t>นาย ธรรมธัช</t>
  </si>
  <si>
    <t xml:space="preserve">ปราชญาวงศ์ </t>
  </si>
  <si>
    <t>นางสาว สุไรดา</t>
  </si>
  <si>
    <t>รอดดำ</t>
  </si>
  <si>
    <t>นางสาว นูรฮายาตี</t>
  </si>
  <si>
    <t>มะยาโอ๊ะ</t>
  </si>
  <si>
    <t>นางสาว นิรุสลินดา</t>
  </si>
  <si>
    <t>มะเต๊ะ</t>
  </si>
  <si>
    <t xml:space="preserve">นางสาว ฮาดียะ </t>
  </si>
  <si>
    <t xml:space="preserve">ดะเซ็ง </t>
  </si>
  <si>
    <t>นาย ปัทพงศ์</t>
  </si>
  <si>
    <t>สารบรรณ์</t>
  </si>
  <si>
    <t>นาย มะยูโซ๊ะ</t>
  </si>
  <si>
    <t>นาย อับดุลตอเละ</t>
  </si>
  <si>
    <t>เจะมะ</t>
  </si>
  <si>
    <t>นางสาว ณัฐินี</t>
  </si>
  <si>
    <t>คงสุข</t>
  </si>
  <si>
    <t>จิตโสภากุล</t>
  </si>
  <si>
    <t>พิสัยพันธ์</t>
  </si>
  <si>
    <t>นาย มนชัย</t>
  </si>
  <si>
    <t>สวัสดิ์วงษ์</t>
  </si>
  <si>
    <t>นาย สุจิรัตน์</t>
  </si>
  <si>
    <t>พรหมยศ</t>
  </si>
  <si>
    <t>นาง นันทิชา</t>
  </si>
  <si>
    <t>แป้นห้วย</t>
  </si>
  <si>
    <t>นาง สุดาวดี</t>
  </si>
  <si>
    <t>ณ ระนอง</t>
  </si>
  <si>
    <t>นาง ศรีเพ็ญ</t>
  </si>
  <si>
    <t>สุจิวรณ์</t>
  </si>
  <si>
    <t>พระธานี</t>
  </si>
  <si>
    <t>นาย พูลสวัสดิ์</t>
  </si>
  <si>
    <t>แก้วพวง</t>
  </si>
  <si>
    <t>ใจสุทธิ</t>
  </si>
  <si>
    <t>นาง บุญโฮม</t>
  </si>
  <si>
    <t>เถาเมฆ</t>
  </si>
  <si>
    <t>รบกล้า</t>
  </si>
  <si>
    <t>ทาราศรี</t>
  </si>
  <si>
    <t>เจริญชัย</t>
  </si>
  <si>
    <t xml:space="preserve">นาย สัญญา </t>
  </si>
  <si>
    <t xml:space="preserve">อัศวาวุฒิ </t>
  </si>
  <si>
    <t>นาย ชัยฤกษ์</t>
  </si>
  <si>
    <t>ส่วนเสน่ห์</t>
  </si>
  <si>
    <t>นาง รำไพ</t>
  </si>
  <si>
    <t>วงศ์อนันต์</t>
  </si>
  <si>
    <t>อาทิตย์</t>
  </si>
  <si>
    <t>บุญโสม</t>
  </si>
  <si>
    <t>ก้อนผา</t>
  </si>
  <si>
    <t>นาย สวามิภักดิ์</t>
  </si>
  <si>
    <t>วงศ์เสนา</t>
  </si>
  <si>
    <t xml:space="preserve">นางสาว สุธิษา </t>
  </si>
  <si>
    <t>สิมมา</t>
  </si>
  <si>
    <t xml:space="preserve">ศรีดาว </t>
  </si>
  <si>
    <t>นาย รพีทัศน์</t>
  </si>
  <si>
    <t>อุ่นจิตตพันธ์</t>
  </si>
  <si>
    <t>นาง รัตดา</t>
  </si>
  <si>
    <t>คงสีไพร</t>
  </si>
  <si>
    <t>นาย ธวิท</t>
  </si>
  <si>
    <t>เพียรหัด</t>
  </si>
  <si>
    <t xml:space="preserve">ลึกลาภ </t>
  </si>
  <si>
    <t xml:space="preserve">นางสาว ณัฐธีรยา </t>
  </si>
  <si>
    <t xml:space="preserve">คณะบุตร </t>
  </si>
  <si>
    <t>นิลาลาด</t>
  </si>
  <si>
    <t>นาเวียง</t>
  </si>
  <si>
    <t>ระวังดี</t>
  </si>
  <si>
    <t>นาย ปริวรรต</t>
  </si>
  <si>
    <t>นามมนตรี</t>
  </si>
  <si>
    <t xml:space="preserve">นางสาว กรรณิกาณ์ </t>
  </si>
  <si>
    <t xml:space="preserve">ศรีลาภา </t>
  </si>
  <si>
    <t xml:space="preserve">นาง สัจจาพร </t>
  </si>
  <si>
    <t xml:space="preserve">นามเหลา </t>
  </si>
  <si>
    <t>นาง คมวัลย์</t>
  </si>
  <si>
    <t>พลขำ</t>
  </si>
  <si>
    <t>อักษร</t>
  </si>
  <si>
    <t>อุ่นมีศรี</t>
  </si>
  <si>
    <t>นาง คณึงนิตย์</t>
  </si>
  <si>
    <t>จันทร์เรือง</t>
  </si>
  <si>
    <t>วิเศษวิสัย</t>
  </si>
  <si>
    <t>เศษบุบผา</t>
  </si>
  <si>
    <t>ปกป้อง</t>
  </si>
  <si>
    <t>นาง รุ้งรัศมี</t>
  </si>
  <si>
    <t>ราวินิต</t>
  </si>
  <si>
    <t>นาย จรอน</t>
  </si>
  <si>
    <t>ระวังผิด</t>
  </si>
  <si>
    <t>สิทธิประเสริฐ</t>
  </si>
  <si>
    <t>สายเชื้อ</t>
  </si>
  <si>
    <t>บุญโพธิ์กอง</t>
  </si>
  <si>
    <t>นาง คำผาย</t>
  </si>
  <si>
    <t>แก้วสวัสดิ์</t>
  </si>
  <si>
    <t>ผุดผ่อง</t>
  </si>
  <si>
    <t>โคตรสุวรรณ</t>
  </si>
  <si>
    <t>นางสาว ดารณีย์</t>
  </si>
  <si>
    <t>อินทร์งาม</t>
  </si>
  <si>
    <t xml:space="preserve">นาย เทียนชัย </t>
  </si>
  <si>
    <t>พิษสุวรรณ์</t>
  </si>
  <si>
    <t>นาง อรอุมา</t>
  </si>
  <si>
    <t>ชิณแสน</t>
  </si>
  <si>
    <t>จวนสาง</t>
  </si>
  <si>
    <t>สีดีวงศ์</t>
  </si>
  <si>
    <t>นาย จักรกรี</t>
  </si>
  <si>
    <t>ธิมาชัย</t>
  </si>
  <si>
    <t>นางสาว กนิษฐา</t>
  </si>
  <si>
    <t>วรรณชาติ</t>
  </si>
  <si>
    <t>นาง รจนา</t>
  </si>
  <si>
    <t xml:space="preserve">เตียวพานิชย์กิจ </t>
  </si>
  <si>
    <t>นางสาว รจนา</t>
  </si>
  <si>
    <t>ดงบัง</t>
  </si>
  <si>
    <t xml:space="preserve">นาง วันเพ็ญ </t>
  </si>
  <si>
    <t xml:space="preserve">หรพริ้ง </t>
  </si>
  <si>
    <t xml:space="preserve">นางสาว ศิริรัตน์ </t>
  </si>
  <si>
    <t xml:space="preserve">ชูรัตน์ </t>
  </si>
  <si>
    <t xml:space="preserve">สำราญใจ </t>
  </si>
  <si>
    <t>นางสาว นาตยารัตน์</t>
  </si>
  <si>
    <t>ทำชารี</t>
  </si>
  <si>
    <t>แสงวงค์</t>
  </si>
  <si>
    <t>นาย อนุศิษฎ์</t>
  </si>
  <si>
    <t>นางสาว อโณชา</t>
  </si>
  <si>
    <t>สมหา</t>
  </si>
  <si>
    <t xml:space="preserve">นาย ภานุชิต </t>
  </si>
  <si>
    <t xml:space="preserve">สีคุณหลิ่ว </t>
  </si>
  <si>
    <t xml:space="preserve">ละดาขันธ์ </t>
  </si>
  <si>
    <t xml:space="preserve">นาง สุภาพร </t>
  </si>
  <si>
    <t xml:space="preserve">นางสาว นันท์มนัส </t>
  </si>
  <si>
    <t xml:space="preserve">บุนทรีรัตน์ </t>
  </si>
  <si>
    <t xml:space="preserve">นางสาว ยุวดี </t>
  </si>
  <si>
    <t xml:space="preserve">ทอนศรี </t>
  </si>
  <si>
    <t xml:space="preserve">นาย ครุศาสตร์ </t>
  </si>
  <si>
    <t xml:space="preserve">สังฆะศรี </t>
  </si>
  <si>
    <t>นางสาว ชัชชญา</t>
  </si>
  <si>
    <t>สังคีรี</t>
  </si>
  <si>
    <t>พยุงวงศ์</t>
  </si>
  <si>
    <t>ไขขุนทด</t>
  </si>
  <si>
    <t xml:space="preserve">ประกอบสันต์ </t>
  </si>
  <si>
    <t xml:space="preserve">สุปัญญา </t>
  </si>
  <si>
    <t xml:space="preserve">นาง สำเร็จ </t>
  </si>
  <si>
    <t xml:space="preserve">ทับทิมไทย </t>
  </si>
  <si>
    <t xml:space="preserve">นางสาว ขวัญตา </t>
  </si>
  <si>
    <t>มูลชารี</t>
  </si>
  <si>
    <t xml:space="preserve">นางสาว มะลิวรรณ </t>
  </si>
  <si>
    <t>จุรุทา</t>
  </si>
  <si>
    <t>คำสุนทร</t>
  </si>
  <si>
    <t>นางสาว อรุโณทัย</t>
  </si>
  <si>
    <t>ก้านจักร</t>
  </si>
  <si>
    <t xml:space="preserve">นาง เพียงฤทัย </t>
  </si>
  <si>
    <t xml:space="preserve">แสนวิบูลย์ </t>
  </si>
  <si>
    <t xml:space="preserve">นาย พิเชษฐ์พงษ์ </t>
  </si>
  <si>
    <t xml:space="preserve">จำปาดี </t>
  </si>
  <si>
    <t>โคกสูง</t>
  </si>
  <si>
    <t xml:space="preserve">ศรีแสนตอ </t>
  </si>
  <si>
    <t>นางสาว ปิยะมาศ</t>
  </si>
  <si>
    <t>กองอุดม</t>
  </si>
  <si>
    <t xml:space="preserve">นาย ประยงค์ศักดิ์ </t>
  </si>
  <si>
    <t>ศรีโคตร</t>
  </si>
  <si>
    <t xml:space="preserve">นางสาว ศิริญญา </t>
  </si>
  <si>
    <t xml:space="preserve">มณีสวัสดิ์ </t>
  </si>
  <si>
    <t>นาง นงค์ลักษณ์</t>
  </si>
  <si>
    <t>เสนาไทย</t>
  </si>
  <si>
    <t>สิงห์ชา</t>
  </si>
  <si>
    <t>นาง สุชญา</t>
  </si>
  <si>
    <t xml:space="preserve">พันธุ์เดช </t>
  </si>
  <si>
    <t>นางสาว วรา</t>
  </si>
  <si>
    <t>สุขเจริญคณา</t>
  </si>
  <si>
    <t>ครโสภา</t>
  </si>
  <si>
    <t>ไสยมรรคา</t>
  </si>
  <si>
    <t>นาย สุริยนต์</t>
  </si>
  <si>
    <t>เคนสิงห์</t>
  </si>
  <si>
    <t>เอกสัน</t>
  </si>
  <si>
    <t>ทองดวง</t>
  </si>
  <si>
    <t>ภูมาลัย</t>
  </si>
  <si>
    <t>ว่าที่ ร.ต.หญิง ละมุล</t>
  </si>
  <si>
    <t>อำพันสุข</t>
  </si>
  <si>
    <t>โกดี</t>
  </si>
  <si>
    <t>จ้านสกุล</t>
  </si>
  <si>
    <t>เดชเรือง</t>
  </si>
  <si>
    <t>นางสาว ประทิพย์</t>
  </si>
  <si>
    <t>พลายด้วง</t>
  </si>
  <si>
    <t>ขันตี</t>
  </si>
  <si>
    <t>รอดไพฑูรย์</t>
  </si>
  <si>
    <t>รันทกิจ</t>
  </si>
  <si>
    <t>ประสิทธิ์</t>
  </si>
  <si>
    <t>เนื้อดี</t>
  </si>
  <si>
    <t>หะมาน</t>
  </si>
  <si>
    <t>อนันตภักดิ์</t>
  </si>
  <si>
    <t xml:space="preserve">นางสาว ฐิตาภัสร์ </t>
  </si>
  <si>
    <t xml:space="preserve">พัฒนมณีศักดิ์ </t>
  </si>
  <si>
    <t>เรืองเพชร</t>
  </si>
  <si>
    <t>เลียนกาญจนากร</t>
  </si>
  <si>
    <t>อาจสามารถ</t>
  </si>
  <si>
    <t>นาง จันทิพย์</t>
  </si>
  <si>
    <t>สุพรรณ์</t>
  </si>
  <si>
    <t>นางสาว สาวลี</t>
  </si>
  <si>
    <t>บุญระงับ</t>
  </si>
  <si>
    <t>นาย มาโนด</t>
  </si>
  <si>
    <t>เกื้อนุ่น</t>
  </si>
  <si>
    <t>นาง สุภัชชา</t>
  </si>
  <si>
    <t>แซ่ลิ้ว</t>
  </si>
  <si>
    <t xml:space="preserve">นางสาว พีรดา </t>
  </si>
  <si>
    <t>แซ่เตี้ยว</t>
  </si>
  <si>
    <t xml:space="preserve">นางสาว วรรณฤดี </t>
  </si>
  <si>
    <t>พีระกุล</t>
  </si>
  <si>
    <t xml:space="preserve">นาย ศุภลักษณ์ </t>
  </si>
  <si>
    <t xml:space="preserve">เศรษฐสกุลชัย </t>
  </si>
  <si>
    <t xml:space="preserve">นาย ดุรงค์รัตน์ </t>
  </si>
  <si>
    <t>พยุหกฤษ</t>
  </si>
  <si>
    <t>นางสาว ภมรรัตน์</t>
  </si>
  <si>
    <t xml:space="preserve">นาง กอบพร </t>
  </si>
  <si>
    <t xml:space="preserve">หอยชูด </t>
  </si>
  <si>
    <t>นาย จักรวาล</t>
  </si>
  <si>
    <t>พึ่งแตง</t>
  </si>
  <si>
    <t>นาย กิตติธัช</t>
  </si>
  <si>
    <t>สัจจากุล</t>
  </si>
  <si>
    <t>นาย เศรณี</t>
  </si>
  <si>
    <t>อนิลบล</t>
  </si>
  <si>
    <t>นาง ณัฐกาญจน์</t>
  </si>
  <si>
    <t>ศรีวะรมย์</t>
  </si>
  <si>
    <t xml:space="preserve">นางสาว สุพัฒนา </t>
  </si>
  <si>
    <t xml:space="preserve">บุญแก้ว </t>
  </si>
  <si>
    <t>นิยมคำ</t>
  </si>
  <si>
    <t>นางสาว กลอยใจ</t>
  </si>
  <si>
    <t>เย็นรักษา</t>
  </si>
  <si>
    <t>โพชนุกูล</t>
  </si>
  <si>
    <t>นางสาว วิไลพร</t>
  </si>
  <si>
    <t>กลาย</t>
  </si>
  <si>
    <t>นางสาว ปิยธิดา</t>
  </si>
  <si>
    <t>จันทรมานันท์</t>
  </si>
  <si>
    <t xml:space="preserve">นาย ฐิติพงศ์ </t>
  </si>
  <si>
    <t xml:space="preserve">บุญบุตร </t>
  </si>
  <si>
    <t>นางสาว เกศินี</t>
  </si>
  <si>
    <t>วาจิ</t>
  </si>
  <si>
    <t>ประเสริฐเตชาโต</t>
  </si>
  <si>
    <t>นาย สะบาย</t>
  </si>
  <si>
    <t>แววศักดิ์</t>
  </si>
  <si>
    <t>บูรณมานัส</t>
  </si>
  <si>
    <t>ตันวิมล</t>
  </si>
  <si>
    <t>นาย ณัฏฐพล</t>
  </si>
  <si>
    <t>นาง พยุง</t>
  </si>
  <si>
    <t>เพียรทอง</t>
  </si>
  <si>
    <t>นาย จินดาพันธ์</t>
  </si>
  <si>
    <t>พาณิชนิกร</t>
  </si>
  <si>
    <t>รอดสุด</t>
  </si>
  <si>
    <t>ผลทอง</t>
  </si>
  <si>
    <t>นาย นภศักดิ์</t>
  </si>
  <si>
    <t>ทองชาติ</t>
  </si>
  <si>
    <t>นางสาว ลออง</t>
  </si>
  <si>
    <t>วงษ์สูง</t>
  </si>
  <si>
    <t>นาย สะท้าน</t>
  </si>
  <si>
    <t>บรรดา</t>
  </si>
  <si>
    <t>พูลนิล</t>
  </si>
  <si>
    <t>บุญถึง</t>
  </si>
  <si>
    <t>วันจันทร์</t>
  </si>
  <si>
    <t>นาย อาระยะ</t>
  </si>
  <si>
    <t>ชนะสัตรู</t>
  </si>
  <si>
    <t>บุญม่วง</t>
  </si>
  <si>
    <t>สีตะพงศ์</t>
  </si>
  <si>
    <t>นาย อัมพร</t>
  </si>
  <si>
    <t>พุทธาพร</t>
  </si>
  <si>
    <t>ธรรมพิทักษ์</t>
  </si>
  <si>
    <t>นาย ศุภวัฒน์</t>
  </si>
  <si>
    <t>โกวะประดิษฐ์</t>
  </si>
  <si>
    <t>นาย ศุภณัฏฐ์</t>
  </si>
  <si>
    <t>ปลุกใจราษฎร์</t>
  </si>
  <si>
    <t>ทองสอาด</t>
  </si>
  <si>
    <t>นาย นราธร</t>
  </si>
  <si>
    <t>ภักดีพินิจ</t>
  </si>
  <si>
    <t>นาง บุรี</t>
  </si>
  <si>
    <t>เพชรพระพุทธ</t>
  </si>
  <si>
    <t>นาย ภาณุภพ</t>
  </si>
  <si>
    <t>ใบเจริญ</t>
  </si>
  <si>
    <t>นาง จิรพร</t>
  </si>
  <si>
    <t>สุ่นเทียน</t>
  </si>
  <si>
    <t>นาง รำพึง</t>
  </si>
  <si>
    <t>นาง นุกูล</t>
  </si>
  <si>
    <t>หาญเสมอ</t>
  </si>
  <si>
    <t>นาง อัฑฒ์วิไล</t>
  </si>
  <si>
    <t>สมนิล</t>
  </si>
  <si>
    <t>นาง บุญเที่ยง</t>
  </si>
  <si>
    <t>เจริญจันทร์</t>
  </si>
  <si>
    <t>นาย พยุง</t>
  </si>
  <si>
    <t>ลิขิต</t>
  </si>
  <si>
    <t>ประดิษฐพฤกษ์</t>
  </si>
  <si>
    <t>คำวงค์</t>
  </si>
  <si>
    <t>นาย อิศรา</t>
  </si>
  <si>
    <t>สาธิตธวัช</t>
  </si>
  <si>
    <t xml:space="preserve">นาย คณาพจน์ </t>
  </si>
  <si>
    <t xml:space="preserve">วิชัยศิริพันธ์ </t>
  </si>
  <si>
    <t>นางสาว ฌามา</t>
  </si>
  <si>
    <t>รื่นรมย์</t>
  </si>
  <si>
    <t>นาง บุญสิตา</t>
  </si>
  <si>
    <t>ประสารภักดิ์</t>
  </si>
  <si>
    <t>นาง ปภาดา</t>
  </si>
  <si>
    <t>นางสาว อมรา</t>
  </si>
  <si>
    <t>จิตติรบำรุง</t>
  </si>
  <si>
    <t>สูงพ้น</t>
  </si>
  <si>
    <t>ศรีหาพรม</t>
  </si>
  <si>
    <t>ชัยจันทร์</t>
  </si>
  <si>
    <t>กล่อมแก้ว</t>
  </si>
  <si>
    <t>นาง ธารทิพย์</t>
  </si>
  <si>
    <t>กลิ่นสุทโธ</t>
  </si>
  <si>
    <t>นางสาว สมหมาย</t>
  </si>
  <si>
    <t>พลมณี</t>
  </si>
  <si>
    <t>นาง ณัฐวรรณ</t>
  </si>
  <si>
    <t>วงศ์เนียม</t>
  </si>
  <si>
    <t>คุ้มรักษ์</t>
  </si>
  <si>
    <t>นาง หทัยทิพย์</t>
  </si>
  <si>
    <t>บุญโย</t>
  </si>
  <si>
    <t>กว้างมาก</t>
  </si>
  <si>
    <t>นาง ประทุมทิพย์</t>
  </si>
  <si>
    <t>สินเปี่ยม</t>
  </si>
  <si>
    <t>นาย ชานน</t>
  </si>
  <si>
    <t>ถนอมวงศ์</t>
  </si>
  <si>
    <t xml:space="preserve">นางสาว ภิรญา </t>
  </si>
  <si>
    <t xml:space="preserve">ศรีแปงวงค์ </t>
  </si>
  <si>
    <t xml:space="preserve">นาง กฤตติกา </t>
  </si>
  <si>
    <t xml:space="preserve">ขนิษฐ์ทอง </t>
  </si>
  <si>
    <t>ปังพิมาย</t>
  </si>
  <si>
    <t>นาย พอเจตน์</t>
  </si>
  <si>
    <t xml:space="preserve">รื่นรมย์ </t>
  </si>
  <si>
    <t xml:space="preserve">นางสาว กรแก้ว </t>
  </si>
  <si>
    <t xml:space="preserve">สุภาภรณ์ </t>
  </si>
  <si>
    <t xml:space="preserve">นาย เตชิษฐ์ </t>
  </si>
  <si>
    <t xml:space="preserve">สระศรีสุวรรณ </t>
  </si>
  <si>
    <t xml:space="preserve">นาง จินห์จุฑา </t>
  </si>
  <si>
    <t xml:space="preserve">นาย พิชัย </t>
  </si>
  <si>
    <t xml:space="preserve">เพ็งแก้ว </t>
  </si>
  <si>
    <t xml:space="preserve">นาย มาโนชญ์ </t>
  </si>
  <si>
    <t xml:space="preserve">วรรณศิริ </t>
  </si>
  <si>
    <t>นางสาว ณัฐชานันท์</t>
  </si>
  <si>
    <t>นางสาว รุ่งอรุณ</t>
  </si>
  <si>
    <t>เกลี้ยงมีศรี</t>
  </si>
  <si>
    <t>มิ่งมิตร</t>
  </si>
  <si>
    <t>ศรีสิทธิมงคล</t>
  </si>
  <si>
    <t>โปษยาอณุวัตร์</t>
  </si>
  <si>
    <t xml:space="preserve">นางสาว จีรฉัตร </t>
  </si>
  <si>
    <t xml:space="preserve">จันทศิริ </t>
  </si>
  <si>
    <t>นางสาว อลิษา</t>
  </si>
  <si>
    <t>พระมหาหิง</t>
  </si>
  <si>
    <t>อึ้งเจริญ</t>
  </si>
  <si>
    <t>นาง ภรณ์ทิพย์</t>
  </si>
  <si>
    <t>พรหมกสิกร</t>
  </si>
  <si>
    <t>นาง ฤทัยวรรณ</t>
  </si>
  <si>
    <t>เลาเลิศ</t>
  </si>
  <si>
    <t>นาง วจิรา</t>
  </si>
  <si>
    <t>พรสี่</t>
  </si>
  <si>
    <t xml:space="preserve">นาย อิสระ </t>
  </si>
  <si>
    <t xml:space="preserve">บุญเย็น </t>
  </si>
  <si>
    <t xml:space="preserve">นาง สุธีมนัส </t>
  </si>
  <si>
    <t xml:space="preserve">สุวรรณมาลย์ </t>
  </si>
  <si>
    <t xml:space="preserve">นาย โชตินรินทร์ </t>
  </si>
  <si>
    <t>ชีพสุกใส</t>
  </si>
  <si>
    <t xml:space="preserve">ใจแจ่ม </t>
  </si>
  <si>
    <t>นาย ปรัชญ์</t>
  </si>
  <si>
    <t>ปัญญาเหล็ก</t>
  </si>
  <si>
    <t>แสงเดช</t>
  </si>
  <si>
    <t>นาย เจนณรงค์</t>
  </si>
  <si>
    <t>สันป่าแก้ว</t>
  </si>
  <si>
    <t>นางสาว นิธินาฎ</t>
  </si>
  <si>
    <t>เมืองแมน</t>
  </si>
  <si>
    <t>บรรดาศักดิ์</t>
  </si>
  <si>
    <t>นางสาว กฤตพรกมล</t>
  </si>
  <si>
    <t>นาย พุทธินันท์</t>
  </si>
  <si>
    <t xml:space="preserve">นางสาว ผกาพันธุ์ </t>
  </si>
  <si>
    <t xml:space="preserve">ละมัย </t>
  </si>
  <si>
    <t>นาง สมัย</t>
  </si>
  <si>
    <t>ศึกษากิจ</t>
  </si>
  <si>
    <t>มณีแสง</t>
  </si>
  <si>
    <t>นาย ชนินทร์</t>
  </si>
  <si>
    <t>นางสาว อรุณ</t>
  </si>
  <si>
    <t>ฉายารัตน์</t>
  </si>
  <si>
    <t>นางสาว ทิพย์อุษา</t>
  </si>
  <si>
    <t>พิมนาค</t>
  </si>
  <si>
    <t>นางสาว อิสรี</t>
  </si>
  <si>
    <t>เก่งนอก</t>
  </si>
  <si>
    <t>อัศวเสถียร</t>
  </si>
  <si>
    <t xml:space="preserve">นางสาว อมลรุจี </t>
  </si>
  <si>
    <t xml:space="preserve">เกตุสุริยงค์ </t>
  </si>
  <si>
    <t xml:space="preserve">นางสาว รักษ์สุดา </t>
  </si>
  <si>
    <t>ปาปะขัง</t>
  </si>
  <si>
    <t xml:space="preserve">นาง อาภาพร </t>
  </si>
  <si>
    <t xml:space="preserve">ช่างถม </t>
  </si>
  <si>
    <t xml:space="preserve">นางสาว ปวีณวัชร์ </t>
  </si>
  <si>
    <t xml:space="preserve">อุดมประสิทธิ์กุล </t>
  </si>
  <si>
    <t xml:space="preserve">นางสาว ธนัญญาณ์ </t>
  </si>
  <si>
    <t xml:space="preserve">โสภณพุทธพร </t>
  </si>
  <si>
    <t>สกุณี</t>
  </si>
  <si>
    <t>อินผดุง</t>
  </si>
  <si>
    <t>พูลศรี</t>
  </si>
  <si>
    <t xml:space="preserve">สังกะเพศ </t>
  </si>
  <si>
    <t>นาย ดำรงฤทธิ์</t>
  </si>
  <si>
    <t>หลอดคำ</t>
  </si>
  <si>
    <t xml:space="preserve">นาย พานิช </t>
  </si>
  <si>
    <t xml:space="preserve">สุวรรณรักษ์ </t>
  </si>
  <si>
    <t>นาย ณัทธร</t>
  </si>
  <si>
    <t>รักษ์สังข์</t>
  </si>
  <si>
    <t>นาง แถม</t>
  </si>
  <si>
    <t>นาย ธูป</t>
  </si>
  <si>
    <t>พลอยกลาง</t>
  </si>
  <si>
    <t>ซองรัมย์</t>
  </si>
  <si>
    <t>โพธิ์เจริญ</t>
  </si>
  <si>
    <t>เจริญเกษร</t>
  </si>
  <si>
    <t>นาย แสง</t>
  </si>
  <si>
    <t>ด่านกลาง</t>
  </si>
  <si>
    <t>นาง แสวง</t>
  </si>
  <si>
    <t>วิริยะพงษ์</t>
  </si>
  <si>
    <t>นาง ขวัญเรือน</t>
  </si>
  <si>
    <t>สีพร</t>
  </si>
  <si>
    <t>ทองมี</t>
  </si>
  <si>
    <t>เสงี่ยมรัตน์</t>
  </si>
  <si>
    <t>จันทตน</t>
  </si>
  <si>
    <t>นาง สงัด</t>
  </si>
  <si>
    <t>พงษ์เพ็ชร</t>
  </si>
  <si>
    <t>จันทร์งาม</t>
  </si>
  <si>
    <t xml:space="preserve">นาย ธนิสร </t>
  </si>
  <si>
    <t xml:space="preserve">ศิริโวหาร </t>
  </si>
  <si>
    <t xml:space="preserve">นางสาว นภาวรรณ </t>
  </si>
  <si>
    <t xml:space="preserve">กิมศรี </t>
  </si>
  <si>
    <t>นางสาว หทัยชนก</t>
  </si>
  <si>
    <t>บุญทา</t>
  </si>
  <si>
    <t>อาจิตร์</t>
  </si>
  <si>
    <t>ขัติยนนท์</t>
  </si>
  <si>
    <t>กาญจนภี</t>
  </si>
  <si>
    <t>นาย ธำรงค์</t>
  </si>
  <si>
    <t>จำเริญสาร</t>
  </si>
  <si>
    <t>ทิพประมวล</t>
  </si>
  <si>
    <t>สวัสดิ์พละ</t>
  </si>
  <si>
    <t>กิติศรีวรพันธุ์</t>
  </si>
  <si>
    <t>นามโลมา</t>
  </si>
  <si>
    <t>นาย ผดุงศักดิ์</t>
  </si>
  <si>
    <t>สตารัตน์</t>
  </si>
  <si>
    <t>เศรษฐบุปผา</t>
  </si>
  <si>
    <t>พานจันทร์</t>
  </si>
  <si>
    <t>นาย ประจักษ์</t>
  </si>
  <si>
    <t>นางสาว ประภาพร</t>
  </si>
  <si>
    <t>ไชยสิงห์</t>
  </si>
  <si>
    <t>นางสาว เอื้อจิตร</t>
  </si>
  <si>
    <t>มาศเกษม</t>
  </si>
  <si>
    <t>ด้วงสูงเนิน</t>
  </si>
  <si>
    <t>นาง เพียงเพชร</t>
  </si>
  <si>
    <t>ไชยศาสตร์</t>
  </si>
  <si>
    <t>นาย อุไร</t>
  </si>
  <si>
    <t>สุภะโส</t>
  </si>
  <si>
    <t>น้อยบุดดี</t>
  </si>
  <si>
    <t>นาง สุวพร</t>
  </si>
  <si>
    <t>นาง ยศวี</t>
  </si>
  <si>
    <t>โสธรศักดิ์</t>
  </si>
  <si>
    <t>นาย พุทธ</t>
  </si>
  <si>
    <t>พรพล</t>
  </si>
  <si>
    <t>ดอนกระสินธุ์</t>
  </si>
  <si>
    <t>นาย เพชร</t>
  </si>
  <si>
    <t>ประสานสุข</t>
  </si>
  <si>
    <t>นาง นาน</t>
  </si>
  <si>
    <t>ศักดิวงศ์</t>
  </si>
  <si>
    <t>นาย ฟ้าฮ่วน</t>
  </si>
  <si>
    <t>ปาโท</t>
  </si>
  <si>
    <t>นาง สัมฤทธิ์</t>
  </si>
  <si>
    <t>นาง สินีนารถ</t>
  </si>
  <si>
    <t>เพชรดี</t>
  </si>
  <si>
    <t>นาง สายตา</t>
  </si>
  <si>
    <t>ศรีราช</t>
  </si>
  <si>
    <t>นาง จันทิวา</t>
  </si>
  <si>
    <t>ลือชา</t>
  </si>
  <si>
    <t>แช่มภักดิ์</t>
  </si>
  <si>
    <t>นาย มานิต</t>
  </si>
  <si>
    <t>โชติบูรณ์</t>
  </si>
  <si>
    <t>สัตนาโค</t>
  </si>
  <si>
    <t>นีระพันธ์</t>
  </si>
  <si>
    <t>ศีลพัฒน์</t>
  </si>
  <si>
    <t>นาย สมิทธิ์</t>
  </si>
  <si>
    <t>โพธิสาขา</t>
  </si>
  <si>
    <t>ชัยงาม</t>
  </si>
  <si>
    <t>ปัญญาวรรณ</t>
  </si>
  <si>
    <t>สมสิงห์</t>
  </si>
  <si>
    <t>โทนหงษา</t>
  </si>
  <si>
    <t>นาย ลักษณ์</t>
  </si>
  <si>
    <t>ค้อชากุล</t>
  </si>
  <si>
    <t>นาง รุจิรัตน์</t>
  </si>
  <si>
    <t>ชนะเกตุ</t>
  </si>
  <si>
    <t>ศิริภักดิ์</t>
  </si>
  <si>
    <t>นางสาว สมวาสน์</t>
  </si>
  <si>
    <t>วันเพราพริ้ง</t>
  </si>
  <si>
    <t>วงศ์อามาตย์</t>
  </si>
  <si>
    <t>สุวรรณมณี</t>
  </si>
  <si>
    <t>นาง อัญชุลี</t>
  </si>
  <si>
    <t>กอเดช</t>
  </si>
  <si>
    <t>นาง นุชธารัตน์</t>
  </si>
  <si>
    <t>สุขรัตน์</t>
  </si>
  <si>
    <t>ไชยหงส์สา</t>
  </si>
  <si>
    <t>นามมุลตรี</t>
  </si>
  <si>
    <t>อุ่นประเดิม</t>
  </si>
  <si>
    <t>สาสนาม</t>
  </si>
  <si>
    <t>วงศ์นารี</t>
  </si>
  <si>
    <t>นาง สุพรรณ</t>
  </si>
  <si>
    <t>นาง สะอาด</t>
  </si>
  <si>
    <t>มงคลเมือง</t>
  </si>
  <si>
    <t>นาย ทองสอน</t>
  </si>
  <si>
    <t>นุ่นนาแซง</t>
  </si>
  <si>
    <t>นาย บริบูรณ์</t>
  </si>
  <si>
    <t>ทองสตา</t>
  </si>
  <si>
    <t>เวียงสิมา</t>
  </si>
  <si>
    <t xml:space="preserve">นางสาว ปิ่นมณี </t>
  </si>
  <si>
    <t xml:space="preserve">โพชนจิต </t>
  </si>
  <si>
    <t xml:space="preserve">นางสาว วริยา </t>
  </si>
  <si>
    <t xml:space="preserve">เพียรทาหนอง </t>
  </si>
  <si>
    <t>นางสาว กัลทรี</t>
  </si>
  <si>
    <t>มากเจริญ</t>
  </si>
  <si>
    <t xml:space="preserve">นางสาว อาภัสสร </t>
  </si>
  <si>
    <t xml:space="preserve">ศรีสุภาพ </t>
  </si>
  <si>
    <t>นางสาว มัชฌิมา</t>
  </si>
  <si>
    <t>เจียจันทึก</t>
  </si>
  <si>
    <t>นาง พรวิภา</t>
  </si>
  <si>
    <t>ถิ่นบางบน</t>
  </si>
  <si>
    <t>นาย สุภานุวัฒน์</t>
  </si>
  <si>
    <t>น้อยอามาตย์</t>
  </si>
  <si>
    <t xml:space="preserve">นาย นิรันทร์ </t>
  </si>
  <si>
    <t xml:space="preserve">อุตระวิเศษ </t>
  </si>
  <si>
    <t>บุญขันธ์</t>
  </si>
  <si>
    <t xml:space="preserve">นางสาว ปิยะมาพร </t>
  </si>
  <si>
    <t xml:space="preserve">พรรณาภพ </t>
  </si>
  <si>
    <t>ภูดินทราย</t>
  </si>
  <si>
    <t xml:space="preserve">นาย โชคอนันต์ </t>
  </si>
  <si>
    <t xml:space="preserve">อุตอามาตย์ </t>
  </si>
  <si>
    <t>นางสาว จงสินี</t>
  </si>
  <si>
    <t>ซ่อนบุญ</t>
  </si>
  <si>
    <t xml:space="preserve">คำสี </t>
  </si>
  <si>
    <t>วงษ์พัง</t>
  </si>
  <si>
    <t xml:space="preserve">นาง ภครัช </t>
  </si>
  <si>
    <t xml:space="preserve">กินนารี </t>
  </si>
  <si>
    <t>โบราณประสิทธิ์</t>
  </si>
  <si>
    <t xml:space="preserve">โพธิ์เกตุ </t>
  </si>
  <si>
    <t xml:space="preserve">นางสาว แวววิมล </t>
  </si>
  <si>
    <t>วอขวา</t>
  </si>
  <si>
    <t xml:space="preserve">นาย โกวิทย์ </t>
  </si>
  <si>
    <t xml:space="preserve">กางนอก </t>
  </si>
  <si>
    <t>สีสังข์</t>
  </si>
  <si>
    <t xml:space="preserve">นางสาว ศยามล </t>
  </si>
  <si>
    <t xml:space="preserve">บรรยง </t>
  </si>
  <si>
    <t>เขียวสาคู</t>
  </si>
  <si>
    <t>นางสาว ภาริดา</t>
  </si>
  <si>
    <t>ฤทธิยา</t>
  </si>
  <si>
    <t>นาย คำพันธ์</t>
  </si>
  <si>
    <t>นาสมรูป</t>
  </si>
  <si>
    <t>นาย คำมี</t>
  </si>
  <si>
    <t>บรรพกัญญา</t>
  </si>
  <si>
    <t>นาย บุญเกื้อ</t>
  </si>
  <si>
    <t>กั้ววิบูลย์</t>
  </si>
  <si>
    <t>นาย คมสัน</t>
  </si>
  <si>
    <t>แสนจันทร์</t>
  </si>
  <si>
    <t>สินโท</t>
  </si>
  <si>
    <t>นาย มีกิจ</t>
  </si>
  <si>
    <t>พลสาย</t>
  </si>
  <si>
    <t>ประทุมวัน</t>
  </si>
  <si>
    <t>สีหราช</t>
  </si>
  <si>
    <t>นาย ทำนุ</t>
  </si>
  <si>
    <t>เสวกานันท์</t>
  </si>
  <si>
    <t>อ้วนวงศ์</t>
  </si>
  <si>
    <t>นาย ธีรพันธ์</t>
  </si>
  <si>
    <t>สนามพล</t>
  </si>
  <si>
    <t>นิลผาย</t>
  </si>
  <si>
    <t>นาง นนทลี</t>
  </si>
  <si>
    <t>ทบคลัง</t>
  </si>
  <si>
    <t>มะลีจันทร์</t>
  </si>
  <si>
    <t>นาง เกศรี</t>
  </si>
  <si>
    <t>ภูมิศรี</t>
  </si>
  <si>
    <t>นาง เนื้อทิพย์</t>
  </si>
  <si>
    <t>สินธุวา</t>
  </si>
  <si>
    <t>สุริยะแก่นทราย</t>
  </si>
  <si>
    <t>นาย คำพอง</t>
  </si>
  <si>
    <t>อันทะชัย</t>
  </si>
  <si>
    <t>พิพิธกุล</t>
  </si>
  <si>
    <t>บัวนิล</t>
  </si>
  <si>
    <t>ยมนัตถ์</t>
  </si>
  <si>
    <t>นาย จิตรปราณี</t>
  </si>
  <si>
    <t>จันทเก</t>
  </si>
  <si>
    <t>ยี่รัมย์</t>
  </si>
  <si>
    <t>ลาภา</t>
  </si>
  <si>
    <t>คำลือ</t>
  </si>
  <si>
    <t>รัตนตรัยวงศ์</t>
  </si>
  <si>
    <t>นาง ระวีวรรณ</t>
  </si>
  <si>
    <t>ศรีรับขวา</t>
  </si>
  <si>
    <t>ชนะดี</t>
  </si>
  <si>
    <t>นางสาว ยวงเพชร</t>
  </si>
  <si>
    <t>อิฐรัตน์</t>
  </si>
  <si>
    <t>นางสาว นิรมล</t>
  </si>
  <si>
    <t>ภาสองชั้น</t>
  </si>
  <si>
    <t xml:space="preserve">นาย ปพนศักดิ์ </t>
  </si>
  <si>
    <t>อุนลุม</t>
  </si>
  <si>
    <t>ศรีสุระ</t>
  </si>
  <si>
    <t>นางสาว รตี</t>
  </si>
  <si>
    <t>เหงาจิ้น</t>
  </si>
  <si>
    <t>อัญญโพธิ์</t>
  </si>
  <si>
    <t>คูณดี</t>
  </si>
  <si>
    <t>โทนหงส์สา</t>
  </si>
  <si>
    <t>ศิริสิงห์</t>
  </si>
  <si>
    <t>อุปลี</t>
  </si>
  <si>
    <t>เวชชะ</t>
  </si>
  <si>
    <t>นาย คำไพ</t>
  </si>
  <si>
    <t>จงกล</t>
  </si>
  <si>
    <t>วิระษร</t>
  </si>
  <si>
    <t>นางสาว ทองย้อย</t>
  </si>
  <si>
    <t>แก้วคำไสย์</t>
  </si>
  <si>
    <t>นาง จิรัชฏา</t>
  </si>
  <si>
    <t>ว่าที่ ร.ต. สมพงษ์</t>
  </si>
  <si>
    <t>ภาคี</t>
  </si>
  <si>
    <t>ไชยแสง</t>
  </si>
  <si>
    <t>สุนทรวัฒน์</t>
  </si>
  <si>
    <t>นาง อนัญทยา</t>
  </si>
  <si>
    <t>ลาศา</t>
  </si>
  <si>
    <t>นาย สุขสันติ์</t>
  </si>
  <si>
    <t>แก้วคีรี</t>
  </si>
  <si>
    <t>ชายสวัสดิ์</t>
  </si>
  <si>
    <t>ศรฉัตรารักษ์</t>
  </si>
  <si>
    <t>นางสาว นุชรัตน์</t>
  </si>
  <si>
    <t>ดีแก่นทราย</t>
  </si>
  <si>
    <t>พลพิมพ์</t>
  </si>
  <si>
    <t>นางสาว ณะที</t>
  </si>
  <si>
    <t>นาห้วยล้อม</t>
  </si>
  <si>
    <t>นาย ณัฐวรรธ</t>
  </si>
  <si>
    <t>เผ่าภูธร</t>
  </si>
  <si>
    <t>อาจหาญ</t>
  </si>
  <si>
    <t>นางสาว อิสราภรณ์</t>
  </si>
  <si>
    <t>ทองเพียง</t>
  </si>
  <si>
    <t>นาย สอง</t>
  </si>
  <si>
    <t>โสมเกษตรินทร์</t>
  </si>
  <si>
    <t>ไพรออ</t>
  </si>
  <si>
    <t>สุธรรม</t>
  </si>
  <si>
    <t>ทิพชัย</t>
  </si>
  <si>
    <t>นาง จิราพงษ์</t>
  </si>
  <si>
    <t>พันทะชุม</t>
  </si>
  <si>
    <t>นาอ้อม</t>
  </si>
  <si>
    <t>นางสาว สอ้าน</t>
  </si>
  <si>
    <t>บุญจอง</t>
  </si>
  <si>
    <t>นางสาว พันธิวา</t>
  </si>
  <si>
    <t>พรมเพียงช้าง</t>
  </si>
  <si>
    <t>นาง ประไพรศรี</t>
  </si>
  <si>
    <t>สารจันทร์</t>
  </si>
  <si>
    <t>บุญเทพ</t>
  </si>
  <si>
    <t>นางสาว อุมาภรณ์</t>
  </si>
  <si>
    <t>แดงวิบูลย์</t>
  </si>
  <si>
    <t>นางสาว อนุวรรณ</t>
  </si>
  <si>
    <t>สวัสดิ์แวงควง</t>
  </si>
  <si>
    <t xml:space="preserve">วันตาแสง </t>
  </si>
  <si>
    <t>ศรีทองอินทร์</t>
  </si>
  <si>
    <t>นาย กนกศักดิ์</t>
  </si>
  <si>
    <t>แสนวัฒน์</t>
  </si>
  <si>
    <t>จำปาดี</t>
  </si>
  <si>
    <t>นางสาว ธนันณัฏฐ</t>
  </si>
  <si>
    <t>นีละพันธ์</t>
  </si>
  <si>
    <t>ว่าที่ ร.ต. อิสระพงศ์</t>
  </si>
  <si>
    <t xml:space="preserve">ไตรศร </t>
  </si>
  <si>
    <t xml:space="preserve">นาง วิริยา </t>
  </si>
  <si>
    <t xml:space="preserve">บุญเทพ </t>
  </si>
  <si>
    <t xml:space="preserve">แสงสวัสดิ์ </t>
  </si>
  <si>
    <t xml:space="preserve">หงษ์ทอง </t>
  </si>
  <si>
    <t>จงจิตวิบูลย์ผล</t>
  </si>
  <si>
    <t xml:space="preserve">นาย สมบัติ </t>
  </si>
  <si>
    <t>ใหม่คามิ</t>
  </si>
  <si>
    <t xml:space="preserve">นาย สุระสิทธิ์ </t>
  </si>
  <si>
    <t xml:space="preserve">มะโนลัย </t>
  </si>
  <si>
    <t xml:space="preserve">นวลเจริญ </t>
  </si>
  <si>
    <t xml:space="preserve">นาง เทียมจันทร์ </t>
  </si>
  <si>
    <t xml:space="preserve">มงคลธรรม </t>
  </si>
  <si>
    <t xml:space="preserve">นางสาว จินตวี </t>
  </si>
  <si>
    <t xml:space="preserve">นางสาว พรพิศ </t>
  </si>
  <si>
    <t>ตรีสอน</t>
  </si>
  <si>
    <t>นาย ศิริวิวัฒน์</t>
  </si>
  <si>
    <t>นางสาว จงกลณี</t>
  </si>
  <si>
    <t>อ้วนสูงยาง</t>
  </si>
  <si>
    <t>งามผิวเหลือง</t>
  </si>
  <si>
    <t>นางสาว จิรภัทรย์</t>
  </si>
  <si>
    <t>ตอเสนา</t>
  </si>
  <si>
    <t>ดวงประทุม</t>
  </si>
  <si>
    <t xml:space="preserve">สีเนหะ </t>
  </si>
  <si>
    <t xml:space="preserve">ศรีสำราญ </t>
  </si>
  <si>
    <t xml:space="preserve">เสนาฤทธิ์ </t>
  </si>
  <si>
    <t>วงษาเวียง</t>
  </si>
  <si>
    <t xml:space="preserve">นาย วีระชาติ </t>
  </si>
  <si>
    <t xml:space="preserve">นันตะเวช </t>
  </si>
  <si>
    <t xml:space="preserve">นาย วรวุฒิ </t>
  </si>
  <si>
    <t xml:space="preserve">สุมา </t>
  </si>
  <si>
    <t xml:space="preserve">นาง ศุลีรัตน์ </t>
  </si>
  <si>
    <t xml:space="preserve">อนันเอื้อ </t>
  </si>
  <si>
    <t xml:space="preserve">จตุรัส </t>
  </si>
  <si>
    <t xml:space="preserve">นางสาว ละมัย </t>
  </si>
  <si>
    <t xml:space="preserve">ปทุมรุ่ง </t>
  </si>
  <si>
    <t xml:space="preserve">นาย ฉัตรมงคล </t>
  </si>
  <si>
    <t xml:space="preserve">ผ่านสะถิน  </t>
  </si>
  <si>
    <t xml:space="preserve">นาง ลลิตา </t>
  </si>
  <si>
    <t xml:space="preserve">หาริกัน </t>
  </si>
  <si>
    <t xml:space="preserve">นาย กรวิชญ์ </t>
  </si>
  <si>
    <t>ศรีดาฮด</t>
  </si>
  <si>
    <t>นาย ปิยณัฐ</t>
  </si>
  <si>
    <t>เศษจันทร์</t>
  </si>
  <si>
    <t>นาย เศรษฐา</t>
  </si>
  <si>
    <t>ทุมรินทร์</t>
  </si>
  <si>
    <t>หลักแวงมล</t>
  </si>
  <si>
    <t xml:space="preserve">นาย ฤทธิเกียรติ  </t>
  </si>
  <si>
    <t>นวลมณี</t>
  </si>
  <si>
    <t>นางสาว นัยน์ปพร</t>
  </si>
  <si>
    <t>ภาคมฤค</t>
  </si>
  <si>
    <t>ฐานไชยชู</t>
  </si>
  <si>
    <t>นางสาว อนงค์ลักษณ์</t>
  </si>
  <si>
    <t>ชนะบุญ</t>
  </si>
  <si>
    <t>นาง พลอยตะวัน</t>
  </si>
  <si>
    <t>อาษาศรี</t>
  </si>
  <si>
    <t>นาย นที</t>
  </si>
  <si>
    <t>ก้อนคำ</t>
  </si>
  <si>
    <t xml:space="preserve">นางสาว รุ่งทิพย์ </t>
  </si>
  <si>
    <t xml:space="preserve">เกาะคู </t>
  </si>
  <si>
    <t>จันทร์ส่อง</t>
  </si>
  <si>
    <t>นาย สุมาตย์</t>
  </si>
  <si>
    <t>ธุระนิตย์</t>
  </si>
  <si>
    <t>นาย สงวนศักดิ์</t>
  </si>
  <si>
    <t>วงศ์สระคู</t>
  </si>
  <si>
    <t>นาย วิไล</t>
  </si>
  <si>
    <t>โมกกาย</t>
  </si>
  <si>
    <t>นาย สาโรช</t>
  </si>
  <si>
    <t>เลสัก</t>
  </si>
  <si>
    <t>นาย บล</t>
  </si>
  <si>
    <t>มนูญญา</t>
  </si>
  <si>
    <t>แคล้วปลอดทุกข์</t>
  </si>
  <si>
    <t>พินิจพงศ์</t>
  </si>
  <si>
    <t>รากทอง</t>
  </si>
  <si>
    <t>นุ่นปุย</t>
  </si>
  <si>
    <t>พัฒนวโรดม</t>
  </si>
  <si>
    <t>ธรรมจารี</t>
  </si>
  <si>
    <t>บุญสู</t>
  </si>
  <si>
    <t>คงอุดหนุน</t>
  </si>
  <si>
    <t>กิติโรจน์พันธ์</t>
  </si>
  <si>
    <t>นาย ประชิน</t>
  </si>
  <si>
    <t>สังขานวม</t>
  </si>
  <si>
    <t>นาง หทัยวรรณ</t>
  </si>
  <si>
    <t>ณัฏฐานารา</t>
  </si>
  <si>
    <t>นาย ปรมะ</t>
  </si>
  <si>
    <t>บัวแย้ม</t>
  </si>
  <si>
    <t>นาง ทิวาวรรณ</t>
  </si>
  <si>
    <t>คชชา</t>
  </si>
  <si>
    <t>กุศลส่ง</t>
  </si>
  <si>
    <t>นาย รุ่งเรือง</t>
  </si>
  <si>
    <t>เมธาพิทักษ์</t>
  </si>
  <si>
    <t>นาย ธรรมภณ</t>
  </si>
  <si>
    <t>เหล่าแสงไทย</t>
  </si>
  <si>
    <t>ชาญสมุห์</t>
  </si>
  <si>
    <t>เปี่ยมสมุทร</t>
  </si>
  <si>
    <t>ทาบโลหะ</t>
  </si>
  <si>
    <t>นาย จิระศักดิ์</t>
  </si>
  <si>
    <t>วิเศษสมบัติ</t>
  </si>
  <si>
    <t>สะบาย</t>
  </si>
  <si>
    <t>พูลสุขโข</t>
  </si>
  <si>
    <t>นาย ทัศพร</t>
  </si>
  <si>
    <t>ตังคณะสิงห์</t>
  </si>
  <si>
    <t>นางสาว ชนิศา</t>
  </si>
  <si>
    <t>คำสีแก้ว</t>
  </si>
  <si>
    <t>สร้อยน้ำ</t>
  </si>
  <si>
    <t>พุทธพฤกษ์</t>
  </si>
  <si>
    <t>พงศ์พิพัฒนชัย</t>
  </si>
  <si>
    <t>โพธิ์ไพฑูรย์</t>
  </si>
  <si>
    <t>เขียวอุดม</t>
  </si>
  <si>
    <t>พวงประยงค์</t>
  </si>
  <si>
    <t>นาง จุไร</t>
  </si>
  <si>
    <t>อ้นปรางค์</t>
  </si>
  <si>
    <t>เจริญเร็ว</t>
  </si>
  <si>
    <t>นาง จรัส</t>
  </si>
  <si>
    <t>ชูชื่น</t>
  </si>
  <si>
    <t>นาง ชญนัฐ</t>
  </si>
  <si>
    <t xml:space="preserve">กุลศิษฎ์ </t>
  </si>
  <si>
    <t>นาย ผ่าน</t>
  </si>
  <si>
    <t>ศรีน้อย</t>
  </si>
  <si>
    <t>นาย บุญยิ่ง</t>
  </si>
  <si>
    <t>ศรีสุวรรณ์</t>
  </si>
  <si>
    <t>นาย บุญฤทธิ์</t>
  </si>
  <si>
    <t>ยิ้มเพ็ชร</t>
  </si>
  <si>
    <t>คงละออ</t>
  </si>
  <si>
    <t>ศรีนุ่ม</t>
  </si>
  <si>
    <t>เสถียรรานนท์</t>
  </si>
  <si>
    <t>นาย สมิง</t>
  </si>
  <si>
    <t>ศิลปคง</t>
  </si>
  <si>
    <t>นาย สุทธิวัฒน์</t>
  </si>
  <si>
    <t>ขณะรัตน์</t>
  </si>
  <si>
    <t>นาย นนท์</t>
  </si>
  <si>
    <t>เขียวเปลื้อง</t>
  </si>
  <si>
    <t>ลี้เลอเกียรติ</t>
  </si>
  <si>
    <t>นาย ญาณพันธ์</t>
  </si>
  <si>
    <t>สุรารักษ์</t>
  </si>
  <si>
    <t>แย้มนาศักดิ์</t>
  </si>
  <si>
    <t>นาย เถลิงศักดิ์</t>
  </si>
  <si>
    <t>ซ้อนมณี</t>
  </si>
  <si>
    <t xml:space="preserve">นาย กฤต </t>
  </si>
  <si>
    <t xml:space="preserve">พึ่งจารุเลิศกุล </t>
  </si>
  <si>
    <t>สังข์สว่าง</t>
  </si>
  <si>
    <t>นาง อุ่นเรือน</t>
  </si>
  <si>
    <t>ลุ่มจันทร์</t>
  </si>
  <si>
    <t>ทองแพง</t>
  </si>
  <si>
    <t>นาย คำตา</t>
  </si>
  <si>
    <t>จักร์เพ็ชร์</t>
  </si>
  <si>
    <t>นาย ฉัตรทอง</t>
  </si>
  <si>
    <t>แสงหล่อ</t>
  </si>
  <si>
    <t>แก้วพร้อมตึก</t>
  </si>
  <si>
    <t>ศรีคำหู้</t>
  </si>
  <si>
    <t>ปานเนียม</t>
  </si>
  <si>
    <t>สนุกแสน</t>
  </si>
  <si>
    <t>นาง ประทิน</t>
  </si>
  <si>
    <t>นาง วันทา</t>
  </si>
  <si>
    <t>ทองเสมียน</t>
  </si>
  <si>
    <t>จำภวังค์</t>
  </si>
  <si>
    <t>ล้ำเลิศ</t>
  </si>
  <si>
    <t>นาย สุภา</t>
  </si>
  <si>
    <t>วงศ์ราช</t>
  </si>
  <si>
    <t>นางสาว ปยุดา</t>
  </si>
  <si>
    <t>สลับศรี</t>
  </si>
  <si>
    <t>พลจันทร์</t>
  </si>
  <si>
    <t>ชาวอุทัย</t>
  </si>
  <si>
    <t>นาย ทองแดง</t>
  </si>
  <si>
    <t>เรือนงาม</t>
  </si>
  <si>
    <t>สุวโรพร</t>
  </si>
  <si>
    <t xml:space="preserve">นาย ธีร์ธนัตถ์ </t>
  </si>
  <si>
    <t xml:space="preserve">ภาสภิรมย์ </t>
  </si>
  <si>
    <t>เทพกาวงค์</t>
  </si>
  <si>
    <t>นางสาว พรชนก</t>
  </si>
  <si>
    <t>คงสมโอษฐ์</t>
  </si>
  <si>
    <t>นาย ราเมศ</t>
  </si>
  <si>
    <t>จำศิลป</t>
  </si>
  <si>
    <t>คงสมบัติ</t>
  </si>
  <si>
    <t>อยู่เล่ห์</t>
  </si>
  <si>
    <t>นางสาว นัททรียา</t>
  </si>
  <si>
    <t>จิตบำรุง</t>
  </si>
  <si>
    <t xml:space="preserve">ว่าที่ ร.ต. ทองสา </t>
  </si>
  <si>
    <t xml:space="preserve">ทองหนองยาง </t>
  </si>
  <si>
    <t>นางสาว อุทัย</t>
  </si>
  <si>
    <t>กระแสร์ยศ</t>
  </si>
  <si>
    <t>ตั้งจิตร</t>
  </si>
  <si>
    <t>นาง สิริกร</t>
  </si>
  <si>
    <t>เหมหงษ์ทอง</t>
  </si>
  <si>
    <t>วิเศษโชค</t>
  </si>
  <si>
    <t>แก้วอิ่ม</t>
  </si>
  <si>
    <t>นาย ละออ</t>
  </si>
  <si>
    <t>เสร็จกิจ</t>
  </si>
  <si>
    <t>มุ่งเมือง</t>
  </si>
  <si>
    <t xml:space="preserve">วันเจริญ </t>
  </si>
  <si>
    <t>ชีวกาญจน์</t>
  </si>
  <si>
    <t>ตุ้มมล</t>
  </si>
  <si>
    <t>กองสี</t>
  </si>
  <si>
    <t>พรมอยู่</t>
  </si>
  <si>
    <t>นาย วิลาศ</t>
  </si>
  <si>
    <t>ถาวรกสิอนันต์</t>
  </si>
  <si>
    <t>อ่อนคง</t>
  </si>
  <si>
    <t>นาง ไพจิตร์</t>
  </si>
  <si>
    <t>วิสารทการณ์</t>
  </si>
  <si>
    <t>นาง สากล</t>
  </si>
  <si>
    <t>ตินตะสุวรรณ</t>
  </si>
  <si>
    <t>ลูกรักษ์</t>
  </si>
  <si>
    <t>จันกระจ่าง</t>
  </si>
  <si>
    <t>นางสาว รัตติญา</t>
  </si>
  <si>
    <t>งามระบำ</t>
  </si>
  <si>
    <t>นาย สุพรรณ์</t>
  </si>
  <si>
    <t>นางสาว สุพิชฌาย์</t>
  </si>
  <si>
    <t>ภักดีกูล</t>
  </si>
  <si>
    <t>วิชชุประเสริฐ</t>
  </si>
  <si>
    <t>นางสาว ชรัณญา</t>
  </si>
  <si>
    <t>นาย ปฐมชัย</t>
  </si>
  <si>
    <t>คชะสุต</t>
  </si>
  <si>
    <t>นางสาว นุชรี</t>
  </si>
  <si>
    <t>นางสาว กันติญาดา</t>
  </si>
  <si>
    <t>เบ็ญพาด</t>
  </si>
  <si>
    <t xml:space="preserve">เอกมณี </t>
  </si>
  <si>
    <t xml:space="preserve">นางสาว มาลินี </t>
  </si>
  <si>
    <t xml:space="preserve">อินทร์วงศ์ </t>
  </si>
  <si>
    <t xml:space="preserve">ลี้เลอเกียรติ </t>
  </si>
  <si>
    <t>นางสาว พยุ</t>
  </si>
  <si>
    <t xml:space="preserve">สุธาพจน์ </t>
  </si>
  <si>
    <t>นางสาว นาตยา</t>
  </si>
  <si>
    <t xml:space="preserve">ทับทัง </t>
  </si>
  <si>
    <t>แขวงผุด</t>
  </si>
  <si>
    <t xml:space="preserve">ชั่งทุ่งใหญ่ </t>
  </si>
  <si>
    <t>นางสาว หทัยรัตน์</t>
  </si>
  <si>
    <t>จันทวิมล</t>
  </si>
  <si>
    <t>นาย เอกธาดา</t>
  </si>
  <si>
    <t>จีนหลี</t>
  </si>
  <si>
    <t>ช้างฉาว</t>
  </si>
  <si>
    <t>ดวงแก้ว</t>
  </si>
  <si>
    <t xml:space="preserve">นาย ชัยรัตน์ </t>
  </si>
  <si>
    <t>กันกลับ</t>
  </si>
  <si>
    <t xml:space="preserve">เลิศลอยปัญญาชัย </t>
  </si>
  <si>
    <t xml:space="preserve">นางสาว จตุพร </t>
  </si>
  <si>
    <t xml:space="preserve">ศีตมโนชญ์ </t>
  </si>
  <si>
    <t xml:space="preserve">นาย ลีนวัฒน์ </t>
  </si>
  <si>
    <t xml:space="preserve">เอกตระกูลรักษ์ </t>
  </si>
  <si>
    <t xml:space="preserve">นางสาว ฤทัยรัตน์ </t>
  </si>
  <si>
    <t xml:space="preserve">เตี้ยเนตร </t>
  </si>
  <si>
    <t>นางสาว อุมาพร</t>
  </si>
  <si>
    <t>อมรธีระกุล</t>
  </si>
  <si>
    <t>นางสาว พรศิริ</t>
  </si>
  <si>
    <t xml:space="preserve">ลายไม้ </t>
  </si>
  <si>
    <t xml:space="preserve">หมื่นชำนาญ </t>
  </si>
  <si>
    <t>นางสาว มุกดา</t>
  </si>
  <si>
    <t>เจรจาศิลป</t>
  </si>
  <si>
    <t>สมหวังพรเจริญ</t>
  </si>
  <si>
    <t>บุตรพา</t>
  </si>
  <si>
    <t xml:space="preserve">เข็มทอง </t>
  </si>
  <si>
    <t>นาย กิติวุฒิ</t>
  </si>
  <si>
    <t>เพชรสะแก</t>
  </si>
  <si>
    <t xml:space="preserve">นาย ภาณุพันธุ์ </t>
  </si>
  <si>
    <t>รัตน์ทองคง</t>
  </si>
  <si>
    <t>นาง บัวน้อย</t>
  </si>
  <si>
    <t>ชาญศิริ</t>
  </si>
  <si>
    <t xml:space="preserve">นาง ลมิตรา </t>
  </si>
  <si>
    <t>ชัยสิทธิ์ดำรง</t>
  </si>
  <si>
    <t xml:space="preserve">นางสาว ปิยรักษ์ </t>
  </si>
  <si>
    <t xml:space="preserve">รัศมี </t>
  </si>
  <si>
    <t>บุญยง</t>
  </si>
  <si>
    <t>นางสาว พลอยพัดชา</t>
  </si>
  <si>
    <t>รักษ์ยางเดิม</t>
  </si>
  <si>
    <t>ทองคงอ่วม</t>
  </si>
  <si>
    <t>สุขเปี่ยม</t>
  </si>
  <si>
    <t>ภู่พร้อม</t>
  </si>
  <si>
    <t>นาง ปรึกษา</t>
  </si>
  <si>
    <t>ประวีณไว</t>
  </si>
  <si>
    <t xml:space="preserve">กมลจรัสวัฒนา </t>
  </si>
  <si>
    <t xml:space="preserve">นาง ปนัดดา </t>
  </si>
  <si>
    <t xml:space="preserve">นิ่มนาค </t>
  </si>
  <si>
    <t>อาลัย</t>
  </si>
  <si>
    <t xml:space="preserve">รุ่งโรจน์ </t>
  </si>
  <si>
    <t xml:space="preserve">นาย มนัสชนน์ </t>
  </si>
  <si>
    <t>ฉลองชาติ</t>
  </si>
  <si>
    <t>ทัดแก้ว</t>
  </si>
  <si>
    <t xml:space="preserve">ไทยถาวร </t>
  </si>
  <si>
    <t xml:space="preserve">นางสาว ศศิมา </t>
  </si>
  <si>
    <t xml:space="preserve">โพธิ์ศรี </t>
  </si>
  <si>
    <t xml:space="preserve">นางสาว จันทกานติ์ </t>
  </si>
  <si>
    <t xml:space="preserve">น้อยสวาด </t>
  </si>
  <si>
    <t>กมลสัตย์</t>
  </si>
  <si>
    <t>นาย ชิตพล</t>
  </si>
  <si>
    <t>เต็งเก้าประเสริฐ</t>
  </si>
  <si>
    <t>จินดามณี</t>
  </si>
  <si>
    <t>นาง สิริสมหมาย</t>
  </si>
  <si>
    <t>ดาเปรม</t>
  </si>
  <si>
    <t>นาง ดวงจันทร์</t>
  </si>
  <si>
    <t>นาย มาก</t>
  </si>
  <si>
    <t>ฟักทับ</t>
  </si>
  <si>
    <t>นาย บุญทวี</t>
  </si>
  <si>
    <t>โคมแก้ว</t>
  </si>
  <si>
    <t>เหมือนจันทร์แจ่ม</t>
  </si>
  <si>
    <t>หุ้นเอี่ยม</t>
  </si>
  <si>
    <t>ศิลปสิทธิ์</t>
  </si>
  <si>
    <t>นางสาว วันดี</t>
  </si>
  <si>
    <t>แสนประสิทธิ์</t>
  </si>
  <si>
    <t>นางสาว นิศากร</t>
  </si>
  <si>
    <t>ลี้ชาญพานิชยกิจ</t>
  </si>
  <si>
    <t xml:space="preserve">นางสาว ณัตฐา </t>
  </si>
  <si>
    <t>พลเสน</t>
  </si>
  <si>
    <t xml:space="preserve">นางสาว ธนิษฐา </t>
  </si>
  <si>
    <t>ปานนก</t>
  </si>
  <si>
    <t>นางสาว แววดาว</t>
  </si>
  <si>
    <t>กลิ่นหอม</t>
  </si>
  <si>
    <t>ประดิษฐ์กุล</t>
  </si>
  <si>
    <t>ศิริชุมแสง</t>
  </si>
  <si>
    <t>ถนนแก้ว</t>
  </si>
  <si>
    <t>นางสาว ขจิตรา</t>
  </si>
  <si>
    <t>โผดโผน</t>
  </si>
  <si>
    <t xml:space="preserve">นางสาว เยาวมาลย์ </t>
  </si>
  <si>
    <t xml:space="preserve">ภาคภูมิ </t>
  </si>
  <si>
    <t xml:space="preserve">นาย นพรุจ </t>
  </si>
  <si>
    <t xml:space="preserve">หินอ่อน </t>
  </si>
  <si>
    <t>นางสาว มีนา</t>
  </si>
  <si>
    <t>เพ็งเจริญ</t>
  </si>
  <si>
    <t>นางสาว สุวพร</t>
  </si>
  <si>
    <t>ทรัพย์มิตร</t>
  </si>
  <si>
    <t>อุ่นศิริ</t>
  </si>
  <si>
    <t xml:space="preserve">นางสาว รวิวรรณ </t>
  </si>
  <si>
    <t xml:space="preserve">จันทร์ผ่อง </t>
  </si>
  <si>
    <t xml:space="preserve">นาย ณัฎฐพัชร์ </t>
  </si>
  <si>
    <t>วิวัฒน์จันทรกุล</t>
  </si>
  <si>
    <t>นาง พิรุณพร</t>
  </si>
  <si>
    <t>ไข่ทองแก้ว</t>
  </si>
  <si>
    <t>ก้อนทอง</t>
  </si>
  <si>
    <t>พวงซ้อน</t>
  </si>
  <si>
    <t>ตริตรอง</t>
  </si>
  <si>
    <t>วัชรเสนีย์</t>
  </si>
  <si>
    <t>นาง ศุภจิตต์</t>
  </si>
  <si>
    <t>วะศินรัตน์</t>
  </si>
  <si>
    <t>เกตุอารี</t>
  </si>
  <si>
    <t>ธารามาศ</t>
  </si>
  <si>
    <t>นาย สุภเวช</t>
  </si>
  <si>
    <t>นาน้ำเชี่ยว</t>
  </si>
  <si>
    <t>นาย ก่อเกียรติ์</t>
  </si>
  <si>
    <t>รัชนิพนธ์</t>
  </si>
  <si>
    <t>พรวสันต์ยิ่ง</t>
  </si>
  <si>
    <t>เกิดขันหมาก</t>
  </si>
  <si>
    <t>ทวีเกียรติกำธร</t>
  </si>
  <si>
    <t>นางสาว สุชาดา</t>
  </si>
  <si>
    <t>สุจริตจันทร์</t>
  </si>
  <si>
    <t>อาจนาวัง</t>
  </si>
  <si>
    <t>มุนนี</t>
  </si>
  <si>
    <t>นาย ชวนินทร์</t>
  </si>
  <si>
    <t>รุ่งช่วง</t>
  </si>
  <si>
    <t>ตะเคียนทอง</t>
  </si>
  <si>
    <t>มูลคำภา</t>
  </si>
  <si>
    <t>นาย ชนาธิปไตย</t>
  </si>
  <si>
    <t>ตรงดี</t>
  </si>
  <si>
    <t>ศรีจันทร์ดี</t>
  </si>
  <si>
    <t>นาง ปทิตตา</t>
  </si>
  <si>
    <t>นาง จารุมาลย์</t>
  </si>
  <si>
    <t>เฉลิมวัฒน์</t>
  </si>
  <si>
    <t>ดวงพัตรา</t>
  </si>
  <si>
    <t>นางสาว ประทีป</t>
  </si>
  <si>
    <t>จันทร์จิระ</t>
  </si>
  <si>
    <t>เอี่ยมประไพ</t>
  </si>
  <si>
    <t>สุวรรณเสิศ</t>
  </si>
  <si>
    <t>จิรกุลชัยนเรศ</t>
  </si>
  <si>
    <t>นาง ดารารัตน์</t>
  </si>
  <si>
    <t>ประคองทรัพย์</t>
  </si>
  <si>
    <t>ยิ่งยง</t>
  </si>
  <si>
    <t>นาย เชวง</t>
  </si>
  <si>
    <t>วงศ์พลาย</t>
  </si>
  <si>
    <t>กะระโสภณ</t>
  </si>
  <si>
    <t>ชุ่มฤทธิ์</t>
  </si>
  <si>
    <t>สดวกดี</t>
  </si>
  <si>
    <t>เปี่ยมฤกษ์</t>
  </si>
  <si>
    <t>นาย อนัน</t>
  </si>
  <si>
    <t>กำเนิดสิงห์</t>
  </si>
  <si>
    <t>น้อยสระ</t>
  </si>
  <si>
    <t>ตรีจันทร์</t>
  </si>
  <si>
    <t>นาง พิมลสิริ</t>
  </si>
  <si>
    <t>เทพทวี</t>
  </si>
  <si>
    <t>นาง ธัญสินี</t>
  </si>
  <si>
    <t>เมฆอรุโณทัย</t>
  </si>
  <si>
    <t>ถนอมพงษ์</t>
  </si>
  <si>
    <t>สวนสุข</t>
  </si>
  <si>
    <t>ภู่ประยูร</t>
  </si>
  <si>
    <t>ห่วงงาม</t>
  </si>
  <si>
    <t>นุตประศาสน์</t>
  </si>
  <si>
    <t>นาง ชนิตา</t>
  </si>
  <si>
    <t>เพิ่มพูล</t>
  </si>
  <si>
    <t>นาย ปรเมศร์</t>
  </si>
  <si>
    <t>ภู่งาม</t>
  </si>
  <si>
    <t>นาย ศิลา</t>
  </si>
  <si>
    <t>อิศโรวุธกุล</t>
  </si>
  <si>
    <t xml:space="preserve">เพชรช่วย </t>
  </si>
  <si>
    <t>เกตุเกล้า</t>
  </si>
  <si>
    <t>นาง พัชนีย์</t>
  </si>
  <si>
    <t>พิชิตการณ์</t>
  </si>
  <si>
    <t>นาง พยอม</t>
  </si>
  <si>
    <t>ประภาสะวัต</t>
  </si>
  <si>
    <t>นาง ยุวเรศ</t>
  </si>
  <si>
    <t>ลี้ประเสริฐ</t>
  </si>
  <si>
    <t>คงเปี่ยม</t>
  </si>
  <si>
    <t>วงษ์เจริญสุข</t>
  </si>
  <si>
    <t xml:space="preserve">นางสาว ณัฐกานต์ </t>
  </si>
  <si>
    <t>เกษไชย</t>
  </si>
  <si>
    <t>นาย อาทร</t>
  </si>
  <si>
    <t>รื่นชล</t>
  </si>
  <si>
    <t xml:space="preserve">นาย พีระวัฒน์ </t>
  </si>
  <si>
    <t xml:space="preserve">วุฒิพศินกิจ </t>
  </si>
  <si>
    <t>อ่อนไสว</t>
  </si>
  <si>
    <t>นางสาว วชิราพร</t>
  </si>
  <si>
    <t>นาย ศรีศักดิ์</t>
  </si>
  <si>
    <t>กล้าใจ</t>
  </si>
  <si>
    <t xml:space="preserve">นาย ภานุวัฒน์ </t>
  </si>
  <si>
    <t xml:space="preserve">เนียมสุวรรณ </t>
  </si>
  <si>
    <t xml:space="preserve">นางสาว กนกนวล </t>
  </si>
  <si>
    <t xml:space="preserve">เครือวัล </t>
  </si>
  <si>
    <t xml:space="preserve">นาง ปิยาภรณ์ </t>
  </si>
  <si>
    <t xml:space="preserve">ทองอินทร์ </t>
  </si>
  <si>
    <t xml:space="preserve">นางสาว พิมพ์ชนก </t>
  </si>
  <si>
    <t xml:space="preserve">สรรคประสิทธิ์ </t>
  </si>
  <si>
    <t>เสงี่ยมวงษ์</t>
  </si>
  <si>
    <t>ขุมเงิน</t>
  </si>
  <si>
    <t>นางสาว ศศิมา</t>
  </si>
  <si>
    <t>เตรียมวิจารณ์กุล</t>
  </si>
  <si>
    <t>วังแสนแก้ว</t>
  </si>
  <si>
    <t>นาง อมรพรรณ</t>
  </si>
  <si>
    <t>นางสาว สะอาด</t>
  </si>
  <si>
    <t>ยุทธวิธี</t>
  </si>
  <si>
    <t>ภูริผล</t>
  </si>
  <si>
    <t>นาย สรพล</t>
  </si>
  <si>
    <t>สงวนชม</t>
  </si>
  <si>
    <t>คำหวาน</t>
  </si>
  <si>
    <t>ทาศิริ</t>
  </si>
  <si>
    <t>ทองมาไทย</t>
  </si>
  <si>
    <t>ทานะมัย</t>
  </si>
  <si>
    <t>จันทร์กระจ่าง</t>
  </si>
  <si>
    <t>นาย รัชพล</t>
  </si>
  <si>
    <t>สว่างทุกข์</t>
  </si>
  <si>
    <t>นางสาว แสนพลอย</t>
  </si>
  <si>
    <t>พรมหนองแสน</t>
  </si>
  <si>
    <t>สุรวาท</t>
  </si>
  <si>
    <t>อุบลรัตน์</t>
  </si>
  <si>
    <t>นาย รัชชานนท์</t>
  </si>
  <si>
    <t>ศรีสมบูรณ์</t>
  </si>
  <si>
    <t>นางสาว ศรีสุนันท์</t>
  </si>
  <si>
    <t>กรงทอง</t>
  </si>
  <si>
    <t>นางสาว กุลทรัพย์</t>
  </si>
  <si>
    <t>ชีพัฒน์</t>
  </si>
  <si>
    <t>อินลอย</t>
  </si>
  <si>
    <t>เมตตา</t>
  </si>
  <si>
    <t>สุวรรณคุณ</t>
  </si>
  <si>
    <t>นางสาว อัมไพ</t>
  </si>
  <si>
    <t>สวนขำ</t>
  </si>
  <si>
    <t>นางสาว จิตนิชา</t>
  </si>
  <si>
    <t xml:space="preserve">พัฒนเจริญ </t>
  </si>
  <si>
    <t>นาย อนุชัย</t>
  </si>
  <si>
    <t>สังเขป</t>
  </si>
  <si>
    <t xml:space="preserve">นาย คชาชีพ </t>
  </si>
  <si>
    <t xml:space="preserve">สว่าง </t>
  </si>
  <si>
    <t xml:space="preserve">สุทธิรัตน์ </t>
  </si>
  <si>
    <t>หิมพานต์</t>
  </si>
  <si>
    <t>จันทรังษี</t>
  </si>
  <si>
    <t>ควรหัตถ์</t>
  </si>
  <si>
    <t xml:space="preserve">นาย สกุลชาติ </t>
  </si>
  <si>
    <t xml:space="preserve">มาสี </t>
  </si>
  <si>
    <t xml:space="preserve">นาย วัชรินทร์ </t>
  </si>
  <si>
    <t xml:space="preserve">เจือทอง </t>
  </si>
  <si>
    <t xml:space="preserve">นาย ณรงค์ฤทธิ์ </t>
  </si>
  <si>
    <t>ทุมอะริยะ</t>
  </si>
  <si>
    <t xml:space="preserve">นางสาว ปิยพร </t>
  </si>
  <si>
    <t>ฉายสว่าง</t>
  </si>
  <si>
    <t>ม่วงกล่ำ</t>
  </si>
  <si>
    <t>กำบังภัย</t>
  </si>
  <si>
    <t>วิชานำ</t>
  </si>
  <si>
    <t>นางสาว พรนภา</t>
  </si>
  <si>
    <t>รุ่งสว่าง</t>
  </si>
  <si>
    <t>นาง เฉลิมศรี</t>
  </si>
  <si>
    <t>คลองสระบัว</t>
  </si>
  <si>
    <t>นาง วันดี</t>
  </si>
  <si>
    <t>แย้มทับ</t>
  </si>
  <si>
    <t>ชะเอม</t>
  </si>
  <si>
    <t>นางสาว ชีวรัตน์</t>
  </si>
  <si>
    <t>มีนาภา</t>
  </si>
  <si>
    <t xml:space="preserve">นางสาว นิตินันท์ </t>
  </si>
  <si>
    <t xml:space="preserve">สีดา </t>
  </si>
  <si>
    <t>พันยะฤทธิ์</t>
  </si>
  <si>
    <t xml:space="preserve">ยองรัมย์ </t>
  </si>
  <si>
    <t xml:space="preserve">เบ้าช้างเผือก </t>
  </si>
  <si>
    <t>ทรัพย์ประเสริฐ</t>
  </si>
  <si>
    <t>อนุศร</t>
  </si>
  <si>
    <t>นางสาว สมฤทัย</t>
  </si>
  <si>
    <t>กัณหาวารี</t>
  </si>
  <si>
    <t xml:space="preserve">เกิดมี </t>
  </si>
  <si>
    <t>นางสาว ปณิชา</t>
  </si>
  <si>
    <t>นุ้ยวังทอง</t>
  </si>
  <si>
    <t>พูลแย้ม</t>
  </si>
  <si>
    <t xml:space="preserve">นางสาว ณิชากร </t>
  </si>
  <si>
    <t xml:space="preserve">สงสุวงค์ </t>
  </si>
  <si>
    <t>นางสาว สาวิตรี</t>
  </si>
  <si>
    <t>ทิมทับ</t>
  </si>
  <si>
    <t xml:space="preserve">นางสาว ศุภรานันท์ </t>
  </si>
  <si>
    <t xml:space="preserve">ทองไหม </t>
  </si>
  <si>
    <t>นางสาว วกราววรรณ</t>
  </si>
  <si>
    <t>อ่อนสุขใส</t>
  </si>
  <si>
    <t xml:space="preserve">สุวรรณวาปี </t>
  </si>
  <si>
    <t xml:space="preserve">นาย พัทยา </t>
  </si>
  <si>
    <t xml:space="preserve">ชุมเพชร </t>
  </si>
  <si>
    <t>บุญรักชาติ</t>
  </si>
  <si>
    <t xml:space="preserve">นาง ชญาดา </t>
  </si>
  <si>
    <t xml:space="preserve">สาราเลิศ </t>
  </si>
  <si>
    <t>นางสาว ปนิตา</t>
  </si>
  <si>
    <t>เล็กรุ่งเรืองกิจ</t>
  </si>
  <si>
    <t>นางสาว ณัฏฐนิช</t>
  </si>
  <si>
    <t>ชมศิริ</t>
  </si>
  <si>
    <t>นางสาว ณัฐกฤตา</t>
  </si>
  <si>
    <t>จีนประสม</t>
  </si>
  <si>
    <t>พูลทะจักร</t>
  </si>
  <si>
    <t>จาริก</t>
  </si>
  <si>
    <t>กฐินเทศ</t>
  </si>
  <si>
    <t>ศรีวงษ์</t>
  </si>
  <si>
    <t>กลิ่นสังข์</t>
  </si>
  <si>
    <t>รักนิยม</t>
  </si>
  <si>
    <t>นาง ศรีพรรณ</t>
  </si>
  <si>
    <t>อุประหนอง</t>
  </si>
  <si>
    <t>เทพปินตา</t>
  </si>
  <si>
    <t>ชิตานุวัฒน์</t>
  </si>
  <si>
    <t>รากคำ</t>
  </si>
  <si>
    <t>พีระเชื้อ</t>
  </si>
  <si>
    <t>นาย อุลิศ</t>
  </si>
  <si>
    <t>อำไพภักดิ์</t>
  </si>
  <si>
    <t>หาญใจ</t>
  </si>
  <si>
    <t>นาง ขวัญทอง</t>
  </si>
  <si>
    <t>สุนทรเกษมสุข</t>
  </si>
  <si>
    <t>นาย สีหราช</t>
  </si>
  <si>
    <t>พัดบัว</t>
  </si>
  <si>
    <t>พยัคฆบุตร</t>
  </si>
  <si>
    <t>ปาจุวัง</t>
  </si>
  <si>
    <t>นาย นัฎพล</t>
  </si>
  <si>
    <t>ต่างใจ</t>
  </si>
  <si>
    <t>สีตะพันธุ์</t>
  </si>
  <si>
    <t>เทพจันทร์</t>
  </si>
  <si>
    <t>ลังกา</t>
  </si>
  <si>
    <t>เล็กกำแหง</t>
  </si>
  <si>
    <t>นาย พงษ์ศิลป์</t>
  </si>
  <si>
    <t>แสงศิริ</t>
  </si>
  <si>
    <t>จันทร์ประภากรณ์</t>
  </si>
  <si>
    <t>นาง ราษี</t>
  </si>
  <si>
    <t>สุขสุวานนท์</t>
  </si>
  <si>
    <t>นาง คัทยา</t>
  </si>
  <si>
    <t>ธรรมริยา</t>
  </si>
  <si>
    <t>ไชยเกิด</t>
  </si>
  <si>
    <t>ปะพบบุญ</t>
  </si>
  <si>
    <t>นางสาว สมพิศ</t>
  </si>
  <si>
    <t>ศรีแปงวงค์</t>
  </si>
  <si>
    <t xml:space="preserve">พรมมา                                       </t>
  </si>
  <si>
    <t>ขันธิกุล</t>
  </si>
  <si>
    <t>เตียนต๊ะนันท์</t>
  </si>
  <si>
    <t>นาย อินสอน</t>
  </si>
  <si>
    <t>สาคำ</t>
  </si>
  <si>
    <t>สอนอินต๊ะ</t>
  </si>
  <si>
    <t>ศักดิ์วงค์</t>
  </si>
  <si>
    <t>หน่อแก้ว</t>
  </si>
  <si>
    <t>นาง ญาณิศา</t>
  </si>
  <si>
    <t>ศรีแพงมนต์</t>
  </si>
  <si>
    <t>วงค์โปทา</t>
  </si>
  <si>
    <t>นาง ลฎาภา</t>
  </si>
  <si>
    <t xml:space="preserve">เสถียรบุญ </t>
  </si>
  <si>
    <t>เก่งสาริกัน</t>
  </si>
  <si>
    <t>ขันคลาย</t>
  </si>
  <si>
    <t>สุคนธเสนี</t>
  </si>
  <si>
    <t>ศรีสุด</t>
  </si>
  <si>
    <t>ขัดเชียงราย</t>
  </si>
  <si>
    <t>นาง สมจิต</t>
  </si>
  <si>
    <t>เรือนมั่น</t>
  </si>
  <si>
    <t>นาย เซ็น</t>
  </si>
  <si>
    <t>ศศิวิมลฤทธิ์</t>
  </si>
  <si>
    <t>นาย นิทุน</t>
  </si>
  <si>
    <t>สอนลือ</t>
  </si>
  <si>
    <t>ติไชย</t>
  </si>
  <si>
    <t>ถาวรศักดิ์</t>
  </si>
  <si>
    <t>นาง ศรีนุช</t>
  </si>
  <si>
    <t>นาง สมเพชร</t>
  </si>
  <si>
    <t>วงศ์เรียน</t>
  </si>
  <si>
    <t>วงศ์ภาดี</t>
  </si>
  <si>
    <t>นาย เมืองพรม</t>
  </si>
  <si>
    <t>จินจำ</t>
  </si>
  <si>
    <t>นางสาว ศรีนวล</t>
  </si>
  <si>
    <t xml:space="preserve">พรหมฟัง </t>
  </si>
  <si>
    <t>ชังเทศ</t>
  </si>
  <si>
    <t>ปัญญาสีห์</t>
  </si>
  <si>
    <t>นาง บรรจร</t>
  </si>
  <si>
    <t>บุญจูบุตร</t>
  </si>
  <si>
    <t>คำรพมิ่ง</t>
  </si>
  <si>
    <t>สมบูรณ์ไชย</t>
  </si>
  <si>
    <t>นาย สอาด</t>
  </si>
  <si>
    <t>คำทราย</t>
  </si>
  <si>
    <t>ศรีชุม</t>
  </si>
  <si>
    <t>นาย กิจติภณ</t>
  </si>
  <si>
    <t>ท่องเที่ยว</t>
  </si>
  <si>
    <t>จุลเจนวิทย์</t>
  </si>
  <si>
    <t>นาง ทรงนล</t>
  </si>
  <si>
    <t>กาศวิบูลย์</t>
  </si>
  <si>
    <t>ทองจ้อย</t>
  </si>
  <si>
    <t>นาย ตรีภพ</t>
  </si>
  <si>
    <t>ตากัน</t>
  </si>
  <si>
    <t>สุวรรณสา</t>
  </si>
  <si>
    <t>นาย จันทร์ติ๊บ</t>
  </si>
  <si>
    <t>กันทะวัง</t>
  </si>
  <si>
    <t>นางสาว สำราญ</t>
  </si>
  <si>
    <t>คำภิระแปง</t>
  </si>
  <si>
    <t>นาย นพพร</t>
  </si>
  <si>
    <t>ศรีวรกุลวงศ์</t>
  </si>
  <si>
    <t>บุญเมือง</t>
  </si>
  <si>
    <t>พวงสายใจ</t>
  </si>
  <si>
    <t>คำฝาเชื้อ</t>
  </si>
  <si>
    <t>นาง ทรงพร</t>
  </si>
  <si>
    <t>อ้อมค้อม</t>
  </si>
  <si>
    <t>เส็งชื่น</t>
  </si>
  <si>
    <t>นาง สิทธินี</t>
  </si>
  <si>
    <t>มูลวรรณ์</t>
  </si>
  <si>
    <t>สมมะโน</t>
  </si>
  <si>
    <t>ละกำปั่น</t>
  </si>
  <si>
    <t>รักพงษ์</t>
  </si>
  <si>
    <t>อุตรสัก</t>
  </si>
  <si>
    <t xml:space="preserve">นาง นันทกาญจน์ </t>
  </si>
  <si>
    <t xml:space="preserve">พรคงเกษม </t>
  </si>
  <si>
    <t>นาย คมกฤต</t>
  </si>
  <si>
    <t>ภูมมะภูติ</t>
  </si>
  <si>
    <t>ศฤงคารวัฒนา</t>
  </si>
  <si>
    <t>นางสาว ประวีณ์นุช</t>
  </si>
  <si>
    <t>สันพะเยาว์</t>
  </si>
  <si>
    <t>สุเสารัจ</t>
  </si>
  <si>
    <t>กันสัย</t>
  </si>
  <si>
    <t>ทรายคำ</t>
  </si>
  <si>
    <t>ไชยยงค์</t>
  </si>
  <si>
    <t>มาเร็ว</t>
  </si>
  <si>
    <t>โพธิ์แจ่ม</t>
  </si>
  <si>
    <t>ไชยแสน</t>
  </si>
  <si>
    <t>มัชชะ</t>
  </si>
  <si>
    <t>ปาธรรม</t>
  </si>
  <si>
    <t>นาย ไข่</t>
  </si>
  <si>
    <t>จันทิราช</t>
  </si>
  <si>
    <t>นาย พิเชษธ</t>
  </si>
  <si>
    <t>รักชาติโชติกูล</t>
  </si>
  <si>
    <t xml:space="preserve">นาย วิทยากร </t>
  </si>
  <si>
    <t xml:space="preserve">บุตรเชื้อ </t>
  </si>
  <si>
    <t>นาง กนกวรรณ</t>
  </si>
  <si>
    <t>พรหมตัน</t>
  </si>
  <si>
    <t>กาบเย็น</t>
  </si>
  <si>
    <t xml:space="preserve">นาย ประชาเวช </t>
  </si>
  <si>
    <t xml:space="preserve">เกษอินทร์ </t>
  </si>
  <si>
    <t xml:space="preserve">นางสาว สุมิตรา </t>
  </si>
  <si>
    <t xml:space="preserve">บุญเกิด </t>
  </si>
  <si>
    <t>นางสาว นาถยา</t>
  </si>
  <si>
    <t>คิดคำส่วน</t>
  </si>
  <si>
    <t xml:space="preserve">นางสาว เกษศิรินทร์ </t>
  </si>
  <si>
    <t xml:space="preserve">มะโนน้อม </t>
  </si>
  <si>
    <t>นาย นพปฎล</t>
  </si>
  <si>
    <t>ชูสมุทร</t>
  </si>
  <si>
    <t>ค่วยเทศ</t>
  </si>
  <si>
    <t>ว่าที่ ร.ต.หญิง วรมนต์</t>
  </si>
  <si>
    <t>แสงเมือง</t>
  </si>
  <si>
    <t xml:space="preserve">นางสาว ธราพร </t>
  </si>
  <si>
    <t xml:space="preserve">ยืนยงค์ </t>
  </si>
  <si>
    <t xml:space="preserve">สมพมิตร </t>
  </si>
  <si>
    <t xml:space="preserve">ตาลเงิน </t>
  </si>
  <si>
    <t xml:space="preserve">นางสาว ธัญวลัย </t>
  </si>
  <si>
    <t xml:space="preserve">เจียพินิจนัน </t>
  </si>
  <si>
    <t>ลอมศรี</t>
  </si>
  <si>
    <t>นาง สาริกา</t>
  </si>
  <si>
    <t>จอมบุญเรือง</t>
  </si>
  <si>
    <t xml:space="preserve">นาย ประสาน </t>
  </si>
  <si>
    <t xml:space="preserve">พิอุทัย </t>
  </si>
  <si>
    <t>นางสาว สวิชญา</t>
  </si>
  <si>
    <t>สมบุญโสด</t>
  </si>
  <si>
    <t>เพียรอุตส่าห์</t>
  </si>
  <si>
    <t>มิ่งเชื้อ</t>
  </si>
  <si>
    <t>นาย เศรษฐลัทธ์</t>
  </si>
  <si>
    <t>สัญญาเขื่อน</t>
  </si>
  <si>
    <t>บำเพ็ญ</t>
  </si>
  <si>
    <t>นาง ไข่แก้ว</t>
  </si>
  <si>
    <t>วิบุญมา</t>
  </si>
  <si>
    <t>วุฒิการณ์</t>
  </si>
  <si>
    <t>ชัยยาคำ</t>
  </si>
  <si>
    <t>นางสาว ประไพศรี</t>
  </si>
  <si>
    <t>บุรีคำ</t>
  </si>
  <si>
    <t>สุยะหมุด</t>
  </si>
  <si>
    <t>นางสาว จงจิตร</t>
  </si>
  <si>
    <t>มาลีเดช</t>
  </si>
  <si>
    <t>นาง สุนาน</t>
  </si>
  <si>
    <t>เกษมพิศ</t>
  </si>
  <si>
    <t>ติ๊บใจ</t>
  </si>
  <si>
    <t>เตชะสาย</t>
  </si>
  <si>
    <t>ฟองกันทา</t>
  </si>
  <si>
    <t>นาย สุโรจน์</t>
  </si>
  <si>
    <t>สิงห์กัณฑ์</t>
  </si>
  <si>
    <t>นาง กราบทอง</t>
  </si>
  <si>
    <t>พุ่มอยู่</t>
  </si>
  <si>
    <t>นางสาว วิภานันท์</t>
  </si>
  <si>
    <t>นางสาว ธัญญ์รวี</t>
  </si>
  <si>
    <t>ธนศิริพูลภัทร์</t>
  </si>
  <si>
    <t>นาง จารุนันท์</t>
  </si>
  <si>
    <t>สิทธิชยากุล</t>
  </si>
  <si>
    <t>ปันแกว่น</t>
  </si>
  <si>
    <t>คชวงษ์</t>
  </si>
  <si>
    <t>นาง จิราพร</t>
  </si>
  <si>
    <t>มูลบ้านดง</t>
  </si>
  <si>
    <t xml:space="preserve">นาง กีรติกร </t>
  </si>
  <si>
    <t>พรรณกมลกุล</t>
  </si>
  <si>
    <t>จันทน์เกษร</t>
  </si>
  <si>
    <t>ไชยานนท์</t>
  </si>
  <si>
    <t>แดงปง</t>
  </si>
  <si>
    <t>สิทธิตุ่น</t>
  </si>
  <si>
    <t>นาง ดลยา</t>
  </si>
  <si>
    <t>ใจจะดี</t>
  </si>
  <si>
    <t>ทิวงค์</t>
  </si>
  <si>
    <t>เมืองลอง</t>
  </si>
  <si>
    <t>นางสาว ณิญา</t>
  </si>
  <si>
    <t>ปันดอนไฟ</t>
  </si>
  <si>
    <t xml:space="preserve">นาง สุปรียา </t>
  </si>
  <si>
    <t xml:space="preserve">นาย ศุภกร </t>
  </si>
  <si>
    <t xml:space="preserve">อินเตชะ </t>
  </si>
  <si>
    <t xml:space="preserve">นาย เทพฤทธิ์ </t>
  </si>
  <si>
    <t>เนตรพิทูร</t>
  </si>
  <si>
    <t>นางสาว นีรนุช</t>
  </si>
  <si>
    <t xml:space="preserve">มิ่งเมือง </t>
  </si>
  <si>
    <t xml:space="preserve">นางสาว จันทิรา </t>
  </si>
  <si>
    <t xml:space="preserve">กันทะ </t>
  </si>
  <si>
    <t>นางสาว รุจิรา</t>
  </si>
  <si>
    <t xml:space="preserve">หล้าวงศา </t>
  </si>
  <si>
    <t xml:space="preserve">วงศ์สุรีย์ </t>
  </si>
  <si>
    <t xml:space="preserve">นาง วชิราภรณ์ </t>
  </si>
  <si>
    <t xml:space="preserve">นางสาว ขวัญกมล </t>
  </si>
  <si>
    <t xml:space="preserve">ปิงสมุทร์ </t>
  </si>
  <si>
    <t xml:space="preserve">นางสาว ปรานอม </t>
  </si>
  <si>
    <t xml:space="preserve">นางสาว หนึ่งฤทัย </t>
  </si>
  <si>
    <t xml:space="preserve">กิ่งจักร์ </t>
  </si>
  <si>
    <t>สุทธวงค์</t>
  </si>
  <si>
    <t>ดวงอ้าย</t>
  </si>
  <si>
    <t>ก๋าถ้วย</t>
  </si>
  <si>
    <t>นาง ปิยะพร</t>
  </si>
  <si>
    <t>รัตนจารีต</t>
  </si>
  <si>
    <t>วิเชีย</t>
  </si>
  <si>
    <t>พรมยวง</t>
  </si>
  <si>
    <t xml:space="preserve">นางสาว มลธิชา </t>
  </si>
  <si>
    <t xml:space="preserve">ทาอาสา </t>
  </si>
  <si>
    <t xml:space="preserve">นาง เรณู </t>
  </si>
  <si>
    <t xml:space="preserve">โรมา </t>
  </si>
  <si>
    <t xml:space="preserve">นาย วงค์ลักณ์ </t>
  </si>
  <si>
    <t xml:space="preserve">วงค์ศิริ </t>
  </si>
  <si>
    <t xml:space="preserve">นาย คิมหันต์ </t>
  </si>
  <si>
    <t xml:space="preserve">สิงห์ไชย </t>
  </si>
  <si>
    <t xml:space="preserve">บุญยปรีดี </t>
  </si>
  <si>
    <t xml:space="preserve">นางสาว พัทธิรา </t>
  </si>
  <si>
    <t xml:space="preserve">วงศ์ขัด </t>
  </si>
  <si>
    <t xml:space="preserve">วงค์จักร์ </t>
  </si>
  <si>
    <t>แตงอ่ำ</t>
  </si>
  <si>
    <t xml:space="preserve">นางสาว กัลยารัตน์ </t>
  </si>
  <si>
    <t xml:space="preserve">อุสสาสาร </t>
  </si>
  <si>
    <t>นางสาว เกษศิรินทร์</t>
  </si>
  <si>
    <t>วงค์จักร</t>
  </si>
  <si>
    <t>นาย ศารทูล</t>
  </si>
  <si>
    <t>สมาศิลป์</t>
  </si>
  <si>
    <t xml:space="preserve">นางสาว สิริวิมล </t>
  </si>
  <si>
    <t>ฉัตรปวงคำ</t>
  </si>
  <si>
    <t>นางสาว เมธวรรณ</t>
  </si>
  <si>
    <t>ธรรมนูญ</t>
  </si>
  <si>
    <t xml:space="preserve">นาย พงศธร </t>
  </si>
  <si>
    <t xml:space="preserve">ตาเขียว </t>
  </si>
  <si>
    <t>สิงห์ไชย</t>
  </si>
  <si>
    <t>ศิริสืบ</t>
  </si>
  <si>
    <t xml:space="preserve">นาย บุญช่วย </t>
  </si>
  <si>
    <t xml:space="preserve">อุดคำมี </t>
  </si>
  <si>
    <t xml:space="preserve">ใจจะดี </t>
  </si>
  <si>
    <t>เมืองมูล</t>
  </si>
  <si>
    <t>นาย สมศิลป์</t>
  </si>
  <si>
    <t>ลาวพันธ์</t>
  </si>
  <si>
    <t>นาย ดุจเดี่ยว</t>
  </si>
  <si>
    <t>วงศ์ภักดิ์</t>
  </si>
  <si>
    <t>นาง เยาวเรศ</t>
  </si>
  <si>
    <t>ทิฐธรรม</t>
  </si>
  <si>
    <t>อินทรเสนี</t>
  </si>
  <si>
    <t>ยาอีด</t>
  </si>
  <si>
    <t>นาย พงษ์พันธุ์</t>
  </si>
  <si>
    <t>นันทขว้าง</t>
  </si>
  <si>
    <t>มิ่งแก้ว</t>
  </si>
  <si>
    <t>บำรุงรส</t>
  </si>
  <si>
    <t>นาง ประทุมพร</t>
  </si>
  <si>
    <t>มะโนสร้อย</t>
  </si>
  <si>
    <t>แถมพยัคฆ์</t>
  </si>
  <si>
    <t>นาง อวยพร</t>
  </si>
  <si>
    <t>วงศ์เชษฐา</t>
  </si>
  <si>
    <t>นาง กาญจน์มณี</t>
  </si>
  <si>
    <t>เหลียววิริยะกิจ</t>
  </si>
  <si>
    <t>ปุรณะพรรค์</t>
  </si>
  <si>
    <t>วิชาเจริญ</t>
  </si>
  <si>
    <t>พิงทะวงศ์กุล</t>
  </si>
  <si>
    <t>หน่วยเดชา</t>
  </si>
  <si>
    <t>โปธาคำ</t>
  </si>
  <si>
    <t>นาง กอบกุล</t>
  </si>
  <si>
    <t>น้ำสา</t>
  </si>
  <si>
    <t>กองอินทร์</t>
  </si>
  <si>
    <t>นาง อำพลอย</t>
  </si>
  <si>
    <t>สุพรรณ</t>
  </si>
  <si>
    <t>ลังการ์พินธุ์</t>
  </si>
  <si>
    <t>พงศ์ตุ้ย</t>
  </si>
  <si>
    <t>มานะแซม</t>
  </si>
  <si>
    <t>นาย นิรุทธิ์</t>
  </si>
  <si>
    <t>นาย นิพันธ์</t>
  </si>
  <si>
    <t>มาละแซม</t>
  </si>
  <si>
    <t>นาง ลำเจิด</t>
  </si>
  <si>
    <t>แก้วขวัญไกร</t>
  </si>
  <si>
    <t>นาย ปรีดา</t>
  </si>
  <si>
    <t>ณ ลำพูน</t>
  </si>
  <si>
    <t>อบเชย</t>
  </si>
  <si>
    <t>นางสาว จารุณี</t>
  </si>
  <si>
    <t>นันตา</t>
  </si>
  <si>
    <t>จุลธง</t>
  </si>
  <si>
    <t>ภิญโญจิต</t>
  </si>
  <si>
    <t>นาง มัญจณา</t>
  </si>
  <si>
    <t>อนุสนธิ</t>
  </si>
  <si>
    <t xml:space="preserve">นาย ธณวัฒน์ </t>
  </si>
  <si>
    <t>วรรณใหม่</t>
  </si>
  <si>
    <t>เดชคุ้ม</t>
  </si>
  <si>
    <t>เมืองใจ</t>
  </si>
  <si>
    <t>นำปูนสัก</t>
  </si>
  <si>
    <t>นางสาว ศิริวิมล</t>
  </si>
  <si>
    <t xml:space="preserve">ศรีทิพย์ </t>
  </si>
  <si>
    <t>ส่งศิริ</t>
  </si>
  <si>
    <t>นาย กฤติเดช</t>
  </si>
  <si>
    <t>น้ำจันทร์</t>
  </si>
  <si>
    <t>นาย ชัชวัสส์</t>
  </si>
  <si>
    <t>อินชัยวงค์</t>
  </si>
  <si>
    <t>นาง จันทร์ฉาย</t>
  </si>
  <si>
    <t>คล้ายสมจิตร</t>
  </si>
  <si>
    <t>เนตรผาบ</t>
  </si>
  <si>
    <t>นาง สานิต</t>
  </si>
  <si>
    <t>บุญปทุมพงศ์</t>
  </si>
  <si>
    <t>นางสาว สายสวาทดิ์</t>
  </si>
  <si>
    <t>สงวนใจ</t>
  </si>
  <si>
    <t>วรรณตุง</t>
  </si>
  <si>
    <t>สินธุบุญ</t>
  </si>
  <si>
    <t>อุ่นโพธิ</t>
  </si>
  <si>
    <t>นาง อภิวันท์</t>
  </si>
  <si>
    <t>ทองเกล็ด</t>
  </si>
  <si>
    <t>ปิ่นคำพิชัย</t>
  </si>
  <si>
    <t>ไสยวงศ์</t>
  </si>
  <si>
    <t>นาย ทองวัน</t>
  </si>
  <si>
    <t>นาง ศรีวิลัย</t>
  </si>
  <si>
    <t>สินธุปี</t>
  </si>
  <si>
    <t>อุตเจริญ</t>
  </si>
  <si>
    <t>เชื้อบุญมี</t>
  </si>
  <si>
    <t>ทาอุโมงค์</t>
  </si>
  <si>
    <t xml:space="preserve">นาง มณีรัตน์ </t>
  </si>
  <si>
    <t>เต็นเส้า</t>
  </si>
  <si>
    <t>นาง จิรัฏฐญา</t>
  </si>
  <si>
    <t xml:space="preserve">บุญเรืองศักดิ์ </t>
  </si>
  <si>
    <t>นาง อุทัยวรรณ</t>
  </si>
  <si>
    <t>ศิริพล</t>
  </si>
  <si>
    <t>ตอเงิน</t>
  </si>
  <si>
    <t>ธรรมไชย</t>
  </si>
  <si>
    <t>ใจยอด</t>
  </si>
  <si>
    <t>แปงบุญเลิศ</t>
  </si>
  <si>
    <t xml:space="preserve">นางสาว เอมลิน </t>
  </si>
  <si>
    <t xml:space="preserve">พิพัฒนภักดี </t>
  </si>
  <si>
    <t xml:space="preserve">ตาจินะ </t>
  </si>
  <si>
    <t>นาย เฉลิมพงศ์</t>
  </si>
  <si>
    <t>พันธุ์ทอง</t>
  </si>
  <si>
    <t>ธิคำลอง</t>
  </si>
  <si>
    <t xml:space="preserve">นาย วรกาญจน์ </t>
  </si>
  <si>
    <t>ธรรมตา</t>
  </si>
  <si>
    <t>นาง เกศริน</t>
  </si>
  <si>
    <t>ประเสริฐวิทยากิจ</t>
  </si>
  <si>
    <t>ทองกลาง</t>
  </si>
  <si>
    <t>นาง เบ็ญจรัตน์</t>
  </si>
  <si>
    <t>ปิยะมัยคงเดช</t>
  </si>
  <si>
    <t>กันทะวังส์</t>
  </si>
  <si>
    <t>นาง ประภัสสร์</t>
  </si>
  <si>
    <t>ขันติสิทธิ์</t>
  </si>
  <si>
    <t>ดีอุโมงค์</t>
  </si>
  <si>
    <t>นางสาว อภิสรา</t>
  </si>
  <si>
    <t>วีระโจง</t>
  </si>
  <si>
    <t>นาย พันธรัฐ</t>
  </si>
  <si>
    <t>สิทธิปรุ</t>
  </si>
  <si>
    <t>นาย วิทย์ธพงษ์</t>
  </si>
  <si>
    <t>เปี้ยวงค์</t>
  </si>
  <si>
    <t>นาย พิทวัส</t>
  </si>
  <si>
    <t>สุสิงสา</t>
  </si>
  <si>
    <t>นางสาว อุบลวรรณ</t>
  </si>
  <si>
    <t>รักษ์ธรรม</t>
  </si>
  <si>
    <t>นางสาว พรพรรณ์</t>
  </si>
  <si>
    <t xml:space="preserve">สตรอง </t>
  </si>
  <si>
    <t xml:space="preserve">นางสาว พรทิพย์ </t>
  </si>
  <si>
    <t>อินทะหลุก</t>
  </si>
  <si>
    <t xml:space="preserve">นาง ธัญพร </t>
  </si>
  <si>
    <t xml:space="preserve">นันตะสุคนธ์ </t>
  </si>
  <si>
    <t>นางสาว ฐิรชญา</t>
  </si>
  <si>
    <t>ปินทองกลาง</t>
  </si>
  <si>
    <t>ปาลี</t>
  </si>
  <si>
    <t>กันยานี</t>
  </si>
  <si>
    <t>ว่าที่ ร.ต. ณภัทร</t>
  </si>
  <si>
    <t xml:space="preserve">นาวา </t>
  </si>
  <si>
    <t xml:space="preserve">นาย ณรงค์พร  </t>
  </si>
  <si>
    <t xml:space="preserve">ปาลี </t>
  </si>
  <si>
    <t xml:space="preserve">นางสาว ชลชลิดา </t>
  </si>
  <si>
    <t>ศรียาบ</t>
  </si>
  <si>
    <t xml:space="preserve">นาง มนสิชา </t>
  </si>
  <si>
    <t xml:space="preserve">เงินฝรั่ง </t>
  </si>
  <si>
    <t xml:space="preserve">นางสาว สรินทร์ </t>
  </si>
  <si>
    <t xml:space="preserve">ตันเส้า </t>
  </si>
  <si>
    <t xml:space="preserve">นาง ภาวิณี  </t>
  </si>
  <si>
    <t>นันต๊ะสิงห์</t>
  </si>
  <si>
    <t>ดู่สอน</t>
  </si>
  <si>
    <t>นางสาว เกศสรินทร์</t>
  </si>
  <si>
    <t>ทานา</t>
  </si>
  <si>
    <t>ทุเลสินธุ์</t>
  </si>
  <si>
    <t>พรมนา</t>
  </si>
  <si>
    <t xml:space="preserve">ใจเหิน </t>
  </si>
  <si>
    <t xml:space="preserve">นางสาว สุธีวรรณ </t>
  </si>
  <si>
    <t xml:space="preserve">ณ  เชียงใหม่ </t>
  </si>
  <si>
    <t xml:space="preserve">นันต๊ะหน้อย </t>
  </si>
  <si>
    <t xml:space="preserve">นาย ทศพล </t>
  </si>
  <si>
    <t xml:space="preserve">ไม้แสนช่าง </t>
  </si>
  <si>
    <t xml:space="preserve">เฉยพันธ์ </t>
  </si>
  <si>
    <t>แก้วหล้า</t>
  </si>
  <si>
    <t>แก้วอร่าม</t>
  </si>
  <si>
    <t>นางสาว สุดธิดา</t>
  </si>
  <si>
    <t xml:space="preserve">หาญฤทธิ์ </t>
  </si>
  <si>
    <t>นาย ณัชพล</t>
  </si>
  <si>
    <t>แสนคำหล่อ</t>
  </si>
  <si>
    <t>ปัสสาโก</t>
  </si>
  <si>
    <t>ว่าที่ ร.ต. ประสาร</t>
  </si>
  <si>
    <t>เสียวกสิกรณ์</t>
  </si>
  <si>
    <t>นางสาว นวลจันทร์</t>
  </si>
  <si>
    <t>ชัยวงศ์ษา</t>
  </si>
  <si>
    <t xml:space="preserve">นางสาว ผ่องพรรณ </t>
  </si>
  <si>
    <t xml:space="preserve">ประทุมธา </t>
  </si>
  <si>
    <t>ทองบาง</t>
  </si>
  <si>
    <t>รุจิพรพงษ์</t>
  </si>
  <si>
    <t xml:space="preserve">ชาติดี </t>
  </si>
  <si>
    <t>ดำรงค์</t>
  </si>
  <si>
    <t>นาย ประเวส</t>
  </si>
  <si>
    <t>วงษ์วรรณ์</t>
  </si>
  <si>
    <t>เพ็ชร์เม็ด</t>
  </si>
  <si>
    <t>แก้วมาลัย</t>
  </si>
  <si>
    <t>วังงิ้ว</t>
  </si>
  <si>
    <t>นาย อรณพ</t>
  </si>
  <si>
    <t>ขัดลิ</t>
  </si>
  <si>
    <t>วงศ์ศักดิ์</t>
  </si>
  <si>
    <t>ราชพัฒน์</t>
  </si>
  <si>
    <t>นาย คงฤทธิ์</t>
  </si>
  <si>
    <t>โสมาศรี</t>
  </si>
  <si>
    <t>นาย พิสดาร</t>
  </si>
  <si>
    <t>จูมจนะ</t>
  </si>
  <si>
    <t>นาย สำเนียง</t>
  </si>
  <si>
    <t>เกิดไทย</t>
  </si>
  <si>
    <t>สุระชัยปัญญา</t>
  </si>
  <si>
    <t>นาย บรรณศักดิ์</t>
  </si>
  <si>
    <t>วรรณะเดชะ</t>
  </si>
  <si>
    <t>นาย ปิยะศักดิ์</t>
  </si>
  <si>
    <t>สมบัติพงษ์</t>
  </si>
  <si>
    <t>นาย ดิเรกฤทธิ์</t>
  </si>
  <si>
    <t>นิธิสมบัติ</t>
  </si>
  <si>
    <t>นาย โรจน์</t>
  </si>
  <si>
    <t>สันจิตร์</t>
  </si>
  <si>
    <t>นาย ประพัฒน์พงศ์</t>
  </si>
  <si>
    <t>สืบสาย</t>
  </si>
  <si>
    <t>นาย กองสิน</t>
  </si>
  <si>
    <t>อ้วนดำ</t>
  </si>
  <si>
    <t>นาง นฤมล</t>
  </si>
  <si>
    <t>นางสาว ละมุล</t>
  </si>
  <si>
    <t>วงศ์ศิริ</t>
  </si>
  <si>
    <t>สารวงศ์</t>
  </si>
  <si>
    <t>อิสสระ</t>
  </si>
  <si>
    <t>นาย สิทธิ์ภิวัชร์</t>
  </si>
  <si>
    <t>ไชยเดชหิรัญ</t>
  </si>
  <si>
    <t>นาง บุปผาชาติ</t>
  </si>
  <si>
    <t>ไชยพงศ์</t>
  </si>
  <si>
    <t>วงศ์ศรีรักษ์</t>
  </si>
  <si>
    <t>บุราณ</t>
  </si>
  <si>
    <t>ชัยศิริ</t>
  </si>
  <si>
    <t>นาย เพิ่ม</t>
  </si>
  <si>
    <t>แตงกวารัมย์</t>
  </si>
  <si>
    <t>นาย วัฒนมงคล</t>
  </si>
  <si>
    <t>ทรัพย์มี</t>
  </si>
  <si>
    <t>นาย ขุนทอง</t>
  </si>
  <si>
    <t>วิเท่ห์</t>
  </si>
  <si>
    <t>นาย ยุพล</t>
  </si>
  <si>
    <t>ธัญญะประกอบ</t>
  </si>
  <si>
    <t>กาญจนสิทธิ์</t>
  </si>
  <si>
    <t>นาย อากร</t>
  </si>
  <si>
    <t>บรรพลา</t>
  </si>
  <si>
    <t>นาย ธนภณ</t>
  </si>
  <si>
    <t>บุตตะโยธี</t>
  </si>
  <si>
    <t>พันธ์เถร</t>
  </si>
  <si>
    <t>พุทธมาตย์</t>
  </si>
  <si>
    <t>นาง น้อมเศียร</t>
  </si>
  <si>
    <t>เสนานุช</t>
  </si>
  <si>
    <t>ภักดีมี</t>
  </si>
  <si>
    <t>นาย เภา</t>
  </si>
  <si>
    <t>หานุภาพ</t>
  </si>
  <si>
    <t>นาย บุญชู</t>
  </si>
  <si>
    <t>รัตนพลที</t>
  </si>
  <si>
    <t>นาย ประเวช</t>
  </si>
  <si>
    <t>โฉมนคร</t>
  </si>
  <si>
    <t>พิมพุฒิ</t>
  </si>
  <si>
    <t>อังกาบ</t>
  </si>
  <si>
    <t>พรดุสิต</t>
  </si>
  <si>
    <t>นางสาว จีรพร</t>
  </si>
  <si>
    <t>สุขเสริม</t>
  </si>
  <si>
    <t>พรมศรี</t>
  </si>
  <si>
    <t>นาย เดชชัย</t>
  </si>
  <si>
    <t>สัมพันธ์พงษ์</t>
  </si>
  <si>
    <t>นาง เกศษิณ</t>
  </si>
  <si>
    <t>ลำมะยศ</t>
  </si>
  <si>
    <t>นาย จอม</t>
  </si>
  <si>
    <t>ผงบุญตา</t>
  </si>
  <si>
    <t>บุตรสระเกษ</t>
  </si>
  <si>
    <t>ทุมสวัสดิ์</t>
  </si>
  <si>
    <t>นาย ธงฤทธิ์</t>
  </si>
  <si>
    <t>จำศักดิ์</t>
  </si>
  <si>
    <t>นาย บุญสอน</t>
  </si>
  <si>
    <t>ลาภบุญ</t>
  </si>
  <si>
    <t>นาย ศุภชล</t>
  </si>
  <si>
    <t>จันทร์ปิตุ</t>
  </si>
  <si>
    <t>นาย จริต</t>
  </si>
  <si>
    <t xml:space="preserve">สีหะ </t>
  </si>
  <si>
    <t xml:space="preserve">นาง บุญชวน </t>
  </si>
  <si>
    <t xml:space="preserve">ตะนัดชัย </t>
  </si>
  <si>
    <t xml:space="preserve">นาง ปทุมวัน </t>
  </si>
  <si>
    <t>ประจันพล</t>
  </si>
  <si>
    <t>นาย ขุน</t>
  </si>
  <si>
    <t>เหล็กนอก</t>
  </si>
  <si>
    <t>นาย เนติ</t>
  </si>
  <si>
    <t>ศรีอรรคพรหม</t>
  </si>
  <si>
    <t>แจ้งกระจ่าง</t>
  </si>
  <si>
    <t>เพ็ชรสิงห์</t>
  </si>
  <si>
    <t>นาย ปรินทร์</t>
  </si>
  <si>
    <t>โกมลเสนาะ</t>
  </si>
  <si>
    <t xml:space="preserve">นางสาว ชลทิพย์ </t>
  </si>
  <si>
    <t xml:space="preserve">ชลานุเคราะห์ </t>
  </si>
  <si>
    <t xml:space="preserve">นาย ธีรชัย </t>
  </si>
  <si>
    <t xml:space="preserve">เชี่ยวชาญศิลป์ </t>
  </si>
  <si>
    <t xml:space="preserve">นาย สุริยะ </t>
  </si>
  <si>
    <t xml:space="preserve">โพธิ์ชื่น </t>
  </si>
  <si>
    <t>คณาพัฒน์</t>
  </si>
  <si>
    <t xml:space="preserve">นาย ชัชวาล </t>
  </si>
  <si>
    <t xml:space="preserve">หมู่หมื่นศรี </t>
  </si>
  <si>
    <t xml:space="preserve">นาย ไพรบูรณ์ </t>
  </si>
  <si>
    <t xml:space="preserve">สาริยา </t>
  </si>
  <si>
    <t>นาย ทวัช</t>
  </si>
  <si>
    <t>มาตุ่น</t>
  </si>
  <si>
    <t xml:space="preserve">เกลี้ยงพร้อม </t>
  </si>
  <si>
    <t xml:space="preserve">นางสาว ชัชนา </t>
  </si>
  <si>
    <t xml:space="preserve">อุทุมภา </t>
  </si>
  <si>
    <t xml:space="preserve">นางสาว เดือนรุ่ง </t>
  </si>
  <si>
    <t xml:space="preserve">สิงห์เทพ </t>
  </si>
  <si>
    <t>นาย วีระเดช</t>
  </si>
  <si>
    <t>กิ่งมณี</t>
  </si>
  <si>
    <t>ศรีพล</t>
  </si>
  <si>
    <t>นาย ศักดิ์ศิริ</t>
  </si>
  <si>
    <t>รามศิริ</t>
  </si>
  <si>
    <t>ขันทะศรี</t>
  </si>
  <si>
    <t>พรมขัดลา</t>
  </si>
  <si>
    <t>อ้ายมา</t>
  </si>
  <si>
    <t>นางสาว ยุภาภรณ์</t>
  </si>
  <si>
    <t>พรมสวัสดิ์</t>
  </si>
  <si>
    <t>นาง จุฑาทิพ</t>
  </si>
  <si>
    <t xml:space="preserve">ชัชวาลย์ </t>
  </si>
  <si>
    <t>นาย สิทธิเดช</t>
  </si>
  <si>
    <t>นาง อุดมพร</t>
  </si>
  <si>
    <t>จวนมาศ</t>
  </si>
  <si>
    <t>ศรีวรรณา</t>
  </si>
  <si>
    <t>ญาณะนันท์</t>
  </si>
  <si>
    <t>ศรีสมรรถการ</t>
  </si>
  <si>
    <t>นนท์ขจี</t>
  </si>
  <si>
    <t>นาย โสคิด</t>
  </si>
  <si>
    <t>บุญศรี</t>
  </si>
  <si>
    <t>นาง รานีย์</t>
  </si>
  <si>
    <t>ท่าโพธิ์</t>
  </si>
  <si>
    <t>มณีวัฒน์</t>
  </si>
  <si>
    <t>นาง ลัดดาวรรน</t>
  </si>
  <si>
    <t>โอนแก้ว</t>
  </si>
  <si>
    <t>นาย ธนบดี</t>
  </si>
  <si>
    <t>โคตรชนะ</t>
  </si>
  <si>
    <t>วันทองสุข</t>
  </si>
  <si>
    <t>นาง บุญกว้าง</t>
  </si>
  <si>
    <t>ไทยสา</t>
  </si>
  <si>
    <t>นางสาว อรจีรา</t>
  </si>
  <si>
    <t>แสงโสดา</t>
  </si>
  <si>
    <t>นาง จารีพร</t>
  </si>
  <si>
    <t>นาง นันทิยา</t>
  </si>
  <si>
    <t>ศรีทัดจันทา</t>
  </si>
  <si>
    <t>นาย อนิวรรตน์</t>
  </si>
  <si>
    <t>บุตรวิไล</t>
  </si>
  <si>
    <t>นาคา</t>
  </si>
  <si>
    <t>แก้วศิริ</t>
  </si>
  <si>
    <t>นางสาว มัทนา</t>
  </si>
  <si>
    <t>นุทธบัตร</t>
  </si>
  <si>
    <t xml:space="preserve">นวลจันทร์ </t>
  </si>
  <si>
    <t>นาง น้ำเย็น</t>
  </si>
  <si>
    <t xml:space="preserve">ศิริพัฒน์ </t>
  </si>
  <si>
    <t xml:space="preserve">นางสาว วรรณิศา </t>
  </si>
  <si>
    <t xml:space="preserve">นางสาว สิรินดา </t>
  </si>
  <si>
    <t>ภูลำธาร</t>
  </si>
  <si>
    <t xml:space="preserve">นาย ทรงสิทธิ์ </t>
  </si>
  <si>
    <t xml:space="preserve">ศรีอาจ </t>
  </si>
  <si>
    <t xml:space="preserve">นางสาว ลัดดาพร </t>
  </si>
  <si>
    <t xml:space="preserve">จันทะแพง </t>
  </si>
  <si>
    <t>นาย กรวิทย์</t>
  </si>
  <si>
    <t>แก้วยาศรี</t>
  </si>
  <si>
    <t>พิมใจ</t>
  </si>
  <si>
    <t xml:space="preserve">นาย นิสันติ์ </t>
  </si>
  <si>
    <t xml:space="preserve">กงเพชร </t>
  </si>
  <si>
    <t xml:space="preserve">นางสาว เมทินี </t>
  </si>
  <si>
    <t>ภูซ้ายศรี</t>
  </si>
  <si>
    <t xml:space="preserve">นางสาว สุภัทรา </t>
  </si>
  <si>
    <t>สกุลบ้านบน</t>
  </si>
  <si>
    <t xml:space="preserve">นาย ภูชิต </t>
  </si>
  <si>
    <t xml:space="preserve">รามศิริ </t>
  </si>
  <si>
    <t>สุพรมอินทร์</t>
  </si>
  <si>
    <t>นาย ฑนวัฒน์</t>
  </si>
  <si>
    <t>มะโนมัย</t>
  </si>
  <si>
    <t xml:space="preserve">นางสาว วิศณีย์ </t>
  </si>
  <si>
    <t xml:space="preserve">ทำสี </t>
  </si>
  <si>
    <t xml:space="preserve">นาย ฤกษ์ดี </t>
  </si>
  <si>
    <t xml:space="preserve">ศรีจันทวงษ์ </t>
  </si>
  <si>
    <t>นางสาว ศิรานุพร</t>
  </si>
  <si>
    <t>กิ่งคำ</t>
  </si>
  <si>
    <t xml:space="preserve">นางสาว พุทธินันท์ </t>
  </si>
  <si>
    <t>จรัสศรี</t>
  </si>
  <si>
    <t xml:space="preserve">นาย บุญเรือง </t>
  </si>
  <si>
    <t xml:space="preserve">ประสาทสิน </t>
  </si>
  <si>
    <t>นางสาว กรณิดา</t>
  </si>
  <si>
    <t>บุญพรม</t>
  </si>
  <si>
    <t>หินคล้าย</t>
  </si>
  <si>
    <t>พนาลิกุล</t>
  </si>
  <si>
    <t xml:space="preserve">นางสาว ณปภัช </t>
  </si>
  <si>
    <t xml:space="preserve">นิลเกตุ </t>
  </si>
  <si>
    <t>นางสาว ศยามล</t>
  </si>
  <si>
    <t>สินประเสริฐ</t>
  </si>
  <si>
    <t>คำลือปลูก</t>
  </si>
  <si>
    <t>นาย กษิพัชธ์</t>
  </si>
  <si>
    <t xml:space="preserve">นาย อิทธิพล </t>
  </si>
  <si>
    <t xml:space="preserve">ขำนาพึง </t>
  </si>
  <si>
    <t xml:space="preserve">อินทะกูล </t>
  </si>
  <si>
    <t>นางสาว นันทนิตย์</t>
  </si>
  <si>
    <t>ม่านตา</t>
  </si>
  <si>
    <t xml:space="preserve">นาง สมพิศ </t>
  </si>
  <si>
    <t xml:space="preserve">กันแพงศรี </t>
  </si>
  <si>
    <t xml:space="preserve">นาย พอเจตน์ </t>
  </si>
  <si>
    <t xml:space="preserve">จุลเวช </t>
  </si>
  <si>
    <t xml:space="preserve">นาย ธีรวุฒิ  </t>
  </si>
  <si>
    <t>คำทะริ</t>
  </si>
  <si>
    <t xml:space="preserve">ส่วนบุญ </t>
  </si>
  <si>
    <t>สมตา</t>
  </si>
  <si>
    <t xml:space="preserve">นาย วิชาญ </t>
  </si>
  <si>
    <t>กำเนิดเกิด</t>
  </si>
  <si>
    <t>นางสาว ทิตยา</t>
  </si>
  <si>
    <t>แพรแจ่ม</t>
  </si>
  <si>
    <t>นาย สุดชัย</t>
  </si>
  <si>
    <t>นาย เคน</t>
  </si>
  <si>
    <t>จำปาสิม</t>
  </si>
  <si>
    <t>สุวรรณสนธิ์</t>
  </si>
  <si>
    <t>นาย จารุต</t>
  </si>
  <si>
    <t xml:space="preserve">วิชัยคำจร </t>
  </si>
  <si>
    <t>ภูมิโสม</t>
  </si>
  <si>
    <t>นางสาว กนกรัตน์</t>
  </si>
  <si>
    <t>ธิจริยา</t>
  </si>
  <si>
    <t>พรหมลา</t>
  </si>
  <si>
    <t>ชอบเสรี</t>
  </si>
  <si>
    <t>นาย ศิริวัฒน์</t>
  </si>
  <si>
    <t>รัตนประสพ</t>
  </si>
  <si>
    <t>นิตยวัน</t>
  </si>
  <si>
    <t>ฉวีศักดิ์</t>
  </si>
  <si>
    <t>ศีลให้อยู่สุข</t>
  </si>
  <si>
    <t>นาย คุณาธร</t>
  </si>
  <si>
    <t>จินาวัลย์</t>
  </si>
  <si>
    <t>เพชรนาม</t>
  </si>
  <si>
    <t>ใจดี</t>
  </si>
  <si>
    <t>โตประโคน</t>
  </si>
  <si>
    <t>นาง ละม่อมศิลป์</t>
  </si>
  <si>
    <t>ผิวพรรณ</t>
  </si>
  <si>
    <t>นาย ชัชวาล</t>
  </si>
  <si>
    <t>สุรบุตร</t>
  </si>
  <si>
    <t>นาง นารี</t>
  </si>
  <si>
    <t>บุญห่อ</t>
  </si>
  <si>
    <t>นาย เด่นชัย</t>
  </si>
  <si>
    <t>แนวมั่น</t>
  </si>
  <si>
    <t>นางสาว เพียงพร</t>
  </si>
  <si>
    <t>ใบคำ</t>
  </si>
  <si>
    <t>นาง นาฎยา</t>
  </si>
  <si>
    <t>ศรีโพธิ์</t>
  </si>
  <si>
    <t>พิจารณ์</t>
  </si>
  <si>
    <t>วัชรกฤชกรณ์</t>
  </si>
  <si>
    <t>นาง เฉลียว</t>
  </si>
  <si>
    <t>สืบพิลา</t>
  </si>
  <si>
    <t>อัครจันทร์</t>
  </si>
  <si>
    <t>นาย เชิด</t>
  </si>
  <si>
    <t>สายหล้า</t>
  </si>
  <si>
    <t>หิรัญรักษ์</t>
  </si>
  <si>
    <t>รังษี</t>
  </si>
  <si>
    <t>ชนะปลอด</t>
  </si>
  <si>
    <t>นาย สุทธิพงษ์</t>
  </si>
  <si>
    <t>วงศ์ปัดสา</t>
  </si>
  <si>
    <t>โมงขุนทด</t>
  </si>
  <si>
    <t>นาย กาฬสินธุ์</t>
  </si>
  <si>
    <t>นาคผิว</t>
  </si>
  <si>
    <t>นาย เหลิม</t>
  </si>
  <si>
    <t>ถาวร</t>
  </si>
  <si>
    <t>ปิดตาลาคะ</t>
  </si>
  <si>
    <t>นาง นิ่มนวล</t>
  </si>
  <si>
    <t>สิมะวัฒนะ</t>
  </si>
  <si>
    <t>วงศ์สุวรรณ</t>
  </si>
  <si>
    <t>นาง อาภารัตน์</t>
  </si>
  <si>
    <t>จุติตรี</t>
  </si>
  <si>
    <t>บุญกอแก้ว</t>
  </si>
  <si>
    <t>ลำพุทธา</t>
  </si>
  <si>
    <t>นาง จุฬาภรณ์</t>
  </si>
  <si>
    <t>บุญปลูก</t>
  </si>
  <si>
    <t>กาญจนเกษม</t>
  </si>
  <si>
    <t>ปลอดทอง</t>
  </si>
  <si>
    <t>ป้อมพิทักษ์</t>
  </si>
  <si>
    <t>โพธิ์งาม</t>
  </si>
  <si>
    <t>นาง วรรณถวิล</t>
  </si>
  <si>
    <t>ศรีนาม</t>
  </si>
  <si>
    <t>ทองแย้ม</t>
  </si>
  <si>
    <t>ประชาราษฏร์</t>
  </si>
  <si>
    <t>นาย ธวัทชัย</t>
  </si>
  <si>
    <t>ประภัสสรพงษ์</t>
  </si>
  <si>
    <t>นาง เอื้อมพร</t>
  </si>
  <si>
    <t>จันทะเสน</t>
  </si>
  <si>
    <t>นางสาว พิไล</t>
  </si>
  <si>
    <t>สิงหรัตน์</t>
  </si>
  <si>
    <t>วิเศษสังข์</t>
  </si>
  <si>
    <t>นาย สรพงษ์</t>
  </si>
  <si>
    <t>หัทยา</t>
  </si>
  <si>
    <t>นาย เยื้อน</t>
  </si>
  <si>
    <t>ถนอม</t>
  </si>
  <si>
    <t>นาย พิจิตร</t>
  </si>
  <si>
    <t>ทิพย์ศร</t>
  </si>
  <si>
    <t>นาง ดุษณี</t>
  </si>
  <si>
    <t>เหมือนตา</t>
  </si>
  <si>
    <t xml:space="preserve">นางสาว ตุลยดา </t>
  </si>
  <si>
    <t>สิทโท</t>
  </si>
  <si>
    <t>นางสาว ณภัชนันท์</t>
  </si>
  <si>
    <t>นางสาว ศุภพิชญ์</t>
  </si>
  <si>
    <t>ไกรยา</t>
  </si>
  <si>
    <t>นาง อัจฉรียา</t>
  </si>
  <si>
    <t>เจริญประเสริฐ</t>
  </si>
  <si>
    <t>นางสาว วารีรัตน์</t>
  </si>
  <si>
    <t>กระจาย</t>
  </si>
  <si>
    <t>มะหันตะ</t>
  </si>
  <si>
    <t xml:space="preserve">นางสาว ฉัตรฑิพร </t>
  </si>
  <si>
    <t xml:space="preserve">เลขะวัฒนะ </t>
  </si>
  <si>
    <t>สนโสม</t>
  </si>
  <si>
    <t>นาง กัญญาภัทร</t>
  </si>
  <si>
    <t>ปัญญาเหลือ</t>
  </si>
  <si>
    <t>โสรธรณ์</t>
  </si>
  <si>
    <t>นาง กุลนันทร์</t>
  </si>
  <si>
    <t>พรหมทา</t>
  </si>
  <si>
    <t>ประดับทอง</t>
  </si>
  <si>
    <t>กาลพัฒน์</t>
  </si>
  <si>
    <t>ชินชัย</t>
  </si>
  <si>
    <t>พันธ์ต้น</t>
  </si>
  <si>
    <t>สายคำ</t>
  </si>
  <si>
    <t>วงศ์ประสาร</t>
  </si>
  <si>
    <t>ประสาร</t>
  </si>
  <si>
    <t>จันตะ</t>
  </si>
  <si>
    <t>นาย ณรงค์ปกรณ์</t>
  </si>
  <si>
    <t>สิทธิสมบูรณ์</t>
  </si>
  <si>
    <t>พลโลหะ</t>
  </si>
  <si>
    <t>คำเสียง</t>
  </si>
  <si>
    <t>นาย จันทร์</t>
  </si>
  <si>
    <t>สอนภักดี</t>
  </si>
  <si>
    <t>เหล่าแค</t>
  </si>
  <si>
    <t>วงศ์สวัสดิ์</t>
  </si>
  <si>
    <t>นาย แว่น</t>
  </si>
  <si>
    <t>พรหมคุณ</t>
  </si>
  <si>
    <t>วิมลสุข</t>
  </si>
  <si>
    <t>นนทโคตร</t>
  </si>
  <si>
    <t>นาย บรรจงศักดิ์</t>
  </si>
  <si>
    <t>อุตมะ</t>
  </si>
  <si>
    <t>ธรรมบุตร</t>
  </si>
  <si>
    <t>นาย จิน</t>
  </si>
  <si>
    <t>จันทินมาธร</t>
  </si>
  <si>
    <t>พวงจำปา</t>
  </si>
  <si>
    <t>แหวนหล่อ</t>
  </si>
  <si>
    <t>ลาภเจือจันทร์</t>
  </si>
  <si>
    <t>บุญกว้าง</t>
  </si>
  <si>
    <t>ลาลุน</t>
  </si>
  <si>
    <t>สาระชาติ</t>
  </si>
  <si>
    <t>นางสาว บรรเจิด</t>
  </si>
  <si>
    <t>ปฏิพันธ์</t>
  </si>
  <si>
    <t>นาง ปณิดา</t>
  </si>
  <si>
    <t>วงษ์ขันธ์</t>
  </si>
  <si>
    <t>มั่นสนธิ์</t>
  </si>
  <si>
    <t xml:space="preserve">นาง จิตตาภัทร์ </t>
  </si>
  <si>
    <t>แขมคำ</t>
  </si>
  <si>
    <t>นาย ยุทธศักดิ์</t>
  </si>
  <si>
    <t>กัณหา</t>
  </si>
  <si>
    <t>นาง สยูรณ์</t>
  </si>
  <si>
    <t>เนียนแนบ</t>
  </si>
  <si>
    <t>นาย ธนดล</t>
  </si>
  <si>
    <t>นาง อินทิอร</t>
  </si>
  <si>
    <t>วงศ์สหวิวัฒน์</t>
  </si>
  <si>
    <t>นาย ชญศักดิ์</t>
  </si>
  <si>
    <t>บุญเกลี้ยง</t>
  </si>
  <si>
    <t>นางสาว ปิยะนุช</t>
  </si>
  <si>
    <t>ทองกลม(พันธ์งาม)</t>
  </si>
  <si>
    <t>สมคะเนย์</t>
  </si>
  <si>
    <t>พุทธรักษ์</t>
  </si>
  <si>
    <t xml:space="preserve">นาง มะลิวรรณ์ </t>
  </si>
  <si>
    <t>กันสาย</t>
  </si>
  <si>
    <t>โกศลจิตร์</t>
  </si>
  <si>
    <t>นาย ยงยศ</t>
  </si>
  <si>
    <t>ช่วยบุญ</t>
  </si>
  <si>
    <t>ชนะชัย</t>
  </si>
  <si>
    <t>นาง รัตน์ติยา</t>
  </si>
  <si>
    <t>ฐิติสมบูรณ์</t>
  </si>
  <si>
    <t>นาง สุภาชินี</t>
  </si>
  <si>
    <t>ธนูศิลป์</t>
  </si>
  <si>
    <t>ดีลาส</t>
  </si>
  <si>
    <t>อ่อนอก</t>
  </si>
  <si>
    <t>แผ่นแก้ว</t>
  </si>
  <si>
    <t>สามทอง</t>
  </si>
  <si>
    <t>นาย เอกราช</t>
  </si>
  <si>
    <t>นาง รัตนาวรรณ</t>
  </si>
  <si>
    <t>คำล้นธนิสร์กุล</t>
  </si>
  <si>
    <t>นาง วิชญาดา</t>
  </si>
  <si>
    <t>คิดอ่าน</t>
  </si>
  <si>
    <t>นาย ดำรัส</t>
  </si>
  <si>
    <t>อ่อนทรวง</t>
  </si>
  <si>
    <t>เข็ญคำ</t>
  </si>
  <si>
    <t>คำล้าน</t>
  </si>
  <si>
    <t>นาย ธนวนิชย์</t>
  </si>
  <si>
    <t>พวงพลอย</t>
  </si>
  <si>
    <t>นาย กฤตธนกร</t>
  </si>
  <si>
    <t>แสงสม</t>
  </si>
  <si>
    <t xml:space="preserve">พันวิไล </t>
  </si>
  <si>
    <t>นาย รวม</t>
  </si>
  <si>
    <t>กวดขันธ์</t>
  </si>
  <si>
    <t xml:space="preserve">นางสาว ธนิดา </t>
  </si>
  <si>
    <t>งามสันต์</t>
  </si>
  <si>
    <t>สูงสุด</t>
  </si>
  <si>
    <t>เทพอาษา</t>
  </si>
  <si>
    <t xml:space="preserve">นาย ภูรินันท์ </t>
  </si>
  <si>
    <t xml:space="preserve">วรครุธ </t>
  </si>
  <si>
    <t xml:space="preserve">นาย สุวิมนต์ </t>
  </si>
  <si>
    <t xml:space="preserve">ผ่านพินิจ </t>
  </si>
  <si>
    <t>นางสาว นงลักษ์</t>
  </si>
  <si>
    <t xml:space="preserve">วรรณศรี </t>
  </si>
  <si>
    <t xml:space="preserve">นาย ฐิตินัย </t>
  </si>
  <si>
    <t xml:space="preserve">เสนาสุ </t>
  </si>
  <si>
    <t>ทองพันชั่ง</t>
  </si>
  <si>
    <t>ห่วงเพชร</t>
  </si>
  <si>
    <t xml:space="preserve">นาง ปรียาวรรณ </t>
  </si>
  <si>
    <t xml:space="preserve">ยวนพันธ์ </t>
  </si>
  <si>
    <t>นางสาว แสงดาว</t>
  </si>
  <si>
    <t xml:space="preserve">นันทะ </t>
  </si>
  <si>
    <t>นาย สิรภพ</t>
  </si>
  <si>
    <t>มาเห็ม</t>
  </si>
  <si>
    <t xml:space="preserve">จิรังดา </t>
  </si>
  <si>
    <t xml:space="preserve">พันธุ์ดี </t>
  </si>
  <si>
    <t xml:space="preserve">นางสาว ภัทรกานต์ </t>
  </si>
  <si>
    <t xml:space="preserve">นวลมะณีย์ </t>
  </si>
  <si>
    <t xml:space="preserve">สังขจรัสรวี </t>
  </si>
  <si>
    <t>นาง สิริวรรณวดี</t>
  </si>
  <si>
    <t>พิมพ์ทราย</t>
  </si>
  <si>
    <t>นางสาว ลัดดาวัลย์</t>
  </si>
  <si>
    <t>บัวสด</t>
  </si>
  <si>
    <t>นาย ยุทธภูมิ</t>
  </si>
  <si>
    <t>ดงแสนสุข</t>
  </si>
  <si>
    <t xml:space="preserve">นาง สิริวัฒนา  </t>
  </si>
  <si>
    <t>พรหมเมา</t>
  </si>
  <si>
    <t>พงษ์เมือง</t>
  </si>
  <si>
    <t xml:space="preserve">นาย ธนบัตร </t>
  </si>
  <si>
    <t xml:space="preserve">นางสาว อ้อยทิพย์ </t>
  </si>
  <si>
    <t xml:space="preserve">ทางทอง </t>
  </si>
  <si>
    <t>นาย ทิวนาถ</t>
  </si>
  <si>
    <t xml:space="preserve">วงษ์วัง </t>
  </si>
  <si>
    <t xml:space="preserve">นาง ชินภา </t>
  </si>
  <si>
    <t xml:space="preserve">ปาปะเขา </t>
  </si>
  <si>
    <t>นางสาว นภิสราภา</t>
  </si>
  <si>
    <t>สิงห์ชะฎา</t>
  </si>
  <si>
    <t xml:space="preserve">นางสาว สุจิตรา </t>
  </si>
  <si>
    <t xml:space="preserve">บุญกว้าง </t>
  </si>
  <si>
    <t xml:space="preserve">นางสาว ไพพลอย </t>
  </si>
  <si>
    <t xml:space="preserve">ดาวขาว </t>
  </si>
  <si>
    <t xml:space="preserve">นาย มโนศักดิ์ </t>
  </si>
  <si>
    <t xml:space="preserve">สุวรรณกูฏ </t>
  </si>
  <si>
    <t xml:space="preserve">นางสาว อรุณรัศมี </t>
  </si>
  <si>
    <t xml:space="preserve">หาญกล้า </t>
  </si>
  <si>
    <t xml:space="preserve">นางสาว กัลยาณีย์ </t>
  </si>
  <si>
    <t xml:space="preserve">คลังจันทร์ </t>
  </si>
  <si>
    <t xml:space="preserve">นาย วาทยุทธ </t>
  </si>
  <si>
    <t xml:space="preserve">จันทร์ส่อง </t>
  </si>
  <si>
    <t>นางสาว อัมภาพันธ์</t>
  </si>
  <si>
    <t xml:space="preserve">นาย บุญจันทร์ </t>
  </si>
  <si>
    <t xml:space="preserve">ในสว่าง </t>
  </si>
  <si>
    <t>นางสาว สายไหม</t>
  </si>
  <si>
    <t>พงษ์ทอง</t>
  </si>
  <si>
    <t xml:space="preserve">นางสาว บุญญาพร </t>
  </si>
  <si>
    <t xml:space="preserve">รักษาวงษ์ </t>
  </si>
  <si>
    <t>นางสาว พุทธรัตน์</t>
  </si>
  <si>
    <t>หาญศึก</t>
  </si>
  <si>
    <t>นาย ภวิศ</t>
  </si>
  <si>
    <t>บุรินทร์</t>
  </si>
  <si>
    <t>นาง คำตัน</t>
  </si>
  <si>
    <t>บุญกาญจน์</t>
  </si>
  <si>
    <t>นางสาว ณิชานันทน์</t>
  </si>
  <si>
    <t>สีแสด</t>
  </si>
  <si>
    <t xml:space="preserve">นางสาว รัชนีกร </t>
  </si>
  <si>
    <t>วงศ์นิล</t>
  </si>
  <si>
    <t>ศรไชย</t>
  </si>
  <si>
    <t xml:space="preserve">นางสาว อาริชา </t>
  </si>
  <si>
    <t xml:space="preserve">เชื้อพันธ์ </t>
  </si>
  <si>
    <t>นาย ทิวาล</t>
  </si>
  <si>
    <t>นาย สมมรรค</t>
  </si>
  <si>
    <t>ภูครองหิน</t>
  </si>
  <si>
    <t>นามนุษย์</t>
  </si>
  <si>
    <t>นาย มงคลชัย</t>
  </si>
  <si>
    <t>ชุมโท่โล่</t>
  </si>
  <si>
    <t>ทางฝน</t>
  </si>
  <si>
    <t>ศรีโพนทอง</t>
  </si>
  <si>
    <t xml:space="preserve">นาง ชลธร </t>
  </si>
  <si>
    <t xml:space="preserve">เวชพันธ์ </t>
  </si>
  <si>
    <t>นาง มลฤดี</t>
  </si>
  <si>
    <t>แสงใส</t>
  </si>
  <si>
    <t>นางสาว ปิยะภรณ์</t>
  </si>
  <si>
    <t>สำเภา</t>
  </si>
  <si>
    <t>จิตประพันธ์</t>
  </si>
  <si>
    <t>ธนะมูล</t>
  </si>
  <si>
    <t>สีทอง</t>
  </si>
  <si>
    <t>ศิริอุดม</t>
  </si>
  <si>
    <t>นาง ปิยะนาท</t>
  </si>
  <si>
    <t>ศรีช่วย</t>
  </si>
  <si>
    <t>หมู่หมื่น</t>
  </si>
  <si>
    <t>นาย สวาท</t>
  </si>
  <si>
    <t>เกลี้ยงกลิ่น</t>
  </si>
  <si>
    <t>มณีพงษ์</t>
  </si>
  <si>
    <t>นาย ภูมิรินทร์</t>
  </si>
  <si>
    <t>แก้วคอนไทย</t>
  </si>
  <si>
    <t>บุตรโต</t>
  </si>
  <si>
    <t>นาง ทองอินทร์</t>
  </si>
  <si>
    <t>บุตรชัย</t>
  </si>
  <si>
    <t>นาย สรศักดิ์</t>
  </si>
  <si>
    <t>ทามณี</t>
  </si>
  <si>
    <t>นาย วิสิชน์</t>
  </si>
  <si>
    <t>สุทธิอาจ</t>
  </si>
  <si>
    <t>นาย บุญญะฤทธิ์</t>
  </si>
  <si>
    <t>สอนโกษา</t>
  </si>
  <si>
    <t>สมโคตร</t>
  </si>
  <si>
    <t>รัตนภักดี</t>
  </si>
  <si>
    <t>สัตถาผล</t>
  </si>
  <si>
    <t>สาริโด</t>
  </si>
  <si>
    <t>นาง ประวิทย์</t>
  </si>
  <si>
    <t>เจริญคร</t>
  </si>
  <si>
    <t>ภูมีศรี</t>
  </si>
  <si>
    <t>นาง เปรมฤดี</t>
  </si>
  <si>
    <t>ธนะคำดี</t>
  </si>
  <si>
    <t>ภูเวียนวงศ์</t>
  </si>
  <si>
    <t>หอมเฮ้า</t>
  </si>
  <si>
    <t>ทองมีเดช</t>
  </si>
  <si>
    <t>นาย พงษ์สันติ์</t>
  </si>
  <si>
    <t>สารโพคา</t>
  </si>
  <si>
    <t>นางสาว ชนาไล</t>
  </si>
  <si>
    <t>ทิพมนต์</t>
  </si>
  <si>
    <t>นาย วรจักร</t>
  </si>
  <si>
    <t>อัฐนาค</t>
  </si>
  <si>
    <t>นาง บัวไข</t>
  </si>
  <si>
    <t>นาง ปรีชา</t>
  </si>
  <si>
    <t>หลวงพิทักษ์</t>
  </si>
  <si>
    <t>นาย วีระพันธ์</t>
  </si>
  <si>
    <t>ใครบุตร</t>
  </si>
  <si>
    <t>นาย โพธิ์ทอง</t>
  </si>
  <si>
    <t>พิลาวงศ์</t>
  </si>
  <si>
    <t>นาง เกศนิสา</t>
  </si>
  <si>
    <t>นานาวัน</t>
  </si>
  <si>
    <t>นาย ประสิทธ์</t>
  </si>
  <si>
    <t>แสนณรงค์</t>
  </si>
  <si>
    <t>นาย คันที</t>
  </si>
  <si>
    <t>นาย พิรัตน์</t>
  </si>
  <si>
    <t>มณีทอง</t>
  </si>
  <si>
    <t>กันตา</t>
  </si>
  <si>
    <t>เหมาะพิชัย</t>
  </si>
  <si>
    <t>นาย รัฐวุฒิ</t>
  </si>
  <si>
    <t>ยืนนาน</t>
  </si>
  <si>
    <t>ตามัย</t>
  </si>
  <si>
    <t>สุธรรมมา</t>
  </si>
  <si>
    <t>พูนปริญญา</t>
  </si>
  <si>
    <t>ฤทธิมนตรี</t>
  </si>
  <si>
    <t>แก้วคำมา</t>
  </si>
  <si>
    <t>เหลือจันทร์</t>
  </si>
  <si>
    <t>นางสาว ณิธิณัณฑ์</t>
  </si>
  <si>
    <t>ผิวงาม</t>
  </si>
  <si>
    <t>ชัยวินิต</t>
  </si>
  <si>
    <t>ฉายจิตต์</t>
  </si>
  <si>
    <t>ชมชายผล</t>
  </si>
  <si>
    <t>นาย สมสวัสดิ์</t>
  </si>
  <si>
    <t>โยธาไพร</t>
  </si>
  <si>
    <t>พันธุ์แก้ว</t>
  </si>
  <si>
    <t>เพียรภายลุน</t>
  </si>
  <si>
    <t>สารพัฒน์</t>
  </si>
  <si>
    <t>สุวรไตร</t>
  </si>
  <si>
    <t>นูพิมพ์</t>
  </si>
  <si>
    <t>นาง นัสสุดา</t>
  </si>
  <si>
    <t>เสนารักษ์</t>
  </si>
  <si>
    <t>แก้วคำสอน</t>
  </si>
  <si>
    <t>นาย ชัยยัน</t>
  </si>
  <si>
    <t>นามปากดี</t>
  </si>
  <si>
    <t xml:space="preserve">นาง ปฐมรัตน์ </t>
  </si>
  <si>
    <t xml:space="preserve">หัศกรรจ์ </t>
  </si>
  <si>
    <t>นาย นันทชัย</t>
  </si>
  <si>
    <t>ยะพลหา</t>
  </si>
  <si>
    <t xml:space="preserve">นาย เอกจิตต์ </t>
  </si>
  <si>
    <t xml:space="preserve">คำด้วง </t>
  </si>
  <si>
    <t>นางสาว เกศชฎาพร</t>
  </si>
  <si>
    <t>แก้วเสน</t>
  </si>
  <si>
    <t xml:space="preserve">นาง อัจฉรา </t>
  </si>
  <si>
    <t>เรียมแสน</t>
  </si>
  <si>
    <t>นาย ประกาย</t>
  </si>
  <si>
    <t>สมหวัง</t>
  </si>
  <si>
    <t>ภาระเวช</t>
  </si>
  <si>
    <t>ผิวขาว</t>
  </si>
  <si>
    <t xml:space="preserve">นางสาว จุรีรัตน์ </t>
  </si>
  <si>
    <t>ระพันธ์คำ</t>
  </si>
  <si>
    <t>นาย ทรงยศ</t>
  </si>
  <si>
    <t>พุ่มทับทิม</t>
  </si>
  <si>
    <t>ทองวาด</t>
  </si>
  <si>
    <t>ขาวดี</t>
  </si>
  <si>
    <t>จงกลณี</t>
  </si>
  <si>
    <t>นาง พิสวาท</t>
  </si>
  <si>
    <t xml:space="preserve">นาย เรืองยศ </t>
  </si>
  <si>
    <t xml:space="preserve">ศรีบุญ </t>
  </si>
  <si>
    <t>นาง ชัยศรี</t>
  </si>
  <si>
    <t>สร้อยมาลัย</t>
  </si>
  <si>
    <t>นาง สายจันทร์</t>
  </si>
  <si>
    <t>พันธุ์โยธิน</t>
  </si>
  <si>
    <t>นาง สมหวัง</t>
  </si>
  <si>
    <t>โฉมยา</t>
  </si>
  <si>
    <t>กองมูล</t>
  </si>
  <si>
    <t>นาย บุญอุ้ม</t>
  </si>
  <si>
    <t>แสนดวง</t>
  </si>
  <si>
    <t>กนกหงษ์</t>
  </si>
  <si>
    <t>เทพเสน</t>
  </si>
  <si>
    <t>นาง วิภาวดี</t>
  </si>
  <si>
    <t>ทะนุการ</t>
  </si>
  <si>
    <t>ใจบุญ</t>
  </si>
  <si>
    <t>น้อยสมบัติ</t>
  </si>
  <si>
    <t>นาย พูลทรัพย์</t>
  </si>
  <si>
    <t>รัชปัญญา</t>
  </si>
  <si>
    <t>ภูนิคม</t>
  </si>
  <si>
    <t>สมพรหม</t>
  </si>
  <si>
    <t>นาง ธีรนุช</t>
  </si>
  <si>
    <t>บุตรสะอาด</t>
  </si>
  <si>
    <t>สิงหเสนี</t>
  </si>
  <si>
    <t>ศรีประไหม</t>
  </si>
  <si>
    <t>อุทยารักษ์</t>
  </si>
  <si>
    <t>นาย ราวี</t>
  </si>
  <si>
    <t>จ้อยนุแสง</t>
  </si>
  <si>
    <t>คุณธรรม</t>
  </si>
  <si>
    <t>มาลัยชู</t>
  </si>
  <si>
    <t>นาย อดิสร</t>
  </si>
  <si>
    <t>เชื้อไทย</t>
  </si>
  <si>
    <t>นางสาว สมมะนัส</t>
  </si>
  <si>
    <t>เอนไชย</t>
  </si>
  <si>
    <t>นางสาว เพียงเพ็ญ</t>
  </si>
  <si>
    <t>คงทะมาตร์</t>
  </si>
  <si>
    <t>จันทหาร</t>
  </si>
  <si>
    <t>เคนพิทักษ์</t>
  </si>
  <si>
    <t>พิสุราช</t>
  </si>
  <si>
    <t>วันทาแก้ว</t>
  </si>
  <si>
    <t>อินทนนท์</t>
  </si>
  <si>
    <t>มูลแอด</t>
  </si>
  <si>
    <t>อินธิกาย</t>
  </si>
  <si>
    <t>นาย เดโช</t>
  </si>
  <si>
    <t>อัคคละ</t>
  </si>
  <si>
    <t>นาง จรัณลักษณ์</t>
  </si>
  <si>
    <t>โตสันเทียะ</t>
  </si>
  <si>
    <t>ยะหัวดง</t>
  </si>
  <si>
    <t>นางสาว ระดมจิต</t>
  </si>
  <si>
    <t>เห็มเมือง</t>
  </si>
  <si>
    <t>นาย ไวพจน์</t>
  </si>
  <si>
    <t>สีนวลแล</t>
  </si>
  <si>
    <t>ทักษิณ</t>
  </si>
  <si>
    <t>นางสาว พรพรรณ</t>
  </si>
  <si>
    <t>เกริกเบญจธรรม</t>
  </si>
  <si>
    <t>นางสาว สีเมือง</t>
  </si>
  <si>
    <t>อุตนาม</t>
  </si>
  <si>
    <t>รักษ์กระโทก</t>
  </si>
  <si>
    <t>นาย สฐวิทย์</t>
  </si>
  <si>
    <t>นาอุดม</t>
  </si>
  <si>
    <t>นาย สุดใจ</t>
  </si>
  <si>
    <t>ชายกวด</t>
  </si>
  <si>
    <t>นาง เฉลิมขวัญ</t>
  </si>
  <si>
    <t>พาวงค์</t>
  </si>
  <si>
    <t>สุราษฎร์</t>
  </si>
  <si>
    <t>นาย ทองพัตร</t>
  </si>
  <si>
    <t>มีแสวง</t>
  </si>
  <si>
    <t>นาย ทวีวัฒน์</t>
  </si>
  <si>
    <t>ขันธุปัทม์</t>
  </si>
  <si>
    <t>นาย ณัฐพัชญ</t>
  </si>
  <si>
    <t>นันท์พงศ์ภัค</t>
  </si>
  <si>
    <t>ลีทอง</t>
  </si>
  <si>
    <t>นาง สุจิน</t>
  </si>
  <si>
    <t>แสงสิทธิ์</t>
  </si>
  <si>
    <t>นางสาว ขวัญพร</t>
  </si>
  <si>
    <t>วิเศษสา</t>
  </si>
  <si>
    <t>นาง กุศล</t>
  </si>
  <si>
    <t xml:space="preserve">อินรี </t>
  </si>
  <si>
    <t xml:space="preserve">นางสาว นิภาพร </t>
  </si>
  <si>
    <t xml:space="preserve">นาย จิรวุฒ </t>
  </si>
  <si>
    <t xml:space="preserve">มงคล </t>
  </si>
  <si>
    <t xml:space="preserve">นาย พาดอน </t>
  </si>
  <si>
    <t xml:space="preserve">ปุเรชะตัง </t>
  </si>
  <si>
    <t xml:space="preserve">ขันเพียแก้ว </t>
  </si>
  <si>
    <t xml:space="preserve">นางสาว นงลักษณ์ </t>
  </si>
  <si>
    <t xml:space="preserve">โคตรสมบัติ </t>
  </si>
  <si>
    <t xml:space="preserve">ถาบุตร </t>
  </si>
  <si>
    <t>นางสาว ขวัญตา</t>
  </si>
  <si>
    <t>มูลสาร</t>
  </si>
  <si>
    <t xml:space="preserve">นางสาว วรรณิภา </t>
  </si>
  <si>
    <t xml:space="preserve">สุพรรณ </t>
  </si>
  <si>
    <t xml:space="preserve">ไชยเตจ๊ะ </t>
  </si>
  <si>
    <t xml:space="preserve">นางสาว บุษดี </t>
  </si>
  <si>
    <t xml:space="preserve">รัตนกร </t>
  </si>
  <si>
    <t xml:space="preserve">ว่าที่ ร.ต. เด่นทนัก </t>
  </si>
  <si>
    <t>มนต์แข็ง</t>
  </si>
  <si>
    <t xml:space="preserve">นางสาว อุบลวรรณ </t>
  </si>
  <si>
    <t xml:space="preserve">ยิ่งยืน </t>
  </si>
  <si>
    <t>เมืองนาค</t>
  </si>
  <si>
    <t xml:space="preserve">นางสาว ทวินตรา </t>
  </si>
  <si>
    <t xml:space="preserve">ชาติชำนิ </t>
  </si>
  <si>
    <t xml:space="preserve">นางสาว ทัศดาภรณ์ </t>
  </si>
  <si>
    <t xml:space="preserve">สุวรรณไตร </t>
  </si>
  <si>
    <t>นางสาว ฐาญิกา</t>
  </si>
  <si>
    <t>สอนวงค์ษา</t>
  </si>
  <si>
    <t>บุปะโท</t>
  </si>
  <si>
    <t>นาย อานุภาพ</t>
  </si>
  <si>
    <t>นาย วุฒิกาฬ</t>
  </si>
  <si>
    <t>ใยพันธ์</t>
  </si>
  <si>
    <t>นามจุมจัง</t>
  </si>
  <si>
    <t>นางสาว ชลดา</t>
  </si>
  <si>
    <t>ทองล้วน</t>
  </si>
  <si>
    <t>นางสาว อคิราภ์</t>
  </si>
  <si>
    <t>เจริญสิน</t>
  </si>
  <si>
    <t>นาย เตชินท์</t>
  </si>
  <si>
    <t>พลอยวิเลิศ</t>
  </si>
  <si>
    <t xml:space="preserve">วะลับ </t>
  </si>
  <si>
    <t xml:space="preserve">นางสาว ศรุตา </t>
  </si>
  <si>
    <t xml:space="preserve">มณีพรรณ </t>
  </si>
  <si>
    <t xml:space="preserve">นางสาว นันทกานต์ </t>
  </si>
  <si>
    <t xml:space="preserve">อิ่นคำ </t>
  </si>
  <si>
    <t>เชียงโส</t>
  </si>
  <si>
    <t>อุยี่</t>
  </si>
  <si>
    <t>นางสาว นลินี</t>
  </si>
  <si>
    <t>ทองรุณ</t>
  </si>
  <si>
    <t xml:space="preserve">นางสาว ทักข์ธนภรณ์ </t>
  </si>
  <si>
    <t>พิมวรรณ์</t>
  </si>
  <si>
    <t>นาง อังสุมารินทร์</t>
  </si>
  <si>
    <t>แป้นพุ่ม</t>
  </si>
  <si>
    <t>นาย ลาภ</t>
  </si>
  <si>
    <t>จิรันดร</t>
  </si>
  <si>
    <t>นาง ยุพเยาว์</t>
  </si>
  <si>
    <t>ญาณวาโร</t>
  </si>
  <si>
    <t>นาย ทวีพร</t>
  </si>
  <si>
    <t>นาย ชื่น</t>
  </si>
  <si>
    <t>ลักขณา</t>
  </si>
  <si>
    <t>นางสาว นิตย์</t>
  </si>
  <si>
    <t>สิงหะตะโน</t>
  </si>
  <si>
    <t>อ่อนแก้ว</t>
  </si>
  <si>
    <t>หงษ์ทองกิจเสรี</t>
  </si>
  <si>
    <t>นาง ชลาทิพย์</t>
  </si>
  <si>
    <t>นิคมรัตน์</t>
  </si>
  <si>
    <t>นาย กฤษฏา</t>
  </si>
  <si>
    <t>เศรษฐทอง</t>
  </si>
  <si>
    <t>สุวรรณเจริญ</t>
  </si>
  <si>
    <t>พัฒนศิริพงศ์</t>
  </si>
  <si>
    <t>เถาวัลย์เพชร</t>
  </si>
  <si>
    <t>ภู่ภูมิรัตน์</t>
  </si>
  <si>
    <t>นาย วิมาน</t>
  </si>
  <si>
    <t>มังกรสินธุ์</t>
  </si>
  <si>
    <t>สังขะชาติ</t>
  </si>
  <si>
    <t>สะอาดใส</t>
  </si>
  <si>
    <t>รอบคอบ</t>
  </si>
  <si>
    <t>นาง จันทร์ทิพย์</t>
  </si>
  <si>
    <t>นาง แสงจันทร์</t>
  </si>
  <si>
    <t>บริรักษ์</t>
  </si>
  <si>
    <t>ศรีสุวรรณภูชนะ</t>
  </si>
  <si>
    <t>นาง ธีราพร</t>
  </si>
  <si>
    <t>ศิริยุวสมัย</t>
  </si>
  <si>
    <t>นาย กระจาย</t>
  </si>
  <si>
    <t>ชิตณรงค์</t>
  </si>
  <si>
    <t>เซ่งง่าย</t>
  </si>
  <si>
    <t>นาง สุนีรัตน์</t>
  </si>
  <si>
    <t>โรจนเมธา</t>
  </si>
  <si>
    <t>โหรา</t>
  </si>
  <si>
    <t>นาง อุทัย</t>
  </si>
  <si>
    <t>สมานแย้ม</t>
  </si>
  <si>
    <t>ถาวรวีย์</t>
  </si>
  <si>
    <t>เขมะศิริ</t>
  </si>
  <si>
    <t>เจริญฤทธิ์</t>
  </si>
  <si>
    <t>เพ็ญสุวรรณ</t>
  </si>
  <si>
    <t>นาง อรพร</t>
  </si>
  <si>
    <t>สิงห์อ่อน</t>
  </si>
  <si>
    <t>นาง ลำเนา</t>
  </si>
  <si>
    <t>รัตน์มณี</t>
  </si>
  <si>
    <t>เชยชม</t>
  </si>
  <si>
    <t>เพ็ชรัตน์</t>
  </si>
  <si>
    <t>นาย วิฑูร</t>
  </si>
  <si>
    <t>พรหมเพชร</t>
  </si>
  <si>
    <t>แดงเอียด</t>
  </si>
  <si>
    <t>หน่อสกุลคม</t>
  </si>
  <si>
    <t>นาย จำ</t>
  </si>
  <si>
    <t>ลอยลิบ</t>
  </si>
  <si>
    <t>นาย ณัติวุฒิ</t>
  </si>
  <si>
    <t>ลัคนารจิต</t>
  </si>
  <si>
    <t>ชูเชิด</t>
  </si>
  <si>
    <t>นาง พิมพรรณ</t>
  </si>
  <si>
    <t>วิเศษสินธุ์</t>
  </si>
  <si>
    <t>ธรรมหิเวศน์</t>
  </si>
  <si>
    <t>พีรธรากุล</t>
  </si>
  <si>
    <t>นาย กิตติธนวัฒน์</t>
  </si>
  <si>
    <t>สังข์แก้วกานต์</t>
  </si>
  <si>
    <t>นาย สมบัติชัยเจริญ</t>
  </si>
  <si>
    <t>บุญสนอง</t>
  </si>
  <si>
    <t>ธรรมวาโร</t>
  </si>
  <si>
    <t>แก้วพิบูลย์</t>
  </si>
  <si>
    <t>มิลำเอียง</t>
  </si>
  <si>
    <t>มณีกุล</t>
  </si>
  <si>
    <t>นาย ก้อง</t>
  </si>
  <si>
    <t>ชำนาญเวชกิจ</t>
  </si>
  <si>
    <t>นาย พรสิทธิ์</t>
  </si>
  <si>
    <t>รังสิมันตุชาติ</t>
  </si>
  <si>
    <t>อนันตพงศ์</t>
  </si>
  <si>
    <t>นาง ชะอุ่ม</t>
  </si>
  <si>
    <t>ดุจชาตบุษย์</t>
  </si>
  <si>
    <t>นาย ศุภัช</t>
  </si>
  <si>
    <t>เทพทรงพัฒนา</t>
  </si>
  <si>
    <t>นาง อรุณ</t>
  </si>
  <si>
    <t>หนูผุด</t>
  </si>
  <si>
    <t>ตันสุขเกษม</t>
  </si>
  <si>
    <t>ตุลโน</t>
  </si>
  <si>
    <t xml:space="preserve">นาง มัทนพร </t>
  </si>
  <si>
    <t>ระกำทอง</t>
  </si>
  <si>
    <t>พันธุรัตน์</t>
  </si>
  <si>
    <t>นาย บวรพันธ์</t>
  </si>
  <si>
    <t>นาย สุธรรม</t>
  </si>
  <si>
    <t>เรืองช่วย</t>
  </si>
  <si>
    <t>วัชรปิยานันทน์</t>
  </si>
  <si>
    <t>นาย กัมพล</t>
  </si>
  <si>
    <t>พรมณี</t>
  </si>
  <si>
    <t>นาย ชีพ</t>
  </si>
  <si>
    <t>นาย พีระพันธ์</t>
  </si>
  <si>
    <t>คงสง</t>
  </si>
  <si>
    <t>ชูมาก</t>
  </si>
  <si>
    <t>นาย คงศักดิ์</t>
  </si>
  <si>
    <t>รักษากิจ</t>
  </si>
  <si>
    <t>อวะภาค</t>
  </si>
  <si>
    <t>นางสาว สมบูรณ์</t>
  </si>
  <si>
    <t>วัตรคล้าย</t>
  </si>
  <si>
    <t>นาย สุรัช</t>
  </si>
  <si>
    <t>จิตปาโล</t>
  </si>
  <si>
    <t>วิริยะธรรม</t>
  </si>
  <si>
    <t>ประพฤติ</t>
  </si>
  <si>
    <t>นางสาว อัมพา</t>
  </si>
  <si>
    <t xml:space="preserve">แซ่ฮั่น </t>
  </si>
  <si>
    <t xml:space="preserve">นาง ปรารมณ์ </t>
  </si>
  <si>
    <t>ยานะวิมุติ</t>
  </si>
  <si>
    <t>นางสาว นฤตย์</t>
  </si>
  <si>
    <t>นาย สิทธิพล</t>
  </si>
  <si>
    <t>วิชชุรังษี</t>
  </si>
  <si>
    <t>ศิลปประพันธ์เลิศ</t>
  </si>
  <si>
    <t>ล้วนเส้ง</t>
  </si>
  <si>
    <t>จันทร์เจริญ</t>
  </si>
  <si>
    <t>บุญสงค์</t>
  </si>
  <si>
    <t>นาย ประภัทร</t>
  </si>
  <si>
    <t>เรืองแก้ว</t>
  </si>
  <si>
    <t>นาย ประภัทร์</t>
  </si>
  <si>
    <t>เดชะมาก</t>
  </si>
  <si>
    <t>นาง คล่อง</t>
  </si>
  <si>
    <t>เพชรฤทธิ์</t>
  </si>
  <si>
    <t>ทองหนู</t>
  </si>
  <si>
    <t>โมราบุตร</t>
  </si>
  <si>
    <t>ยอดมณี</t>
  </si>
  <si>
    <t>อินทร์สุวรรณ</t>
  </si>
  <si>
    <t>บุญเรืองขาว</t>
  </si>
  <si>
    <t xml:space="preserve">นางสาว มัฌชิรัตน์ </t>
  </si>
  <si>
    <t xml:space="preserve">พันธชิต </t>
  </si>
  <si>
    <t xml:space="preserve">นาง ธีระตา </t>
  </si>
  <si>
    <t>หนูไชยแก้ว</t>
  </si>
  <si>
    <t>นาง สุธิดา</t>
  </si>
  <si>
    <t>ตระกูลกองโต</t>
  </si>
  <si>
    <t>นางสาว ปรีดา</t>
  </si>
  <si>
    <t>พรมบุญ</t>
  </si>
  <si>
    <t>นาย อัครเดช</t>
  </si>
  <si>
    <t>ศิริไพรวัน</t>
  </si>
  <si>
    <t>วิจิตร</t>
  </si>
  <si>
    <t xml:space="preserve">นาย ธีรยุทธ </t>
  </si>
  <si>
    <t xml:space="preserve">มีลาภ </t>
  </si>
  <si>
    <t>นาย พิทยา</t>
  </si>
  <si>
    <t>เยาวนิตย์</t>
  </si>
  <si>
    <t>นาย ถวิน</t>
  </si>
  <si>
    <t>นางสาว เขมากร</t>
  </si>
  <si>
    <t>อินทจันทร์</t>
  </si>
  <si>
    <t>นาง อำมร</t>
  </si>
  <si>
    <t>รอดพูน</t>
  </si>
  <si>
    <t>อินทรอาภรณ์</t>
  </si>
  <si>
    <t>นาง อำนวย</t>
  </si>
  <si>
    <t>ไพโรจน์</t>
  </si>
  <si>
    <t>นาง สุลีวรรณ</t>
  </si>
  <si>
    <t>ตั้นซู่</t>
  </si>
  <si>
    <t>ศรีสมโภชณ์</t>
  </si>
  <si>
    <t>รอดนวล</t>
  </si>
  <si>
    <t>สิทธิสังข์</t>
  </si>
  <si>
    <t>นาย ประถม</t>
  </si>
  <si>
    <t>มุสิกรักษ์</t>
  </si>
  <si>
    <t xml:space="preserve">นาย ฉันทพัฒน์ </t>
  </si>
  <si>
    <t>นาง ศิริมา</t>
  </si>
  <si>
    <t>บางัสสาเร๊ะ</t>
  </si>
  <si>
    <t>นาง ฐาปชา</t>
  </si>
  <si>
    <t>ถาวโรจน์</t>
  </si>
  <si>
    <t>นาง ชนัญชิดา</t>
  </si>
  <si>
    <t>หนูสีคง</t>
  </si>
  <si>
    <t>นางสาว วาลี</t>
  </si>
  <si>
    <t>โลกสุวรรณ</t>
  </si>
  <si>
    <t>นาย วราเชนทร์</t>
  </si>
  <si>
    <t xml:space="preserve">นาง ธนสิตา </t>
  </si>
  <si>
    <t>ช้างนรินทร์</t>
  </si>
  <si>
    <t>คูบูรณ์</t>
  </si>
  <si>
    <t>นาย สุวาท</t>
  </si>
  <si>
    <t>ยามาเจริญ</t>
  </si>
  <si>
    <t>นาง บุปผาพรรณ</t>
  </si>
  <si>
    <t>ไชยฤกษ์</t>
  </si>
  <si>
    <t>สุวรรณกำเหนิด</t>
  </si>
  <si>
    <t>นางสาว ละมัย</t>
  </si>
  <si>
    <t>ทองคง</t>
  </si>
  <si>
    <t>แดงคง</t>
  </si>
  <si>
    <t>สรีระถาวรสุข</t>
  </si>
  <si>
    <t>เกื้อก่อบุญ</t>
  </si>
  <si>
    <t>นางสาว จิตจิรา</t>
  </si>
  <si>
    <t>ไชยขวัญ</t>
  </si>
  <si>
    <t xml:space="preserve">นางสาว วณัฐชาพัชร </t>
  </si>
  <si>
    <t>นาย พงศ์พิทย์</t>
  </si>
  <si>
    <t>พืชมงคล</t>
  </si>
  <si>
    <t>บุญสุวรรณ</t>
  </si>
  <si>
    <t>หลินเภอ</t>
  </si>
  <si>
    <t>ทองสว่าง</t>
  </si>
  <si>
    <t xml:space="preserve">บุตรดี </t>
  </si>
  <si>
    <t>คงเชื้อ</t>
  </si>
  <si>
    <t>นาง สรรเสริญ</t>
  </si>
  <si>
    <t>ช่วยนุกูล</t>
  </si>
  <si>
    <t>นางสาว พนิต</t>
  </si>
  <si>
    <t>วรรณวงศ์</t>
  </si>
  <si>
    <t>นาง นันทกานต์</t>
  </si>
  <si>
    <t>แก้วเนียม</t>
  </si>
  <si>
    <t xml:space="preserve">นางสาว ส.พรเทวี </t>
  </si>
  <si>
    <t xml:space="preserve">พลกล้า </t>
  </si>
  <si>
    <t xml:space="preserve">ด้วงดี </t>
  </si>
  <si>
    <t xml:space="preserve">นางสาว ชญาภา </t>
  </si>
  <si>
    <t xml:space="preserve">นวลรัตน์ </t>
  </si>
  <si>
    <t xml:space="preserve">อินทองแก้ว </t>
  </si>
  <si>
    <t xml:space="preserve">หมานหมัด </t>
  </si>
  <si>
    <t xml:space="preserve">นาย อาซราน </t>
  </si>
  <si>
    <t xml:space="preserve">เต๊ะสอ </t>
  </si>
  <si>
    <t xml:space="preserve">นาง สิริญาพร </t>
  </si>
  <si>
    <t xml:space="preserve">นางสาว เบญจวรรณ </t>
  </si>
  <si>
    <t xml:space="preserve">นางสาว วิภา </t>
  </si>
  <si>
    <t xml:space="preserve">รุ่งเรือง </t>
  </si>
  <si>
    <t xml:space="preserve">นางสาว สิริภรณ์ </t>
  </si>
  <si>
    <t xml:space="preserve">เหมมณี </t>
  </si>
  <si>
    <t>เก็มเบ็ญหมาด</t>
  </si>
  <si>
    <t>นางสาว นิภาพร</t>
  </si>
  <si>
    <t>พุทธนุกูล</t>
  </si>
  <si>
    <t>สังหาด</t>
  </si>
  <si>
    <t>นาย ธีระนันต์</t>
  </si>
  <si>
    <t>เวชประพันธ์</t>
  </si>
  <si>
    <t>นาง ปองใจ</t>
  </si>
  <si>
    <t>นางสาว มุขดาวรรณ</t>
  </si>
  <si>
    <t>แก้วเหมือน</t>
  </si>
  <si>
    <t xml:space="preserve">นาย สยาม </t>
  </si>
  <si>
    <t xml:space="preserve">หนูเทพ </t>
  </si>
  <si>
    <t xml:space="preserve">นาง รัตติยา </t>
  </si>
  <si>
    <t>ตั้งแก้วเฉลิมวงศ์</t>
  </si>
  <si>
    <t xml:space="preserve">นางสาว สุจิรา </t>
  </si>
  <si>
    <t xml:space="preserve">คำทอง </t>
  </si>
  <si>
    <t xml:space="preserve">เพ็งเซะ </t>
  </si>
  <si>
    <t xml:space="preserve">นาย ปริญญา </t>
  </si>
  <si>
    <t xml:space="preserve">จันทร์ศรีบุตร </t>
  </si>
  <si>
    <t xml:space="preserve">นาย ปิยะกร </t>
  </si>
  <si>
    <t xml:space="preserve">สุวรรณมณี </t>
  </si>
  <si>
    <t>ทวีเศรษฐ</t>
  </si>
  <si>
    <t>นางสาว อภิรดี</t>
  </si>
  <si>
    <t>นางสาว อทิตยา</t>
  </si>
  <si>
    <t>มณีดุลย์</t>
  </si>
  <si>
    <t>นาย ปิยบุตร</t>
  </si>
  <si>
    <t>สีตะพงษ์</t>
  </si>
  <si>
    <t>บุญทองทอง</t>
  </si>
  <si>
    <t xml:space="preserve">นาย ไกรวิชญ์ </t>
  </si>
  <si>
    <t>สว่างรัตน์</t>
  </si>
  <si>
    <t>ธรรมโชโต</t>
  </si>
  <si>
    <t xml:space="preserve">นางสาว โสมฤทัย </t>
  </si>
  <si>
    <t xml:space="preserve">อินทมะโน </t>
  </si>
  <si>
    <t>แก้วโชติรุ่ง</t>
  </si>
  <si>
    <t>นาย ภัทร</t>
  </si>
  <si>
    <t>สัตยานุรักษ์วงศ์</t>
  </si>
  <si>
    <t>นางสาว ฐานิญา</t>
  </si>
  <si>
    <t>ตัณฑวณิช</t>
  </si>
  <si>
    <t>นางสาว พิบูลย์ผล</t>
  </si>
  <si>
    <t xml:space="preserve">นางสาว ณฉัตร </t>
  </si>
  <si>
    <t xml:space="preserve">ยุงคุณ </t>
  </si>
  <si>
    <t>เทพนวล</t>
  </si>
  <si>
    <t xml:space="preserve">นาง จุฑาทิพย์ </t>
  </si>
  <si>
    <t xml:space="preserve">สุวรรณลิขิต </t>
  </si>
  <si>
    <t>ทองประดับ</t>
  </si>
  <si>
    <t>นางสาว สุพัชร์</t>
  </si>
  <si>
    <t>อนันทนุพงศ์</t>
  </si>
  <si>
    <t>บุณยะตุลานนท์</t>
  </si>
  <si>
    <t xml:space="preserve">นาง อัญชาภัทร์ </t>
  </si>
  <si>
    <t xml:space="preserve">โพชนุกูล </t>
  </si>
  <si>
    <t xml:space="preserve">นางสาว อักษรทอง </t>
  </si>
  <si>
    <t xml:space="preserve">ชูรักษ์ </t>
  </si>
  <si>
    <t>คชกาญจน์</t>
  </si>
  <si>
    <t>ไฝสีดำ</t>
  </si>
  <si>
    <t>นาย จัตุพร</t>
  </si>
  <si>
    <t>กิ้มทอง</t>
  </si>
  <si>
    <t xml:space="preserve">นางสาว เจนจิรา </t>
  </si>
  <si>
    <t xml:space="preserve">พละไชย </t>
  </si>
  <si>
    <t xml:space="preserve">นาง รัชดาภรณ์ </t>
  </si>
  <si>
    <t xml:space="preserve">สมบูรณ์ </t>
  </si>
  <si>
    <t>หะยะมิน</t>
  </si>
  <si>
    <t xml:space="preserve">นางสาว อิษฎา </t>
  </si>
  <si>
    <t xml:space="preserve">ศิลปรัตน์ </t>
  </si>
  <si>
    <t xml:space="preserve">เกิดบัวทอง </t>
  </si>
  <si>
    <t xml:space="preserve">นางสาว ปัญชลี </t>
  </si>
  <si>
    <t xml:space="preserve">สุขวิไล </t>
  </si>
  <si>
    <t>ศรีแสงจันทร์</t>
  </si>
  <si>
    <t>นางสาว สุรัตน์</t>
  </si>
  <si>
    <t>ศรีเดช</t>
  </si>
  <si>
    <t>หิรัญสาย</t>
  </si>
  <si>
    <t>นาง ทัศณี</t>
  </si>
  <si>
    <t>ศุภกุล</t>
  </si>
  <si>
    <t>ศรีณะกิจจา</t>
  </si>
  <si>
    <t>นาย บริพันธ์</t>
  </si>
  <si>
    <t>นาง จิรภัทร</t>
  </si>
  <si>
    <t>นางสาว ฉัตติญา</t>
  </si>
  <si>
    <t>พรหมปองสุข</t>
  </si>
  <si>
    <t>นาง ประพันตรี</t>
  </si>
  <si>
    <t>ประกอบ</t>
  </si>
  <si>
    <t>ด้วงแก้ว</t>
  </si>
  <si>
    <t>ยี่สุ่นทรง</t>
  </si>
  <si>
    <t>คันธไพโรจน์</t>
  </si>
  <si>
    <t>นางสาว สิรารมย์</t>
  </si>
  <si>
    <t>ตันติธนิสร</t>
  </si>
  <si>
    <t xml:space="preserve">นาง ปุญญิศา </t>
  </si>
  <si>
    <t xml:space="preserve">ทรัพย์เพิ่ม </t>
  </si>
  <si>
    <t xml:space="preserve">นาง อรทัย </t>
  </si>
  <si>
    <t>หมัดหมีด</t>
  </si>
  <si>
    <t>นางสาว สุรัถยา</t>
  </si>
  <si>
    <t>อนุรักษ์</t>
  </si>
  <si>
    <t>นางสาว จิตพิสุทธิ์</t>
  </si>
  <si>
    <t>ศิริพร</t>
  </si>
  <si>
    <t xml:space="preserve">นาย สุพิท </t>
  </si>
  <si>
    <t xml:space="preserve">จิตรภักดี </t>
  </si>
  <si>
    <t>คงขาว</t>
  </si>
  <si>
    <t>นางสาว สุภาพ</t>
  </si>
  <si>
    <t>ลิ่มอุสันโน</t>
  </si>
  <si>
    <t xml:space="preserve">นางสาว ปิ่นกัลยรัตน์ </t>
  </si>
  <si>
    <t>จันทรัศมี</t>
  </si>
  <si>
    <t>นาง ละม้าย</t>
  </si>
  <si>
    <t xml:space="preserve">นางสาว บุสยา </t>
  </si>
  <si>
    <t xml:space="preserve">ปล้องอ่อน </t>
  </si>
  <si>
    <t>บุญดำ</t>
  </si>
  <si>
    <t>มุสิกชาติ</t>
  </si>
  <si>
    <t>รัตนวิมล</t>
  </si>
  <si>
    <t>สุวรรณวงศ์</t>
  </si>
  <si>
    <t>รัตนโกศล</t>
  </si>
  <si>
    <t>นาง ขนิษฐ์</t>
  </si>
  <si>
    <t>นนพละ</t>
  </si>
  <si>
    <t>แก้วมี</t>
  </si>
  <si>
    <t>หมานมานะ</t>
  </si>
  <si>
    <t>แกสมาน</t>
  </si>
  <si>
    <t>นาย อารีต</t>
  </si>
  <si>
    <t>บินหมัด</t>
  </si>
  <si>
    <t>นาย นรา</t>
  </si>
  <si>
    <t>มียัง</t>
  </si>
  <si>
    <t>นาง สุมนตรี</t>
  </si>
  <si>
    <t>นันทปิยกุล</t>
  </si>
  <si>
    <t>นาย นิพัท</t>
  </si>
  <si>
    <t>รัตนอุบล</t>
  </si>
  <si>
    <t xml:space="preserve">นาง มธุราฤดี </t>
  </si>
  <si>
    <t>กู้เกียรติกูล</t>
  </si>
  <si>
    <t>ฉิมยาม</t>
  </si>
  <si>
    <t xml:space="preserve">นางสาว อุไรพร </t>
  </si>
  <si>
    <t xml:space="preserve">นกเพชร </t>
  </si>
  <si>
    <t xml:space="preserve">นางสาว รพีพรรณ  </t>
  </si>
  <si>
    <t>อินทมณี</t>
  </si>
  <si>
    <t>นาย หวน</t>
  </si>
  <si>
    <t>ทนงาน</t>
  </si>
  <si>
    <t xml:space="preserve">นางสาว พรรษกร </t>
  </si>
  <si>
    <t>นาย อารีย์</t>
  </si>
  <si>
    <t>โส๊ะสันสะ</t>
  </si>
  <si>
    <t>สว่างภพ</t>
  </si>
  <si>
    <t>สมบัติเทพสุทธิ์</t>
  </si>
  <si>
    <t xml:space="preserve">บัวมาศ </t>
  </si>
  <si>
    <t xml:space="preserve">หลักเมือง </t>
  </si>
  <si>
    <t>นางสาว จุฑาพร</t>
  </si>
  <si>
    <t>บุญรัศมี</t>
  </si>
  <si>
    <t>นพชำนาญ</t>
  </si>
  <si>
    <t>แออุดม</t>
  </si>
  <si>
    <t>นางสาว อุไรวรรณ</t>
  </si>
  <si>
    <t>ตวงสิน</t>
  </si>
  <si>
    <t>ชุมทอง</t>
  </si>
  <si>
    <t>นาย เฉลิมพร</t>
  </si>
  <si>
    <t>นาย ภิภพ</t>
  </si>
  <si>
    <t>สิทธิยาสกุล</t>
  </si>
  <si>
    <t>นางสาว สุดาวรรณ</t>
  </si>
  <si>
    <t>สมัตถนาค</t>
  </si>
  <si>
    <t xml:space="preserve">นางสาว มนัสนันท์ </t>
  </si>
  <si>
    <t xml:space="preserve">นุ่นแก้ว </t>
  </si>
  <si>
    <t xml:space="preserve">จิเบ็ญจะ </t>
  </si>
  <si>
    <t xml:space="preserve">โดยพิลา </t>
  </si>
  <si>
    <t>นางสาว ณิชเนตร</t>
  </si>
  <si>
    <t xml:space="preserve">สระมุณี </t>
  </si>
  <si>
    <t xml:space="preserve">นาย คมจักร </t>
  </si>
  <si>
    <t xml:space="preserve">ทองจิบ </t>
  </si>
  <si>
    <t>ปาละหมีน</t>
  </si>
  <si>
    <t xml:space="preserve">นางสาว สุพิชชา </t>
  </si>
  <si>
    <t xml:space="preserve">เกตุทอง </t>
  </si>
  <si>
    <t xml:space="preserve">นาย เอกลักษณ์ </t>
  </si>
  <si>
    <t>กลับอำไพ</t>
  </si>
  <si>
    <t>นางสาว มนฑกานต์</t>
  </si>
  <si>
    <t>พิธกิจ</t>
  </si>
  <si>
    <t>นิลมาตย์</t>
  </si>
  <si>
    <t xml:space="preserve">นางสาว ปิยะนุช </t>
  </si>
  <si>
    <t xml:space="preserve">ฝ้ายทอง </t>
  </si>
  <si>
    <t xml:space="preserve">นางสาว นิยดา </t>
  </si>
  <si>
    <t xml:space="preserve">ยี่เส้ง </t>
  </si>
  <si>
    <t xml:space="preserve">นาย ปิยทัศน์ </t>
  </si>
  <si>
    <t xml:space="preserve">ทองปาน </t>
  </si>
  <si>
    <t xml:space="preserve">เกียรติอุปถัมภ์ </t>
  </si>
  <si>
    <t xml:space="preserve">นาย อดิเทพ </t>
  </si>
  <si>
    <t>ประดับแสง</t>
  </si>
  <si>
    <t>นาง อำนวยพร</t>
  </si>
  <si>
    <t>ธาราจันทร์</t>
  </si>
  <si>
    <t>นาง สมสิทธิ์</t>
  </si>
  <si>
    <t>โรจน์พัฒนสถาพร</t>
  </si>
  <si>
    <t>นาง มลจันทร์</t>
  </si>
  <si>
    <t>พิริยสถิต</t>
  </si>
  <si>
    <t>ประมวลพัฒน์</t>
  </si>
  <si>
    <t>บุญโต</t>
  </si>
  <si>
    <t>เทพวัลย์</t>
  </si>
  <si>
    <t>นาง ญาณิน</t>
  </si>
  <si>
    <t>อึ้งประภา</t>
  </si>
  <si>
    <t>นาง พงษ์พรรณ</t>
  </si>
  <si>
    <t>ประดิษฐ์ผล</t>
  </si>
  <si>
    <t>นางสาว พิฐชญาณ์</t>
  </si>
  <si>
    <t>สิริฐานพัฒน์</t>
  </si>
  <si>
    <t>นาง ปฐมาภรณ์</t>
  </si>
  <si>
    <t>รินมุกดา</t>
  </si>
  <si>
    <t>นาง สุรีย์ภรณ์</t>
  </si>
  <si>
    <t>ประสาทพงค์พิชิต</t>
  </si>
  <si>
    <t>นาง อัมพรรณ</t>
  </si>
  <si>
    <t>บัวบาน</t>
  </si>
  <si>
    <t>แจ้งแสงทอง</t>
  </si>
  <si>
    <t>นาย สำคัญ</t>
  </si>
  <si>
    <t>สนธินิวัติ</t>
  </si>
  <si>
    <t>เงินเหรียญ</t>
  </si>
  <si>
    <t>สัมมา</t>
  </si>
  <si>
    <t>กาญจนานิจ</t>
  </si>
  <si>
    <t>กันตถาวร</t>
  </si>
  <si>
    <t>มหาสุคนธ์</t>
  </si>
  <si>
    <t>แสงบู่วัฒนา</t>
  </si>
  <si>
    <t>โอฬารกนก</t>
  </si>
  <si>
    <t>นางสาว วีณา</t>
  </si>
  <si>
    <t>โบว์ศิริกุลเดชา</t>
  </si>
  <si>
    <t>นาง กมลแก้ว</t>
  </si>
  <si>
    <t>ศรีเพ็ญ</t>
  </si>
  <si>
    <t>กังวาลศรี</t>
  </si>
  <si>
    <t>พุ่มคำ</t>
  </si>
  <si>
    <t>ภัทรเขมวรรณ</t>
  </si>
  <si>
    <t>มาหมั่น</t>
  </si>
  <si>
    <t xml:space="preserve">นางสาว ฉันณภสินธุ์ </t>
  </si>
  <si>
    <t xml:space="preserve">คงประสิทธิ์ </t>
  </si>
  <si>
    <t>ภู่อินทร์</t>
  </si>
  <si>
    <t>นาง พจนีย์</t>
  </si>
  <si>
    <t>ประเวทยัง</t>
  </si>
  <si>
    <t>นาย เอก</t>
  </si>
  <si>
    <t>สิทธิมาลัยรัตน์</t>
  </si>
  <si>
    <t>ฟักพันธ์ไผ่</t>
  </si>
  <si>
    <t>คุณนะลา</t>
  </si>
  <si>
    <t>นางสาว แจ่มจันทร์</t>
  </si>
  <si>
    <t>ทองภิรมย์</t>
  </si>
  <si>
    <t xml:space="preserve">เบญจศานต์ </t>
  </si>
  <si>
    <t>จิรานภาพันธุ์</t>
  </si>
  <si>
    <t xml:space="preserve">นางสาว รุ่งลักษณ์ </t>
  </si>
  <si>
    <t>ตันชัย</t>
  </si>
  <si>
    <t xml:space="preserve">ขจรศรีวีรวงศ์ </t>
  </si>
  <si>
    <t>เพ็ชรประยูร</t>
  </si>
  <si>
    <t>อิงขนร</t>
  </si>
  <si>
    <t>นาง ทิพย์มาลี</t>
  </si>
  <si>
    <t>มังคละสวัสดิ์</t>
  </si>
  <si>
    <t>จันทร์พรมดี</t>
  </si>
  <si>
    <t xml:space="preserve">นาย ฉัตร์มงคล </t>
  </si>
  <si>
    <t xml:space="preserve">อ่อนสัมพันธ์ </t>
  </si>
  <si>
    <t xml:space="preserve">มีทิศ </t>
  </si>
  <si>
    <t>ว่าที่ ร.ต. ศรุต</t>
  </si>
  <si>
    <t>หลบหลีกพาล</t>
  </si>
  <si>
    <t>นางสาว ชัญญานุช</t>
  </si>
  <si>
    <t>บุตรประเสริฐ</t>
  </si>
  <si>
    <t xml:space="preserve">บุญเจริญ </t>
  </si>
  <si>
    <t xml:space="preserve">ขำอ่อน </t>
  </si>
  <si>
    <t xml:space="preserve">นาย ธนภัทร </t>
  </si>
  <si>
    <t xml:space="preserve">ตะพานทอง </t>
  </si>
  <si>
    <t>พั่วพัก</t>
  </si>
  <si>
    <t>พงษ์โพธิ์เจริญ</t>
  </si>
  <si>
    <t xml:space="preserve">นาย นพกาญจน์ </t>
  </si>
  <si>
    <t xml:space="preserve">สกลสนธิเศรษฐ์ </t>
  </si>
  <si>
    <t>พรมหา</t>
  </si>
  <si>
    <t xml:space="preserve">นาย กิตติเชษฐ์ </t>
  </si>
  <si>
    <t>รัตนเกื้อ</t>
  </si>
  <si>
    <t>นางสาว มณวิภา</t>
  </si>
  <si>
    <t>เพ็ชรักษ์</t>
  </si>
  <si>
    <t>นาย อภิพล</t>
  </si>
  <si>
    <t xml:space="preserve">นาย นฤเบศ </t>
  </si>
  <si>
    <t xml:space="preserve">มีเหลือ </t>
  </si>
  <si>
    <t>สาลี</t>
  </si>
  <si>
    <t>นาย กิตติพงศ์</t>
  </si>
  <si>
    <t>พูลผล</t>
  </si>
  <si>
    <t>สำลี</t>
  </si>
  <si>
    <t>นาย พงศ์เทพ</t>
  </si>
  <si>
    <t>ยังรอด</t>
  </si>
  <si>
    <t>นาย สรณพงษ์</t>
  </si>
  <si>
    <t>บัวโรย</t>
  </si>
  <si>
    <t xml:space="preserve">นางสาว ธวัลรัตน์ </t>
  </si>
  <si>
    <t xml:space="preserve">จตุรพรนพรุจ </t>
  </si>
  <si>
    <t>ภวังคะนันท์</t>
  </si>
  <si>
    <t>ดีสวาสดิ์</t>
  </si>
  <si>
    <t xml:space="preserve">นาง กันต์กนิษฐ์ </t>
  </si>
  <si>
    <t>ชื่นสงวน</t>
  </si>
  <si>
    <t>คนงาม</t>
  </si>
  <si>
    <t>ภาณสิต</t>
  </si>
  <si>
    <t>นาย สันต์</t>
  </si>
  <si>
    <t>สุริยันต์</t>
  </si>
  <si>
    <t>เปาโรหิตย์</t>
  </si>
  <si>
    <t>สุทธิธรรม</t>
  </si>
  <si>
    <t>นาย ไพรินทร์</t>
  </si>
  <si>
    <t>ภัควันต์</t>
  </si>
  <si>
    <t>นาง ศรัณย์ภัทร</t>
  </si>
  <si>
    <t xml:space="preserve">วิจิตรานนท์ </t>
  </si>
  <si>
    <t>นางสาว สถาพร</t>
  </si>
  <si>
    <t>มีรักษา</t>
  </si>
  <si>
    <t xml:space="preserve">นาย ชาญณรงค์ </t>
  </si>
  <si>
    <t xml:space="preserve">ศศิธร </t>
  </si>
  <si>
    <t>สมภักดี</t>
  </si>
  <si>
    <t xml:space="preserve">นาย ศิวะ </t>
  </si>
  <si>
    <t xml:space="preserve">พินิจจิตรสมุทร </t>
  </si>
  <si>
    <t>ศรีประภาพงศ์</t>
  </si>
  <si>
    <t>พึ่งจารุเลิศกุล</t>
  </si>
  <si>
    <t>นางสาว ปริณธร</t>
  </si>
  <si>
    <t>ปิยะรักษ์</t>
  </si>
  <si>
    <t>สุขอำนวยพร</t>
  </si>
  <si>
    <t>นางสาว จุฑาภรณ์</t>
  </si>
  <si>
    <t>นาย ประจิม</t>
  </si>
  <si>
    <t>งามจริง</t>
  </si>
  <si>
    <t>นาย ปิยะพงศ์</t>
  </si>
  <si>
    <t>ยิ้มอำพันธ์</t>
  </si>
  <si>
    <t>นาย มนต์ศักดิ์</t>
  </si>
  <si>
    <t>นาคะประวิง</t>
  </si>
  <si>
    <t>สุขมิสา</t>
  </si>
  <si>
    <t>นาง สุกานดา</t>
  </si>
  <si>
    <t xml:space="preserve">บรรทัดดี </t>
  </si>
  <si>
    <t>นาย วิศิษ</t>
  </si>
  <si>
    <t>บ่อสารคาม</t>
  </si>
  <si>
    <t>โยนกนา</t>
  </si>
  <si>
    <t>นางสาว สุชาสินี</t>
  </si>
  <si>
    <t>ดิษฐสมบูรณ์</t>
  </si>
  <si>
    <t>ชัยรัตน์</t>
  </si>
  <si>
    <t>นางสาว ฉัตรแก้ว</t>
  </si>
  <si>
    <t>จันทร์คง</t>
  </si>
  <si>
    <t>นางสาว ภาณุมาศ</t>
  </si>
  <si>
    <t>หมดมลทิน</t>
  </si>
  <si>
    <t>นาย ศิริพจน์</t>
  </si>
  <si>
    <t xml:space="preserve">จ่ายเจริญ </t>
  </si>
  <si>
    <t>นาง มัทยา</t>
  </si>
  <si>
    <t xml:space="preserve">สุนทรวาทิน </t>
  </si>
  <si>
    <t xml:space="preserve">ปานหว่าง </t>
  </si>
  <si>
    <t xml:space="preserve">นางสาว สิริกร </t>
  </si>
  <si>
    <t xml:space="preserve">นางสาว สมาพร </t>
  </si>
  <si>
    <t>กสิกรอุดมไพศาล</t>
  </si>
  <si>
    <t xml:space="preserve">คารมณ์ </t>
  </si>
  <si>
    <t xml:space="preserve">นางสาว ภัสรา </t>
  </si>
  <si>
    <t xml:space="preserve">ทัศนบรรจง </t>
  </si>
  <si>
    <t xml:space="preserve">นาง ปิยะวรรณ </t>
  </si>
  <si>
    <t xml:space="preserve">โหงวสกุล </t>
  </si>
  <si>
    <t>แก้วทับทิม</t>
  </si>
  <si>
    <t xml:space="preserve">นางสาว แคทลีน </t>
  </si>
  <si>
    <t xml:space="preserve">หอมวิเชียร </t>
  </si>
  <si>
    <t>นางสาว อาลีวรรณ</t>
  </si>
  <si>
    <t>นาย ประวีณ</t>
  </si>
  <si>
    <t>คลังสิน</t>
  </si>
  <si>
    <t xml:space="preserve">นางสาว ศรัณยู </t>
  </si>
  <si>
    <t xml:space="preserve">จึงดำรงกิจ </t>
  </si>
  <si>
    <t>นาย ประโชติ</t>
  </si>
  <si>
    <t>นาย บุญชื่น</t>
  </si>
  <si>
    <t>วิยาภรณ์</t>
  </si>
  <si>
    <t>รินทระ</t>
  </si>
  <si>
    <t>ติณจินดา</t>
  </si>
  <si>
    <t>นาย ชิระ</t>
  </si>
  <si>
    <t>นาง เปรมปรี</t>
  </si>
  <si>
    <t>อุบลไทร</t>
  </si>
  <si>
    <t>บุรี</t>
  </si>
  <si>
    <t>ผุดเพชรแก้ว</t>
  </si>
  <si>
    <t>ดำคลองตัน</t>
  </si>
  <si>
    <t>นาง อธิชา</t>
  </si>
  <si>
    <t>ศิริแก้ว</t>
  </si>
  <si>
    <t>สุดเสียง</t>
  </si>
  <si>
    <t>นาย สมุทร</t>
  </si>
  <si>
    <t>มากพันธ์</t>
  </si>
  <si>
    <t>นาง ณิชชารีย์</t>
  </si>
  <si>
    <t>จันทร์วัชรกาล</t>
  </si>
  <si>
    <t>พุทธิสมสถิตย์</t>
  </si>
  <si>
    <t xml:space="preserve">นาง เอื้อจิตต์ </t>
  </si>
  <si>
    <t xml:space="preserve">สุวรรณชัย </t>
  </si>
  <si>
    <t>นาง สุพรรณศิริ</t>
  </si>
  <si>
    <t>ไชยเค้า</t>
  </si>
  <si>
    <t>นางสาว อริญญา</t>
  </si>
  <si>
    <t>วงษ์ไล</t>
  </si>
  <si>
    <t>นาย ละพิน</t>
  </si>
  <si>
    <t>นาย สมวงษ์</t>
  </si>
  <si>
    <t>ถ้อยคำดี</t>
  </si>
  <si>
    <t xml:space="preserve">ลาดี </t>
  </si>
  <si>
    <t xml:space="preserve">ภัศวิชกุล </t>
  </si>
  <si>
    <t>บุญนาน</t>
  </si>
  <si>
    <t xml:space="preserve">กวีกิจบัณฑิต </t>
  </si>
  <si>
    <t>ไตรศักดิ์ศรี</t>
  </si>
  <si>
    <t>สีโต</t>
  </si>
  <si>
    <t>นางสาว วรรณ</t>
  </si>
  <si>
    <t xml:space="preserve">นางสาว คริษฐา </t>
  </si>
  <si>
    <t xml:space="preserve">สุนทรีรัตน์ </t>
  </si>
  <si>
    <t>นางสาว นันทิกา</t>
  </si>
  <si>
    <t>จูเมฆา</t>
  </si>
  <si>
    <t>ชื่นอารมณ์</t>
  </si>
  <si>
    <t xml:space="preserve">ยินดี </t>
  </si>
  <si>
    <t>เลี้ยงอำนวย</t>
  </si>
  <si>
    <t>ธานีประเสริฐ</t>
  </si>
  <si>
    <t xml:space="preserve">นางสาว อังสณา </t>
  </si>
  <si>
    <t xml:space="preserve">ชั้นประเสริฐ </t>
  </si>
  <si>
    <t>มั่นใจ</t>
  </si>
  <si>
    <t>นาย ชาญศักดิ์</t>
  </si>
  <si>
    <t>ขจรบุญ</t>
  </si>
  <si>
    <t>ชะริทอง</t>
  </si>
  <si>
    <t>นาย สันติสุข</t>
  </si>
  <si>
    <t>เสือนวล</t>
  </si>
  <si>
    <t>นาง สายสมัย</t>
  </si>
  <si>
    <t>มากสกุล</t>
  </si>
  <si>
    <t>นางสาว นิลุบล</t>
  </si>
  <si>
    <t>ลิปลั่ง</t>
  </si>
  <si>
    <t xml:space="preserve">นาง ธันย์ชนก </t>
  </si>
  <si>
    <t xml:space="preserve">หงส์วงค์ </t>
  </si>
  <si>
    <t xml:space="preserve">เริ่มยินดี </t>
  </si>
  <si>
    <t>ตรีวิมล</t>
  </si>
  <si>
    <t>ศรีสัมฤทธิ์</t>
  </si>
  <si>
    <t xml:space="preserve">นางสาว วันทรา </t>
  </si>
  <si>
    <t xml:space="preserve">แซ่เฮ้ง </t>
  </si>
  <si>
    <t xml:space="preserve">นางสาว รัตติพร </t>
  </si>
  <si>
    <t xml:space="preserve">อาภาวศิน </t>
  </si>
  <si>
    <t>ประกอบแสง</t>
  </si>
  <si>
    <t xml:space="preserve">ศรลัมพ์ </t>
  </si>
  <si>
    <t>มาลัยประเสริฐ</t>
  </si>
  <si>
    <t>ปุณะศิริ</t>
  </si>
  <si>
    <t>เนียมสุคนธ์</t>
  </si>
  <si>
    <t>นาย วีเซน</t>
  </si>
  <si>
    <t>ตั้งพิสิฐโยธิน</t>
  </si>
  <si>
    <t>นาย ชิงชัย</t>
  </si>
  <si>
    <t>เพชรพิรุณ</t>
  </si>
  <si>
    <t>นาง อมรา</t>
  </si>
  <si>
    <t>ศรีคำ</t>
  </si>
  <si>
    <t>สกาญจนชัย</t>
  </si>
  <si>
    <t>นาย ประพาส</t>
  </si>
  <si>
    <t>บุญสุข</t>
  </si>
  <si>
    <t>อยู่คะเชนทร์</t>
  </si>
  <si>
    <t>โพนะตะ</t>
  </si>
  <si>
    <t>นาย สมุทรชัย</t>
  </si>
  <si>
    <t>มังสาลี</t>
  </si>
  <si>
    <t>นาย ศรีสวัสดิ์</t>
  </si>
  <si>
    <t>ฤทธิ์มาก</t>
  </si>
  <si>
    <t>ศรีดาวทอง</t>
  </si>
  <si>
    <t>พูลดำริห์</t>
  </si>
  <si>
    <t>ณรงค์เพชร</t>
  </si>
  <si>
    <t>นางสาว ลำพึง</t>
  </si>
  <si>
    <t>มหานาม</t>
  </si>
  <si>
    <t>นาย สุวิช</t>
  </si>
  <si>
    <t>ปสุตนาวิน</t>
  </si>
  <si>
    <t>พิมพ์พระธรรม</t>
  </si>
  <si>
    <t>นางสาว อังสนา</t>
  </si>
  <si>
    <t>กลึงพงษ์</t>
  </si>
  <si>
    <t xml:space="preserve">มุกดาสนิท </t>
  </si>
  <si>
    <t>อินทศร</t>
  </si>
  <si>
    <t>หลำผาสุข</t>
  </si>
  <si>
    <t>สุพรรณพยัคฆ์</t>
  </si>
  <si>
    <t>นางสาว สุวภัทร</t>
  </si>
  <si>
    <t>สกุลอารีย์มิตร</t>
  </si>
  <si>
    <t>นางสาว ชัชฎา</t>
  </si>
  <si>
    <t>ยังนิตย์</t>
  </si>
  <si>
    <t>นางสาว ชาลิสา</t>
  </si>
  <si>
    <t>เก่งทันการ</t>
  </si>
  <si>
    <t xml:space="preserve">นางสาว นรินทิรา </t>
  </si>
  <si>
    <t>ไตรยราช</t>
  </si>
  <si>
    <t xml:space="preserve">นางสาว รัสยา </t>
  </si>
  <si>
    <t xml:space="preserve">นรากร </t>
  </si>
  <si>
    <t>สมใส</t>
  </si>
  <si>
    <t>นาย เพลิน</t>
  </si>
  <si>
    <t>วงษ์สุวรรณ</t>
  </si>
  <si>
    <t>นางสาว ธนัดดา</t>
  </si>
  <si>
    <t>ปัทมเกตุ</t>
  </si>
  <si>
    <t xml:space="preserve">นาย ณรงค์ศักดิ์ </t>
  </si>
  <si>
    <t>ศรีสุวอ</t>
  </si>
  <si>
    <t xml:space="preserve">ว่าที่ ร.ต. ปรวัฒน์ </t>
  </si>
  <si>
    <t>สีฟูม</t>
  </si>
  <si>
    <t xml:space="preserve">นาย ชัชวาลย์ </t>
  </si>
  <si>
    <t xml:space="preserve">ใจฟอง </t>
  </si>
  <si>
    <t xml:space="preserve">บุตรคร้อ </t>
  </si>
  <si>
    <t>มูลบรรจง</t>
  </si>
  <si>
    <t>อุดมทรัพย์</t>
  </si>
  <si>
    <t>น้อยศรีอยู่</t>
  </si>
  <si>
    <t>วงษ์ป้อม</t>
  </si>
  <si>
    <t>คำยา</t>
  </si>
  <si>
    <t>นาย สะรัง</t>
  </si>
  <si>
    <t>เย็นอุดม</t>
  </si>
  <si>
    <t>อายุรพรรณ</t>
  </si>
  <si>
    <t>นาย สังข์</t>
  </si>
  <si>
    <t>ทองแท่งใหญ่</t>
  </si>
  <si>
    <t>เกตุสำราญ</t>
  </si>
  <si>
    <t xml:space="preserve">นางสาว นภัสวรรณ </t>
  </si>
  <si>
    <t>นางสาว นันท์นภัส</t>
  </si>
  <si>
    <t>อันทอง</t>
  </si>
  <si>
    <t xml:space="preserve">จันทา </t>
  </si>
  <si>
    <t xml:space="preserve">นาย สันทัด </t>
  </si>
  <si>
    <t xml:space="preserve">ทับไทย </t>
  </si>
  <si>
    <t xml:space="preserve">นางสาว สุวิมล </t>
  </si>
  <si>
    <t xml:space="preserve">ด้วงเงิน </t>
  </si>
  <si>
    <t>กุลมงคล</t>
  </si>
  <si>
    <t xml:space="preserve">โมธินา </t>
  </si>
  <si>
    <t>นาย รังสัน</t>
  </si>
  <si>
    <t>หล้าพรหม</t>
  </si>
  <si>
    <t xml:space="preserve">อาจปรุ </t>
  </si>
  <si>
    <t xml:space="preserve">นาง วิภาดา </t>
  </si>
  <si>
    <t xml:space="preserve">ซึ่งรัมย์ </t>
  </si>
  <si>
    <t>เจริญเชาว์</t>
  </si>
  <si>
    <t>นางสาว สงกรานต์</t>
  </si>
  <si>
    <t>พัดพาน</t>
  </si>
  <si>
    <t>นาง สุริวัลย์</t>
  </si>
  <si>
    <t>เจริญรัตน์</t>
  </si>
  <si>
    <t>พงศ์เดชขจร</t>
  </si>
  <si>
    <t>วัฒนา</t>
  </si>
  <si>
    <t>นาคลำภา</t>
  </si>
  <si>
    <t>บัวเทศ</t>
  </si>
  <si>
    <t>นางสาว ศิริวรรณ</t>
  </si>
  <si>
    <t>พรรณสมัย</t>
  </si>
  <si>
    <t>นาย วรากร</t>
  </si>
  <si>
    <t>แก้วพูลศรี</t>
  </si>
  <si>
    <t>ม่วงเพชร</t>
  </si>
  <si>
    <t>นาย เรวัตร์</t>
  </si>
  <si>
    <t>ตันศิริ</t>
  </si>
  <si>
    <t>นาง จิตนภา</t>
  </si>
  <si>
    <t>ธรรมวัตร</t>
  </si>
  <si>
    <t>นาย คำพู</t>
  </si>
  <si>
    <t>บรรจง</t>
  </si>
  <si>
    <t>วรรธนะภูติ</t>
  </si>
  <si>
    <t>นางสาว รุจิรัตน์</t>
  </si>
  <si>
    <t>จำปาเฟื่อง</t>
  </si>
  <si>
    <t>นาย พงศ์</t>
  </si>
  <si>
    <t>ภู่ขาว</t>
  </si>
  <si>
    <t>นาง สุภัทรา</t>
  </si>
  <si>
    <t>จันทร์ฉนวน</t>
  </si>
  <si>
    <t>พานิชกุล</t>
  </si>
  <si>
    <t>นาง ประสาน</t>
  </si>
  <si>
    <t>แน่จริง</t>
  </si>
  <si>
    <t>คนศิลป์</t>
  </si>
  <si>
    <t>อ่อนสูงทรง</t>
  </si>
  <si>
    <t>ตันศิริสุข</t>
  </si>
  <si>
    <t>นาย รังสฤษฏ์</t>
  </si>
  <si>
    <t>คำมะณี</t>
  </si>
  <si>
    <t>นาย ประเสริฐโชติ</t>
  </si>
  <si>
    <t>พรมสีทอง</t>
  </si>
  <si>
    <t>มหาเดช</t>
  </si>
  <si>
    <t>เลิศขำรูป</t>
  </si>
  <si>
    <t>ไชยโชติ</t>
  </si>
  <si>
    <t>กตัญญู</t>
  </si>
  <si>
    <t>นาง จุไรรัตน์</t>
  </si>
  <si>
    <t>แสงสวัสดิ์</t>
  </si>
  <si>
    <t>ทินกร</t>
  </si>
  <si>
    <t xml:space="preserve">นาย นิธิศ </t>
  </si>
  <si>
    <t xml:space="preserve">บุญส่ง </t>
  </si>
  <si>
    <t>นางสาว อัญญารัตน์</t>
  </si>
  <si>
    <t>ละม้าย</t>
  </si>
  <si>
    <t xml:space="preserve">นาย ต่อพงษ์ </t>
  </si>
  <si>
    <t>วิมุกตะลพ</t>
  </si>
  <si>
    <t>นางสาว ชลาพร</t>
  </si>
  <si>
    <t>จุลวรรณ</t>
  </si>
  <si>
    <t xml:space="preserve">ลายหงษ์ </t>
  </si>
  <si>
    <t>ประสมทอง</t>
  </si>
  <si>
    <t>พันธุตะ</t>
  </si>
  <si>
    <t>ดีรักษ์</t>
  </si>
  <si>
    <t xml:space="preserve">นางสาว บัญจรัตน์ </t>
  </si>
  <si>
    <t xml:space="preserve">แสงสว่าง </t>
  </si>
  <si>
    <t xml:space="preserve">นางสาว กิริยา </t>
  </si>
  <si>
    <t xml:space="preserve">ไคร้ทอง </t>
  </si>
  <si>
    <t>มามั่งคั่ง</t>
  </si>
  <si>
    <t xml:space="preserve">นางสาว เบญญทิพย์ </t>
  </si>
  <si>
    <t>ส้มม่วง</t>
  </si>
  <si>
    <t xml:space="preserve">นางสาว โอ๋ </t>
  </si>
  <si>
    <t xml:space="preserve">วงศ์ทวีปกิจ </t>
  </si>
  <si>
    <t>นางสาว มัณฑณา</t>
  </si>
  <si>
    <t>พานนา</t>
  </si>
  <si>
    <t>นาง ถาวร</t>
  </si>
  <si>
    <t>นาง ประภาพรรณ</t>
  </si>
  <si>
    <t>พยัคฆวรรณ</t>
  </si>
  <si>
    <t>นาง รภัสศา</t>
  </si>
  <si>
    <t>สภาทอง</t>
  </si>
  <si>
    <t>ศรีเพียงจันทร์</t>
  </si>
  <si>
    <t>นาย จักรกฤษณ์</t>
  </si>
  <si>
    <t>สุโขทัย</t>
  </si>
  <si>
    <t>นาย บรรทร</t>
  </si>
  <si>
    <t>ร.ต. รวมสิน</t>
  </si>
  <si>
    <t>เนตรหาญ</t>
  </si>
  <si>
    <t>พุทธิโชติ</t>
  </si>
  <si>
    <t>โควงค์</t>
  </si>
  <si>
    <t>นิตย์ใหม่</t>
  </si>
  <si>
    <t>สวนดอก</t>
  </si>
  <si>
    <t>นาย สุวัช</t>
  </si>
  <si>
    <t>สมเพียร</t>
  </si>
  <si>
    <t>นาย มโนรมย์</t>
  </si>
  <si>
    <t>โพธิเวชกุล</t>
  </si>
  <si>
    <t>นาย บรรจงศิลป์</t>
  </si>
  <si>
    <t>วุฒิอุทัย</t>
  </si>
  <si>
    <t>นาย กิตินันท์</t>
  </si>
  <si>
    <t xml:space="preserve">นางสาว วีรยาภรณ์ </t>
  </si>
  <si>
    <t xml:space="preserve">ปราโมทย์ </t>
  </si>
  <si>
    <t>นาง ทรรศนารี</t>
  </si>
  <si>
    <t>ว่าที่ ร.ต. วรรณศักดิ์</t>
  </si>
  <si>
    <t>นางสาว จิตรลดา</t>
  </si>
  <si>
    <t>แก้วคำ</t>
  </si>
  <si>
    <t>แสงสวงค์</t>
  </si>
  <si>
    <t xml:space="preserve">นางสาว สิริรัตน์ </t>
  </si>
  <si>
    <t>นางสาว สิรยา</t>
  </si>
  <si>
    <t>เรืองศรี</t>
  </si>
  <si>
    <t xml:space="preserve">นางสาว ปวรรณพัสตร์ </t>
  </si>
  <si>
    <t xml:space="preserve">ม่วงสนธิ์ </t>
  </si>
  <si>
    <t xml:space="preserve">สุขสถาน </t>
  </si>
  <si>
    <t>เถื่อนเนาว์</t>
  </si>
  <si>
    <t xml:space="preserve">นางสาว เกษราภรณ์ </t>
  </si>
  <si>
    <t xml:space="preserve">เข็มขาว </t>
  </si>
  <si>
    <t xml:space="preserve">จันกง </t>
  </si>
  <si>
    <t xml:space="preserve">นางสาว พจน์ณีย์ </t>
  </si>
  <si>
    <t>โล้นทีชัย</t>
  </si>
  <si>
    <t xml:space="preserve">นางสาว วชิราภรณ์ </t>
  </si>
  <si>
    <t xml:space="preserve">อิ่มแก้ว </t>
  </si>
  <si>
    <t xml:space="preserve">นางสาว ฉัทพร </t>
  </si>
  <si>
    <t xml:space="preserve">เหมราสวัสดิ์ </t>
  </si>
  <si>
    <t xml:space="preserve">นาง พชระ </t>
  </si>
  <si>
    <t xml:space="preserve">แสงสวงค์ </t>
  </si>
  <si>
    <t xml:space="preserve">นาย นิวัตน์ </t>
  </si>
  <si>
    <t xml:space="preserve">เพ็งพูล </t>
  </si>
  <si>
    <t xml:space="preserve">นาย ประภัทร </t>
  </si>
  <si>
    <t xml:space="preserve">ธรรมวัตร </t>
  </si>
  <si>
    <t>ลาสุดี</t>
  </si>
  <si>
    <t xml:space="preserve">นางสาว มาศวิภา </t>
  </si>
  <si>
    <t xml:space="preserve">เตโช </t>
  </si>
  <si>
    <t xml:space="preserve">นางสาว ภัคจิรา </t>
  </si>
  <si>
    <t xml:space="preserve">เกลี้ยงทองคำ </t>
  </si>
  <si>
    <t xml:space="preserve">ชารีผาบ </t>
  </si>
  <si>
    <t xml:space="preserve">นางสาว ลัลธริมา </t>
  </si>
  <si>
    <t xml:space="preserve">บุญพิมพ์ </t>
  </si>
  <si>
    <t>นางสาว พลอยปภัส</t>
  </si>
  <si>
    <t>นางสาว พิสมัย</t>
  </si>
  <si>
    <t>บุตรโท</t>
  </si>
  <si>
    <t>เล้าประเสริฐ</t>
  </si>
  <si>
    <t xml:space="preserve">นาง อุไรวรรณ </t>
  </si>
  <si>
    <t xml:space="preserve">โตสารเดช </t>
  </si>
  <si>
    <t xml:space="preserve">นาย ธราวุฒิ </t>
  </si>
  <si>
    <t>สายแสง</t>
  </si>
  <si>
    <t>นาง ดาหวัน</t>
  </si>
  <si>
    <t>ครองยุติ</t>
  </si>
  <si>
    <t>เชาวนเมธา</t>
  </si>
  <si>
    <t>นาง สวนิตย์</t>
  </si>
  <si>
    <t>พรหมโชติ</t>
  </si>
  <si>
    <t>นางสาว มะลิวรรณ์</t>
  </si>
  <si>
    <t>คำมะนาง</t>
  </si>
  <si>
    <t>นางสาว ภัคจิรา</t>
  </si>
  <si>
    <t>คงเจริญ</t>
  </si>
  <si>
    <t>นาย ปรเมษฐ์</t>
  </si>
  <si>
    <t>อักขราสา</t>
  </si>
  <si>
    <t>ผลวาวแวว</t>
  </si>
  <si>
    <t xml:space="preserve">นาง อนัญญา </t>
  </si>
  <si>
    <t xml:space="preserve">เลือดใหม่ </t>
  </si>
  <si>
    <t>นาย ปวรุตม์</t>
  </si>
  <si>
    <t>มงคลเกียรติชัย</t>
  </si>
  <si>
    <t>ปานศรีทอง</t>
  </si>
  <si>
    <t>นางสาว ไพรจิตร</t>
  </si>
  <si>
    <t>ตันวัฒนวิทย์</t>
  </si>
  <si>
    <t>พุกพิกุล</t>
  </si>
  <si>
    <t>บุญงาม</t>
  </si>
  <si>
    <t>พึ่งภักดี</t>
  </si>
  <si>
    <t>สุขอิ่ม</t>
  </si>
  <si>
    <t>นาย ประสาธน์</t>
  </si>
  <si>
    <t>คำชื่น</t>
  </si>
  <si>
    <t>นาย ชมภู</t>
  </si>
  <si>
    <t>หมื่นระย้า</t>
  </si>
  <si>
    <t>ทัศนกิจ</t>
  </si>
  <si>
    <t>ปัทมอารักษ์</t>
  </si>
  <si>
    <t>ทูลธรรม</t>
  </si>
  <si>
    <t>โล่สุวรรณ์</t>
  </si>
  <si>
    <t>แก้วคง</t>
  </si>
  <si>
    <t>นาย พีระพงษ์</t>
  </si>
  <si>
    <t xml:space="preserve">นาง ธัชกร </t>
  </si>
  <si>
    <t>อินทรพานิช</t>
  </si>
  <si>
    <t>นาย สุริชาติ</t>
  </si>
  <si>
    <t>สมวัฒนศักดิ์</t>
  </si>
  <si>
    <t>ฉาบแก้ว</t>
  </si>
  <si>
    <t>นาง อรศรี</t>
  </si>
  <si>
    <t>ไตรพิจารณ์</t>
  </si>
  <si>
    <t>จุ้ยจุ่น</t>
  </si>
  <si>
    <t xml:space="preserve">ศศิบุตร </t>
  </si>
  <si>
    <t>ยั่งยืน</t>
  </si>
  <si>
    <t>นาย ลาเชน</t>
  </si>
  <si>
    <t xml:space="preserve">นาย ภาคภูมิ </t>
  </si>
  <si>
    <t xml:space="preserve">คงดี </t>
  </si>
  <si>
    <t>นาง ศรัญญา</t>
  </si>
  <si>
    <t>เพ็ชรรักษ์</t>
  </si>
  <si>
    <t>ฤทธิ์อนันต์ชัย</t>
  </si>
  <si>
    <t xml:space="preserve">นางสาว ศมิษฐา </t>
  </si>
  <si>
    <t xml:space="preserve">แม้นเหมือน </t>
  </si>
  <si>
    <t>นางสาว รุจีพัชร</t>
  </si>
  <si>
    <t>บุญจริง</t>
  </si>
  <si>
    <t xml:space="preserve">นาย วนากร </t>
  </si>
  <si>
    <t xml:space="preserve">บังเกิด </t>
  </si>
  <si>
    <t>นาง ทิพวัลย์</t>
  </si>
  <si>
    <t>สารสุข</t>
  </si>
  <si>
    <t xml:space="preserve">นางสาว กนกพร </t>
  </si>
  <si>
    <t xml:space="preserve">พงษ์พานิช </t>
  </si>
  <si>
    <t>นาง ธมลทัศน์</t>
  </si>
  <si>
    <t>นาง ปณิตา</t>
  </si>
  <si>
    <t xml:space="preserve">ฮวบเจริญ </t>
  </si>
  <si>
    <t>ศุภพงษ์</t>
  </si>
  <si>
    <t xml:space="preserve">นางสาว ปิยะวรรณ </t>
  </si>
  <si>
    <t>ทองกระจ่าง</t>
  </si>
  <si>
    <t>ตั้วสมพงษ์</t>
  </si>
  <si>
    <t>นิ่มสุพรรณ์</t>
  </si>
  <si>
    <t>ภูยาธร</t>
  </si>
  <si>
    <t>จันทร์ธรรม</t>
  </si>
  <si>
    <t>เนียมสุวรรณ</t>
  </si>
  <si>
    <t>นาย นะดิฐ</t>
  </si>
  <si>
    <t>งามภักดิ์</t>
  </si>
  <si>
    <t>ปาลวัฒน์</t>
  </si>
  <si>
    <t>นุตระ</t>
  </si>
  <si>
    <t>ผึ้งเถื่อน</t>
  </si>
  <si>
    <t>นาย แรงราม</t>
  </si>
  <si>
    <t xml:space="preserve">ว่าที่ ร.ต. รุ่งโรจน์ </t>
  </si>
  <si>
    <t>สินธุ์เทียม</t>
  </si>
  <si>
    <t>นางสาว กาญจนวรรณ</t>
  </si>
  <si>
    <t xml:space="preserve">หงษ์อ่อน </t>
  </si>
  <si>
    <t>นางสาว ชิสา</t>
  </si>
  <si>
    <t>อาภาสุทธิคุณ</t>
  </si>
  <si>
    <t xml:space="preserve">นางสาว วีรณา </t>
  </si>
  <si>
    <t>อ้วนล่ำ</t>
  </si>
  <si>
    <t xml:space="preserve">ผึ้งปาน </t>
  </si>
  <si>
    <t>นางสาว สุอาภา</t>
  </si>
  <si>
    <t>สกูลนิวัติ</t>
  </si>
  <si>
    <t xml:space="preserve">ขันทอง </t>
  </si>
  <si>
    <t xml:space="preserve">ศรีสวัสดิ์ </t>
  </si>
  <si>
    <t xml:space="preserve">นางสาว อนิตรา </t>
  </si>
  <si>
    <t xml:space="preserve">นาวีระ </t>
  </si>
  <si>
    <t>สุขนาค</t>
  </si>
  <si>
    <t>นาง อินทิรา</t>
  </si>
  <si>
    <t>สุขโก</t>
  </si>
  <si>
    <t>นาย ศุกร์สมบูรณ์</t>
  </si>
  <si>
    <t xml:space="preserve">นางสาว สมทรง </t>
  </si>
  <si>
    <t>จิตต์จำนงค์</t>
  </si>
  <si>
    <t xml:space="preserve">นาง ณิศรา </t>
  </si>
  <si>
    <t xml:space="preserve">สามบุญศรี </t>
  </si>
  <si>
    <t xml:space="preserve">นางสาว สุลาวัลย์ </t>
  </si>
  <si>
    <t xml:space="preserve">นิ่มบุตร </t>
  </si>
  <si>
    <t xml:space="preserve">นางสาว ธัญรัศม์ </t>
  </si>
  <si>
    <t xml:space="preserve">อินมุด </t>
  </si>
  <si>
    <t xml:space="preserve">นางสาว ทัศนี </t>
  </si>
  <si>
    <t xml:space="preserve">ไม้น้อย </t>
  </si>
  <si>
    <t>นาง เยาวรี</t>
  </si>
  <si>
    <t>จันทนวงษ์</t>
  </si>
  <si>
    <t xml:space="preserve">นางสาว ธนานันต์ </t>
  </si>
  <si>
    <t xml:space="preserve">ด้วงสวัสดิ์ </t>
  </si>
  <si>
    <t>นาง ทองอุไร</t>
  </si>
  <si>
    <t>โปทา</t>
  </si>
  <si>
    <t>เอี่ยมพูล</t>
  </si>
  <si>
    <t xml:space="preserve">นางสาว กิรณา </t>
  </si>
  <si>
    <t xml:space="preserve">อัครธนาธร </t>
  </si>
  <si>
    <t xml:space="preserve">นางสาว ทัศณีย์ </t>
  </si>
  <si>
    <t xml:space="preserve">วงษ์ประดิษฐ์ </t>
  </si>
  <si>
    <t xml:space="preserve">นางสาว อุมาพร </t>
  </si>
  <si>
    <t xml:space="preserve">ธัญญเจริญ </t>
  </si>
  <si>
    <t xml:space="preserve">นางสาว ตรีชฎา </t>
  </si>
  <si>
    <t xml:space="preserve">จันทร์นาลาว </t>
  </si>
  <si>
    <t>จิตรพีระ</t>
  </si>
  <si>
    <t>นาย เทอดทวี</t>
  </si>
  <si>
    <t>สุรเชาว์ตระกูล</t>
  </si>
  <si>
    <t>ลาภพิสูตร</t>
  </si>
  <si>
    <t>นาง มาลีวัลย์</t>
  </si>
  <si>
    <t>ถาริยะ</t>
  </si>
  <si>
    <t>นาย จำรูญ</t>
  </si>
  <si>
    <t>สุทธิบูลย์</t>
  </si>
  <si>
    <t>จิตงามขำ</t>
  </si>
  <si>
    <t>อินประถม</t>
  </si>
  <si>
    <t>ไชยวงศ์คำ</t>
  </si>
  <si>
    <t>เพชรเหลี่ยม</t>
  </si>
  <si>
    <t>หนูหนุน</t>
  </si>
  <si>
    <t>จิตร์หาญ</t>
  </si>
  <si>
    <t>นางสาว วรภา</t>
  </si>
  <si>
    <t>ปริษาวงศ์</t>
  </si>
  <si>
    <t>สายวาณิชย์</t>
  </si>
  <si>
    <t>นาง ลำพู</t>
  </si>
  <si>
    <t>เพ็ญจีน</t>
  </si>
  <si>
    <t>อินพ่วง</t>
  </si>
  <si>
    <t>รักสกุล</t>
  </si>
  <si>
    <t>ไชยดก</t>
  </si>
  <si>
    <t>มาดหมาย</t>
  </si>
  <si>
    <t>พรมพันธุ์</t>
  </si>
  <si>
    <t>พงษ์กลาง</t>
  </si>
  <si>
    <t>รีอินทร์</t>
  </si>
  <si>
    <t>เขตวิทย์</t>
  </si>
  <si>
    <t>กุลศิริ</t>
  </si>
  <si>
    <t>ชีวะวัฒนา</t>
  </si>
  <si>
    <t>นาง ภัทราภรณ์</t>
  </si>
  <si>
    <t>สายคำมูล</t>
  </si>
  <si>
    <t>พัฒน์ระวี</t>
  </si>
  <si>
    <t>หมื่นวงษ์เทพ</t>
  </si>
  <si>
    <t>นาง เยาวธิดา</t>
  </si>
  <si>
    <t>ศักดิ์พงศ์สิงห์</t>
  </si>
  <si>
    <t>ขันใจ</t>
  </si>
  <si>
    <t>พัฒนชัยวงศ์</t>
  </si>
  <si>
    <t>เมืองเหมอะ</t>
  </si>
  <si>
    <t>กีรติสุธน</t>
  </si>
  <si>
    <t>ศรีฟ้า</t>
  </si>
  <si>
    <t>วิสุทธิพันธ์</t>
  </si>
  <si>
    <t>ยี่สุ่นศรี</t>
  </si>
  <si>
    <t>แปงขา</t>
  </si>
  <si>
    <t xml:space="preserve">นาย สายัณห์ </t>
  </si>
  <si>
    <t>เกียรติกำแหง</t>
  </si>
  <si>
    <t>นวลหิน</t>
  </si>
  <si>
    <t xml:space="preserve">คำน้ำปาด </t>
  </si>
  <si>
    <t>นางสาว ทิพย์วรรณ</t>
  </si>
  <si>
    <t>กาวิละมูล</t>
  </si>
  <si>
    <t>สุวรรณประสิทธิ์</t>
  </si>
  <si>
    <t>ขรรค์ชัย</t>
  </si>
  <si>
    <t>นาง กรัญญา</t>
  </si>
  <si>
    <t xml:space="preserve">ยศพิรุฬห์พงศ์ </t>
  </si>
  <si>
    <t xml:space="preserve">สหายมิตร </t>
  </si>
  <si>
    <t xml:space="preserve">นางสาว กิตติยา </t>
  </si>
  <si>
    <t xml:space="preserve">โฮซิน </t>
  </si>
  <si>
    <t>นางสาว สุภามาศ</t>
  </si>
  <si>
    <t>ศรีจอมแจ้ง</t>
  </si>
  <si>
    <t xml:space="preserve">นางสาว ญาณิกา </t>
  </si>
  <si>
    <t xml:space="preserve">จำเริญขจรสุข </t>
  </si>
  <si>
    <t xml:space="preserve">นาย พงศกร </t>
  </si>
  <si>
    <t xml:space="preserve">ห้องพ่วง </t>
  </si>
  <si>
    <t xml:space="preserve">นางสาว สุวรรณา </t>
  </si>
  <si>
    <t xml:space="preserve">ช่างปรุง </t>
  </si>
  <si>
    <t>นางสาว นลิน</t>
  </si>
  <si>
    <t>เวียงนาค</t>
  </si>
  <si>
    <t>นางสาว จีรายุ</t>
  </si>
  <si>
    <t>ไวสิทธิ์</t>
  </si>
  <si>
    <t>นางสาว ภาวินี</t>
  </si>
  <si>
    <t>สะลิม</t>
  </si>
  <si>
    <t xml:space="preserve">นางสาว ณัฐกาญจน์ </t>
  </si>
  <si>
    <t>ลอมแปลง</t>
  </si>
  <si>
    <t>วงศ์รัตนธรรม</t>
  </si>
  <si>
    <t xml:space="preserve">นางสาว พิมพ์วรีย์ </t>
  </si>
  <si>
    <t xml:space="preserve">ถาดอก </t>
  </si>
  <si>
    <t xml:space="preserve">นางสาว เปมิกา </t>
  </si>
  <si>
    <t xml:space="preserve">คำปินมาระ </t>
  </si>
  <si>
    <t>นาย ชินกาญจน์</t>
  </si>
  <si>
    <t>คำป้อ</t>
  </si>
  <si>
    <t>นางสาว นิลาวรรณ</t>
  </si>
  <si>
    <t>สุโรพันธ์</t>
  </si>
  <si>
    <t>นาย ฆนากร</t>
  </si>
  <si>
    <t>นางสาว แพรวพรรณ</t>
  </si>
  <si>
    <t>เชื้อศิริถาวร</t>
  </si>
  <si>
    <t>ดวงอัน</t>
  </si>
  <si>
    <t>นางสาว นิลมณี</t>
  </si>
  <si>
    <t>โกวฤทธิ์</t>
  </si>
  <si>
    <t>โฉมยงค์</t>
  </si>
  <si>
    <t>สุวนานนท์</t>
  </si>
  <si>
    <t>นางสาว คมคาย</t>
  </si>
  <si>
    <t>ผู้แส</t>
  </si>
  <si>
    <t>เขตแดน</t>
  </si>
  <si>
    <t>นาย เสวียน</t>
  </si>
  <si>
    <t>กันทะชุมภู</t>
  </si>
  <si>
    <t>ประดิษฐ์</t>
  </si>
  <si>
    <t>นาย โอวาท</t>
  </si>
  <si>
    <t>อรุณชัย</t>
  </si>
  <si>
    <t>แก้วทุ่ง</t>
  </si>
  <si>
    <t>วงศ์เครือ</t>
  </si>
  <si>
    <t>บัวจันทร์</t>
  </si>
  <si>
    <t>บูชาวัง</t>
  </si>
  <si>
    <t>ช่างเก่ง</t>
  </si>
  <si>
    <t>จำปาอิ่ม</t>
  </si>
  <si>
    <t>นาย ไตรวุฒิ</t>
  </si>
  <si>
    <t>มนตรีวิวัฒน์</t>
  </si>
  <si>
    <t>กาเพ็ชร</t>
  </si>
  <si>
    <t>นาย ไตรรงค์</t>
  </si>
  <si>
    <t>ชาญพิชิต</t>
  </si>
  <si>
    <t>ตันนิกร</t>
  </si>
  <si>
    <t>นาย สุกิติ์</t>
  </si>
  <si>
    <t>วงศ์โดยหวัง</t>
  </si>
  <si>
    <t>นาย ทวารัตน์</t>
  </si>
  <si>
    <t>อ่อนปาน</t>
  </si>
  <si>
    <t>นาง นันทะยา</t>
  </si>
  <si>
    <t xml:space="preserve">แตงอ่อน </t>
  </si>
  <si>
    <t>นางสาว เมสิร์ญา</t>
  </si>
  <si>
    <t>ทิฆัมพรธีรวงศ์</t>
  </si>
  <si>
    <t>นาง ฐิติมา</t>
  </si>
  <si>
    <t xml:space="preserve">บุษบงค์ </t>
  </si>
  <si>
    <t>นางสาว จิราพร</t>
  </si>
  <si>
    <t xml:space="preserve">คุ้งวารี </t>
  </si>
  <si>
    <t xml:space="preserve">นาง หทัยกาญจน์ </t>
  </si>
  <si>
    <t>อิกไวย์โล</t>
  </si>
  <si>
    <t xml:space="preserve">นางสาว วิมล </t>
  </si>
  <si>
    <t xml:space="preserve">ไพรวัลย์ </t>
  </si>
  <si>
    <t>เพ็ชรวิเศษ</t>
  </si>
  <si>
    <t>เดชสกุลรัตน์</t>
  </si>
  <si>
    <t>ศรีมณฑล</t>
  </si>
  <si>
    <t>นาย ภานุพงศ์</t>
  </si>
  <si>
    <t>นาง น้ำฝน</t>
  </si>
  <si>
    <t>ตุ้มปุก</t>
  </si>
  <si>
    <t>นางสาว กานต์สิรี</t>
  </si>
  <si>
    <t>ทองเปรม</t>
  </si>
  <si>
    <t>นาง สายฝน</t>
  </si>
  <si>
    <t xml:space="preserve">จงอยู่สุข </t>
  </si>
  <si>
    <t xml:space="preserve">นางสาว สุภัสชา </t>
  </si>
  <si>
    <t xml:space="preserve">จันพร </t>
  </si>
  <si>
    <t>พูลเจริญศิลป์</t>
  </si>
  <si>
    <t xml:space="preserve">ถิ่นวงษ์แย </t>
  </si>
  <si>
    <t>นางสาว ชวนชม</t>
  </si>
  <si>
    <t xml:space="preserve">มงคลธวัช </t>
  </si>
  <si>
    <t>ทรัพย์บุญมี</t>
  </si>
  <si>
    <t>นางสาว นภสร</t>
  </si>
  <si>
    <t>อินสมตัว</t>
  </si>
  <si>
    <t>นางสาว นิลาวัลย์</t>
  </si>
  <si>
    <t>อินทคง</t>
  </si>
  <si>
    <t>พันธุ์ขะวงศ์</t>
  </si>
  <si>
    <t>นาย ธาราพร</t>
  </si>
  <si>
    <t>บุญอนันต์</t>
  </si>
  <si>
    <t>ช่อดอกไม้</t>
  </si>
  <si>
    <t>เสริมตระกูล</t>
  </si>
  <si>
    <t>มะโหฬาร</t>
  </si>
  <si>
    <t>แก้วศรีงาม</t>
  </si>
  <si>
    <t>อินทร์มณี</t>
  </si>
  <si>
    <t>นุ่มดี</t>
  </si>
  <si>
    <t>นาย ณัฐพิสิฐ</t>
  </si>
  <si>
    <t>ณิฐิสิริโชติ</t>
  </si>
  <si>
    <t>ศรีสะอาด</t>
  </si>
  <si>
    <t>ศรีชุมแสง</t>
  </si>
  <si>
    <t>ม่วงงาม</t>
  </si>
  <si>
    <t>มณเทียร</t>
  </si>
  <si>
    <t>ทองเชื้อ</t>
  </si>
  <si>
    <t>ทวีสุข</t>
  </si>
  <si>
    <t>นาย พิศาล</t>
  </si>
  <si>
    <t>ไชยสังข์</t>
  </si>
  <si>
    <t>นาง คณิต</t>
  </si>
  <si>
    <t>นาง งามนิจ</t>
  </si>
  <si>
    <t>นาย วิชิตร</t>
  </si>
  <si>
    <t>ช่วยพิทักษ์</t>
  </si>
  <si>
    <t>ชูก้าน</t>
  </si>
  <si>
    <t>ศุภรัตน์</t>
  </si>
  <si>
    <t>สมตัว</t>
  </si>
  <si>
    <t>อุปัชฌาย์</t>
  </si>
  <si>
    <t>ศรีวิเชียร</t>
  </si>
  <si>
    <t>เจียรประวัติ</t>
  </si>
  <si>
    <t>นาง สุธัญรัตน์</t>
  </si>
  <si>
    <t>นาย เสนี่ย</t>
  </si>
  <si>
    <t>สวนดอกไม้</t>
  </si>
  <si>
    <t>ธนวรรณ</t>
  </si>
  <si>
    <t>กุลณามาก</t>
  </si>
  <si>
    <t>กล่ำคุ้ม</t>
  </si>
  <si>
    <t>สันติเสรีวงศ์</t>
  </si>
  <si>
    <t>วงศ์จันทร์</t>
  </si>
  <si>
    <t>ณ สงขลา</t>
  </si>
  <si>
    <t>แสภู่</t>
  </si>
  <si>
    <t>อัศวไพฑูรย์</t>
  </si>
  <si>
    <t>กิ่งสัมฤทธิ์</t>
  </si>
  <si>
    <t>ศิรวุฒินานนท์</t>
  </si>
  <si>
    <t>ทองบัวศิริไล</t>
  </si>
  <si>
    <t>นาย สุรสิษฐ์</t>
  </si>
  <si>
    <t>สุทธิเดชารัชต์</t>
  </si>
  <si>
    <t>สงนพรัตน์</t>
  </si>
  <si>
    <t>หวังดี</t>
  </si>
  <si>
    <t xml:space="preserve">เกื้อสกิจ </t>
  </si>
  <si>
    <t>เนืองนอง</t>
  </si>
  <si>
    <t>นาย ประยูรศักดิ์</t>
  </si>
  <si>
    <t>ปั้นโอ้</t>
  </si>
  <si>
    <t>นาย ชัย</t>
  </si>
  <si>
    <t>จันทรทา</t>
  </si>
  <si>
    <t>กลิ้งกลม</t>
  </si>
  <si>
    <t>นาง นภาภรณ์</t>
  </si>
  <si>
    <t>มีเนตรทิพย์</t>
  </si>
  <si>
    <t>นางสาว จนัญญา</t>
  </si>
  <si>
    <t>เฟื่องฟุ้ง</t>
  </si>
  <si>
    <t>สุบิน</t>
  </si>
  <si>
    <t>นางสาว เยาวลักษณ์</t>
  </si>
  <si>
    <t>นาเอก</t>
  </si>
  <si>
    <t>นาง ภัคกัญญา</t>
  </si>
  <si>
    <t xml:space="preserve">นางสาว ปนิดา </t>
  </si>
  <si>
    <t xml:space="preserve">ชาวกงจักร์ </t>
  </si>
  <si>
    <t xml:space="preserve">นางสาว เฉลิมพร </t>
  </si>
  <si>
    <t xml:space="preserve">ธุระพันธ์ </t>
  </si>
  <si>
    <t>แสงฉัตร</t>
  </si>
  <si>
    <t>วงศ์สุภาพ</t>
  </si>
  <si>
    <t>นาง ณัฐิยา</t>
  </si>
  <si>
    <t>สุวรรณชะนะ</t>
  </si>
  <si>
    <t>ทองชื่น</t>
  </si>
  <si>
    <t>นาง อุไรลักษณ์</t>
  </si>
  <si>
    <t>ดวงฉวี</t>
  </si>
  <si>
    <t>ตั้งต้นตระกูล</t>
  </si>
  <si>
    <t xml:space="preserve">นาง ภณิดา </t>
  </si>
  <si>
    <t>ไชยเยศร์</t>
  </si>
  <si>
    <t>นางสาว อัญญพัชร</t>
  </si>
  <si>
    <t>นางสาว สุพัฒนา</t>
  </si>
  <si>
    <t>วงทวี</t>
  </si>
  <si>
    <t>ชื่นสมจิตต์</t>
  </si>
  <si>
    <t>นาย ธวัตร</t>
  </si>
  <si>
    <t>พนมกิจเจริญพร</t>
  </si>
  <si>
    <t>เอี่ยมวิริยาวัฒน์</t>
  </si>
  <si>
    <t>แจ่มประเสริฐ</t>
  </si>
  <si>
    <t>นาง จุฑามาส</t>
  </si>
  <si>
    <t>โสรถาวร</t>
  </si>
  <si>
    <t>นาง อารมย์</t>
  </si>
  <si>
    <t>แสงทองดี</t>
  </si>
  <si>
    <t>สงสุวงค์</t>
  </si>
  <si>
    <t>รัศมีรณชัย</t>
  </si>
  <si>
    <t>สว่างศรี</t>
  </si>
  <si>
    <t>นาง สุขสันต์</t>
  </si>
  <si>
    <t>นางสาว กันตินันท์</t>
  </si>
  <si>
    <t>อนุศาสนนันท์</t>
  </si>
  <si>
    <t>ช้างวงศ์</t>
  </si>
  <si>
    <t xml:space="preserve">นาย ณชาศิลป์ </t>
  </si>
  <si>
    <t>ดวงประทีป</t>
  </si>
  <si>
    <t>จี้ปูคำ</t>
  </si>
  <si>
    <t>ศรีสังข์งาม</t>
  </si>
  <si>
    <t>ใจงาม</t>
  </si>
  <si>
    <t>นางสาว ศิรินทร์</t>
  </si>
  <si>
    <t>กาฬภักดี</t>
  </si>
  <si>
    <t xml:space="preserve">นางสาว ลำพูน </t>
  </si>
  <si>
    <t xml:space="preserve">แก้วกำเนิด </t>
  </si>
  <si>
    <t xml:space="preserve">มาลัยทอง </t>
  </si>
  <si>
    <t xml:space="preserve">คงคา </t>
  </si>
  <si>
    <t xml:space="preserve">นางสาว ต้องตา </t>
  </si>
  <si>
    <t xml:space="preserve">บัวเขียว </t>
  </si>
  <si>
    <t xml:space="preserve">นาย สุทธิพงษ์ </t>
  </si>
  <si>
    <t xml:space="preserve">จ่างทอง </t>
  </si>
  <si>
    <t xml:space="preserve">นาย ไพโรจน์ </t>
  </si>
  <si>
    <t xml:space="preserve">นางสาว ณราภรณ์ </t>
  </si>
  <si>
    <t xml:space="preserve">กล่ำแสง </t>
  </si>
  <si>
    <t>บุญเรืองรอด</t>
  </si>
  <si>
    <t>นาง บุญเตือน</t>
  </si>
  <si>
    <t>กอกุลจันทร์</t>
  </si>
  <si>
    <t>นาย พีระภ์</t>
  </si>
  <si>
    <t>โตจิตร</t>
  </si>
  <si>
    <t xml:space="preserve">นาย ธนชาติ </t>
  </si>
  <si>
    <t xml:space="preserve">แตงทอง </t>
  </si>
  <si>
    <t xml:space="preserve">ไขสะอาด </t>
  </si>
  <si>
    <t xml:space="preserve">นางสาว นีลนภา </t>
  </si>
  <si>
    <t xml:space="preserve">นางสาว สุนิษา </t>
  </si>
  <si>
    <t xml:space="preserve">พุ่มมาลา </t>
  </si>
  <si>
    <t>คชาพันธ์</t>
  </si>
  <si>
    <t>นางสาว ปรีดาพร</t>
  </si>
  <si>
    <t>คุณฑี</t>
  </si>
  <si>
    <t>ชูพุทธพงศ์</t>
  </si>
  <si>
    <t xml:space="preserve">นางสาว งามตา </t>
  </si>
  <si>
    <t xml:space="preserve">สกุลหงษ์ </t>
  </si>
  <si>
    <t>นางสาว ปรมาภรณ์</t>
  </si>
  <si>
    <t xml:space="preserve">ลุ่มจันทร์ </t>
  </si>
  <si>
    <t>นาย งาม</t>
  </si>
  <si>
    <t>ลิ้มมณี</t>
  </si>
  <si>
    <t>สะหะหิรัญ</t>
  </si>
  <si>
    <t>นาง กสิณา</t>
  </si>
  <si>
    <t>โตชม</t>
  </si>
  <si>
    <t xml:space="preserve">นางสาว กันยาวีร์ </t>
  </si>
  <si>
    <t>สิทธิวีระกูล</t>
  </si>
  <si>
    <t xml:space="preserve">นาย วิชา </t>
  </si>
  <si>
    <t xml:space="preserve">งามยิ่ง </t>
  </si>
  <si>
    <t>เฉลิมเกียรติ</t>
  </si>
  <si>
    <t>นาคพิทักษ์</t>
  </si>
  <si>
    <t>ฉมังวิภา</t>
  </si>
  <si>
    <t xml:space="preserve">หนูงาม </t>
  </si>
  <si>
    <t>นางสาว ภัควรินทร์</t>
  </si>
  <si>
    <t>พัฒนมณีศักดิ์</t>
  </si>
  <si>
    <t xml:space="preserve">เอี่ยมชาวเหนือ </t>
  </si>
  <si>
    <t>สุรัมย์</t>
  </si>
  <si>
    <t>จุลเสวก</t>
  </si>
  <si>
    <t>นาย สวิต</t>
  </si>
  <si>
    <t>นาย ธรรมศักดิ์</t>
  </si>
  <si>
    <t>แสงพรหมมินทร์</t>
  </si>
  <si>
    <t>มูสิกะ</t>
  </si>
  <si>
    <t>นาย ประกิจ</t>
  </si>
  <si>
    <t>ทองสาลี</t>
  </si>
  <si>
    <t>ดาราฤกษ์</t>
  </si>
  <si>
    <t>นาง สรินณา</t>
  </si>
  <si>
    <t>ทองพัฒน์</t>
  </si>
  <si>
    <t>นางสาว สุเนตรา</t>
  </si>
  <si>
    <t>ทองพิชัย</t>
  </si>
  <si>
    <t>ใจใส่</t>
  </si>
  <si>
    <t>นาย วานิช</t>
  </si>
  <si>
    <t>หลีเจริญ</t>
  </si>
  <si>
    <t>นาย ส่งสุข</t>
  </si>
  <si>
    <t>รตนาภรณ์</t>
  </si>
  <si>
    <t>รัตนานุพงศ์</t>
  </si>
  <si>
    <t>นาง กรองจิต</t>
  </si>
  <si>
    <t>เอ้งฉ้วน</t>
  </si>
  <si>
    <t>นางสาว ดวงสมร</t>
  </si>
  <si>
    <t>สันตานนท์</t>
  </si>
  <si>
    <t>นาย ชลินทร์</t>
  </si>
  <si>
    <t>ประพฤติตรง</t>
  </si>
  <si>
    <t>วุฒิพงษ์</t>
  </si>
  <si>
    <t>นาง ธนัทพร</t>
  </si>
  <si>
    <t>บุญพัฒน์</t>
  </si>
  <si>
    <t>นาคเพชรพูล</t>
  </si>
  <si>
    <t>วัฒนะโภคา</t>
  </si>
  <si>
    <t>นาย พีระพาสน์</t>
  </si>
  <si>
    <t>รักษาทอง</t>
  </si>
  <si>
    <t>นาง วิไลพร</t>
  </si>
  <si>
    <t>กู้เมือง</t>
  </si>
  <si>
    <t>บุญวงศ์</t>
  </si>
  <si>
    <t>แดงก่อเกื้อ</t>
  </si>
  <si>
    <t>พังงา</t>
  </si>
  <si>
    <t>อัมรักษ์</t>
  </si>
  <si>
    <t>แข่งขัน</t>
  </si>
  <si>
    <t>นาง เพ็ญแข</t>
  </si>
  <si>
    <t>หนูแป้น</t>
  </si>
  <si>
    <t>นาง ณัฐกมล</t>
  </si>
  <si>
    <t>สุวรรณเกิด</t>
  </si>
  <si>
    <t>อรรถพรพงษ์</t>
  </si>
  <si>
    <t>จันทะโน</t>
  </si>
  <si>
    <t>ฉายประชีพ</t>
  </si>
  <si>
    <t>วัฒโน</t>
  </si>
  <si>
    <t>สุขประดิษฐ์</t>
  </si>
  <si>
    <t>นาย ระนอง</t>
  </si>
  <si>
    <t>เหมทานนท์</t>
  </si>
  <si>
    <t>สุขเจริญ</t>
  </si>
  <si>
    <t>นางสาว ผจงจิตร</t>
  </si>
  <si>
    <t>ช่วงชุณห์ส่อง</t>
  </si>
  <si>
    <t>วุฒิจันทร์</t>
  </si>
  <si>
    <t>ชูวารี</t>
  </si>
  <si>
    <t>นาง มานี</t>
  </si>
  <si>
    <t>มากอินทร์</t>
  </si>
  <si>
    <t>นาย ธนวัฒน์</t>
  </si>
  <si>
    <t>ธาวุฒิสกุล</t>
  </si>
  <si>
    <t>นางสาว วิลาศ</t>
  </si>
  <si>
    <t>จันทร์แสงกุล</t>
  </si>
  <si>
    <t>สะอาดใจ</t>
  </si>
  <si>
    <t>ทิตระกูล</t>
  </si>
  <si>
    <t>นาง สมบูรณ์มาศ</t>
  </si>
  <si>
    <t>มาลาวิสุทธิ์</t>
  </si>
  <si>
    <t>รอดศรีนาค</t>
  </si>
  <si>
    <t>นาย สุเรนทร์</t>
  </si>
  <si>
    <t>เพชรชื่น</t>
  </si>
  <si>
    <t>นาย สนชัย</t>
  </si>
  <si>
    <t>เพ็ชรพรหม</t>
  </si>
  <si>
    <t>นาย สุนิพนธ์</t>
  </si>
  <si>
    <t>แท่นนิล</t>
  </si>
  <si>
    <t>นาง ปรีดาวรรณ</t>
  </si>
  <si>
    <t>วิมลชินวัตร์</t>
  </si>
  <si>
    <t>นางสาว ปุณยนุช</t>
  </si>
  <si>
    <t>เจียวรัมย์</t>
  </si>
  <si>
    <t>นาง สุณี</t>
  </si>
  <si>
    <t>กุลทอง</t>
  </si>
  <si>
    <t>สมตน</t>
  </si>
  <si>
    <t xml:space="preserve">นาย ผดุงพล </t>
  </si>
  <si>
    <t>ศรีวิริยะ</t>
  </si>
  <si>
    <t>นาย อุดล</t>
  </si>
  <si>
    <t>จุลจันทร์</t>
  </si>
  <si>
    <t>รัตนโชติ</t>
  </si>
  <si>
    <t>นาง เมธาวี</t>
  </si>
  <si>
    <t>อุทยมกุล</t>
  </si>
  <si>
    <t>นาย สุพาศน์</t>
  </si>
  <si>
    <t>มีใหญ่</t>
  </si>
  <si>
    <t>สัตยาคม</t>
  </si>
  <si>
    <t>จิตรจร</t>
  </si>
  <si>
    <t>นางสาว สมัย</t>
  </si>
  <si>
    <t>สังข์ทองงาม</t>
  </si>
  <si>
    <t>นาง ภาณิดา</t>
  </si>
  <si>
    <t>ชูสุวรรณ์</t>
  </si>
  <si>
    <t xml:space="preserve">นางสาว ยุภาภรณ์ </t>
  </si>
  <si>
    <t>เสียงหวาน</t>
  </si>
  <si>
    <t xml:space="preserve">นางสาว สุพรรณษา </t>
  </si>
  <si>
    <t xml:space="preserve">แสงอุบล </t>
  </si>
  <si>
    <t>นางสาว จินทนา</t>
  </si>
  <si>
    <t>นพ</t>
  </si>
  <si>
    <t xml:space="preserve">ดิษฐโรจน์ </t>
  </si>
  <si>
    <t xml:space="preserve">นางสาว ศรีสุดา </t>
  </si>
  <si>
    <t xml:space="preserve">รักเถาว์ </t>
  </si>
  <si>
    <t xml:space="preserve">นางสาว ณัฐฐินันท์ </t>
  </si>
  <si>
    <t xml:space="preserve">จงไกรจักร </t>
  </si>
  <si>
    <t>นางสาว อุไรรัตน์</t>
  </si>
  <si>
    <t>ทองมา</t>
  </si>
  <si>
    <t xml:space="preserve">นางสาว กัญญาลักษณ์ </t>
  </si>
  <si>
    <t xml:space="preserve">ตักเตือน </t>
  </si>
  <si>
    <t>นางสาว จุฬารักษ์</t>
  </si>
  <si>
    <t>นางสาว ขวัญจิต</t>
  </si>
  <si>
    <t>สัสดีเดช</t>
  </si>
  <si>
    <t>นาง ณฐวรรณ</t>
  </si>
  <si>
    <t>นางสาว นิชนันท์</t>
  </si>
  <si>
    <t>ตะกูลมาศ</t>
  </si>
  <si>
    <t>ศรีประจันทร์</t>
  </si>
  <si>
    <t>นาง อัมพิกา</t>
  </si>
  <si>
    <t>สุขเกิด</t>
  </si>
  <si>
    <t>นาย สินธ์ชัย</t>
  </si>
  <si>
    <t>ไวทยินทร์</t>
  </si>
  <si>
    <t>นาย แปลก</t>
  </si>
  <si>
    <t>บ่อคำ</t>
  </si>
  <si>
    <t>นาย ธาร</t>
  </si>
  <si>
    <t>นวลนึก</t>
  </si>
  <si>
    <t>พลายสวัสดิ์</t>
  </si>
  <si>
    <t>นาง เมตตา</t>
  </si>
  <si>
    <t>สีเพชร</t>
  </si>
  <si>
    <t>นาย คำมน</t>
  </si>
  <si>
    <t>ช่วยหอม</t>
  </si>
  <si>
    <t>นาย อุดมพร</t>
  </si>
  <si>
    <t>จันทรประสิทธิ์</t>
  </si>
  <si>
    <t>นาย ศรัณยู</t>
  </si>
  <si>
    <t>สมสุวรรณ</t>
  </si>
  <si>
    <t>นาย ภูสิทธิ์</t>
  </si>
  <si>
    <t>ภู่ไพบูลย์</t>
  </si>
  <si>
    <t>วิชิตแย้ม</t>
  </si>
  <si>
    <t>นาย อภัยพงศ์</t>
  </si>
  <si>
    <t>นาง สุมนรัตน์</t>
  </si>
  <si>
    <t>นาคมณี</t>
  </si>
  <si>
    <t>นาง มยุเรศ</t>
  </si>
  <si>
    <t>นางสาว เสาวภา</t>
  </si>
  <si>
    <t>แช่มชื่น</t>
  </si>
  <si>
    <t>บุปผา</t>
  </si>
  <si>
    <t>นางสาว ชอุ่ม</t>
  </si>
  <si>
    <t>สอนประสม</t>
  </si>
  <si>
    <t>นาง ใจทิพย์</t>
  </si>
  <si>
    <t>ด่านปรีดานันท์</t>
  </si>
  <si>
    <t>คงมาก</t>
  </si>
  <si>
    <t xml:space="preserve">นาง ยลภัทร </t>
  </si>
  <si>
    <t>นาย ธเรศ</t>
  </si>
  <si>
    <t>ไข่มุกข์</t>
  </si>
  <si>
    <t xml:space="preserve">นางสาว พิชญาดา </t>
  </si>
  <si>
    <t>เจริญจิต</t>
  </si>
  <si>
    <t>ฤทธิรณ</t>
  </si>
  <si>
    <t>ช่วยสงค์</t>
  </si>
  <si>
    <t>นาย เจตนิพิฐ</t>
  </si>
  <si>
    <t>ปานเพชร</t>
  </si>
  <si>
    <t>นาย ชำนาญวิทย์</t>
  </si>
  <si>
    <t>ทินวงศ์</t>
  </si>
  <si>
    <t>พรหมเศษ</t>
  </si>
  <si>
    <t>นางสาว มลฤดี</t>
  </si>
  <si>
    <t>นาง มิ่งมนัส</t>
  </si>
  <si>
    <t xml:space="preserve">สุภากร </t>
  </si>
  <si>
    <t>ศรีเผือก</t>
  </si>
  <si>
    <t>นาย สาวิตร</t>
  </si>
  <si>
    <t>ชุมจินดา</t>
  </si>
  <si>
    <t>นาอนันต์</t>
  </si>
  <si>
    <t>พูนมาตร</t>
  </si>
  <si>
    <t>สุวรรณ์</t>
  </si>
  <si>
    <t xml:space="preserve">นาย รัตน์ </t>
  </si>
  <si>
    <t xml:space="preserve">วงษ์เนตร </t>
  </si>
  <si>
    <t xml:space="preserve">อินทร์เมือง </t>
  </si>
  <si>
    <t>จันอิ</t>
  </si>
  <si>
    <t xml:space="preserve">นาง เพ็ญพร </t>
  </si>
  <si>
    <t xml:space="preserve">รัชชะ </t>
  </si>
  <si>
    <t xml:space="preserve">นาง นันท์นภัส </t>
  </si>
  <si>
    <t xml:space="preserve">ทองเผือก </t>
  </si>
  <si>
    <t xml:space="preserve">นางสาว เพ็ญศรี </t>
  </si>
  <si>
    <t xml:space="preserve">เลื่องสุนทร </t>
  </si>
  <si>
    <t xml:space="preserve">นาย ศรัณยู </t>
  </si>
  <si>
    <t xml:space="preserve">อนุกูล </t>
  </si>
  <si>
    <t>นางสาว ปอพิไล</t>
  </si>
  <si>
    <t>พิพิธ</t>
  </si>
  <si>
    <t xml:space="preserve">นางสาว จุฬาภรณ์ </t>
  </si>
  <si>
    <t>ชาเหลา</t>
  </si>
  <si>
    <t xml:space="preserve">นางสาว ธมนวรรณ </t>
  </si>
  <si>
    <t xml:space="preserve">พลการ </t>
  </si>
  <si>
    <t xml:space="preserve">นาย เดชา </t>
  </si>
  <si>
    <t xml:space="preserve">เกิดแก้ว </t>
  </si>
  <si>
    <t>นาง จตุพร</t>
  </si>
  <si>
    <t xml:space="preserve">ไกรเพ็ชร </t>
  </si>
  <si>
    <t>คงเลิศ</t>
  </si>
  <si>
    <t xml:space="preserve">นางสาว รุ้งนภา </t>
  </si>
  <si>
    <t xml:space="preserve">กัลพฤกษ์ </t>
  </si>
  <si>
    <t xml:space="preserve">เพ็ชรรักษ์ </t>
  </si>
  <si>
    <t>นาง ลัดฎาวรรณ</t>
  </si>
  <si>
    <t>บุญประสม</t>
  </si>
  <si>
    <t xml:space="preserve">ว่าที่ ร.ต. พีรพงศ์ </t>
  </si>
  <si>
    <t xml:space="preserve">พิงคารักษ์ </t>
  </si>
  <si>
    <t xml:space="preserve">ทองเนื้อสุข </t>
  </si>
  <si>
    <t xml:space="preserve">นาย คมกฤช </t>
  </si>
  <si>
    <t>พวงเดช</t>
  </si>
  <si>
    <t xml:space="preserve">นางสาว สุรัตน์วดี  </t>
  </si>
  <si>
    <t xml:space="preserve">นาย สุเชฐ </t>
  </si>
  <si>
    <t xml:space="preserve">ศรีทอง </t>
  </si>
  <si>
    <t xml:space="preserve">นางสาว อิสริยะ </t>
  </si>
  <si>
    <t xml:space="preserve">เศรษฐวัตน์ </t>
  </si>
  <si>
    <t xml:space="preserve">นางสาว เจนเนตร </t>
  </si>
  <si>
    <t xml:space="preserve">นางสาว จุฑาภรณ์ </t>
  </si>
  <si>
    <t xml:space="preserve">เพชรสถิตย์ </t>
  </si>
  <si>
    <t>โชติช่วง</t>
  </si>
  <si>
    <t xml:space="preserve">นาย พจปชาย์ </t>
  </si>
  <si>
    <t xml:space="preserve">หนูเล็ก </t>
  </si>
  <si>
    <t>ชูแขวง</t>
  </si>
  <si>
    <t>นาย วโรจน์</t>
  </si>
  <si>
    <t>สกุลโต</t>
  </si>
  <si>
    <t>ชูส่งแสง</t>
  </si>
  <si>
    <t>นางสาว ยุพเรศ</t>
  </si>
  <si>
    <t>เชาว์วิทยา</t>
  </si>
  <si>
    <t>นางสาว กิดาการ</t>
  </si>
  <si>
    <t>สัมฤทธิ์</t>
  </si>
  <si>
    <t>นางสาว ณัฏฐิตา</t>
  </si>
  <si>
    <t>สุวนันทวงศ์</t>
  </si>
  <si>
    <t xml:space="preserve">นางสาว กัญญ์ณณัฏฐ์ </t>
  </si>
  <si>
    <t xml:space="preserve">คุ้มรัตน์ </t>
  </si>
  <si>
    <t>คีรีนารถ</t>
  </si>
  <si>
    <t xml:space="preserve">นาย แสงเจริญ </t>
  </si>
  <si>
    <t xml:space="preserve">วิศิษฏ์ไพบูลย์ </t>
  </si>
  <si>
    <t>รัตนภิรมย์</t>
  </si>
  <si>
    <t xml:space="preserve">นางสาว วัตถาภรณ์ </t>
  </si>
  <si>
    <t xml:space="preserve">นาง วินนตา </t>
  </si>
  <si>
    <t xml:space="preserve">หนูบัญฑิต </t>
  </si>
  <si>
    <t>นางสาว ดลลดา</t>
  </si>
  <si>
    <t>ชัยวรากรณ์</t>
  </si>
  <si>
    <t xml:space="preserve">นาย วรเทพ </t>
  </si>
  <si>
    <t>ครุฑกาศ</t>
  </si>
  <si>
    <t>นาย พิสันต์</t>
  </si>
  <si>
    <t>แก้วแสน</t>
  </si>
  <si>
    <t>นางสาว ปิยาณี</t>
  </si>
  <si>
    <t>เสนทอง</t>
  </si>
  <si>
    <t xml:space="preserve">นางสาว ขวัญฤทัย </t>
  </si>
  <si>
    <t xml:space="preserve">ช่วยแก้ว </t>
  </si>
  <si>
    <t xml:space="preserve">นางสาว นิสิตา </t>
  </si>
  <si>
    <t xml:space="preserve">เพชรา </t>
  </si>
  <si>
    <t>นาง ณัฐฐาภรณ์</t>
  </si>
  <si>
    <t>เพชรทองขาว</t>
  </si>
  <si>
    <t>สมวงศ์</t>
  </si>
  <si>
    <t>ตะเภาน้อย</t>
  </si>
  <si>
    <t>พิมพ์ทอง</t>
  </si>
  <si>
    <t>นะเวรัมย์</t>
  </si>
  <si>
    <t>นาย สำอาง</t>
  </si>
  <si>
    <t>คงวัน</t>
  </si>
  <si>
    <t>สุขวาสนะ</t>
  </si>
  <si>
    <t>จารัตน์</t>
  </si>
  <si>
    <t>ทัดศรี</t>
  </si>
  <si>
    <t>นาย สำรอง</t>
  </si>
  <si>
    <t>อยู่มี</t>
  </si>
  <si>
    <t>ทันกาญจน์</t>
  </si>
  <si>
    <t>นาย สมมาต</t>
  </si>
  <si>
    <t>นาง บุญนาง</t>
  </si>
  <si>
    <t>ศรีไพรสนท์</t>
  </si>
  <si>
    <t>นาง  นิธินันท์</t>
  </si>
  <si>
    <t>ฉัตรพิทยารุจน์</t>
  </si>
  <si>
    <t>นาย กายสิทธ์</t>
  </si>
  <si>
    <t>ปัญญายงค์</t>
  </si>
  <si>
    <t>นาย ชลธี</t>
  </si>
  <si>
    <t>สายรัดทอง</t>
  </si>
  <si>
    <t>ฉัตรดำรง</t>
  </si>
  <si>
    <t>นาง ประมวล</t>
  </si>
  <si>
    <t>แจ่มแสง</t>
  </si>
  <si>
    <t>ดวงชื่น</t>
  </si>
  <si>
    <t>เตียววัฒนา</t>
  </si>
  <si>
    <t>สิงหพรพงศ์</t>
  </si>
  <si>
    <t>ปัญญาเอก</t>
  </si>
  <si>
    <t>นาง สุวคนธ์</t>
  </si>
  <si>
    <t>ปักกาสีนัง</t>
  </si>
  <si>
    <t>นาง ฉลวยพร</t>
  </si>
  <si>
    <t>ยอดเยี่ยม</t>
  </si>
  <si>
    <t>ดียิ่ง</t>
  </si>
  <si>
    <t>สุภรณ์</t>
  </si>
  <si>
    <t>นาง ยุวนุช</t>
  </si>
  <si>
    <t>ทองเอี่ยม</t>
  </si>
  <si>
    <t>นาง จันทร์ผ่อง</t>
  </si>
  <si>
    <t>ยืนยิ่ง</t>
  </si>
  <si>
    <t>นาย วิธาล</t>
  </si>
  <si>
    <t>บางยับยิ่ว</t>
  </si>
  <si>
    <t>นาย เหลื่อมศักดิ์</t>
  </si>
  <si>
    <t>ชนะทะเล</t>
  </si>
  <si>
    <t>ศรีระทัศน์</t>
  </si>
  <si>
    <t>ชายกลาง</t>
  </si>
  <si>
    <t>อู๋สูงเนิน</t>
  </si>
  <si>
    <t>นาย สถิตพงศ์</t>
  </si>
  <si>
    <t>สาลีพิมพ์</t>
  </si>
  <si>
    <t>นาย จิรวงศ์</t>
  </si>
  <si>
    <t>ทอนศรี</t>
  </si>
  <si>
    <t>นาย ทองสุก</t>
  </si>
  <si>
    <t>กระแสโท</t>
  </si>
  <si>
    <t>นาย ภาสวัฒน์</t>
  </si>
  <si>
    <t>มือขุนทด</t>
  </si>
  <si>
    <t>ฝอยทอง</t>
  </si>
  <si>
    <t>นาย เทอดพงษ์</t>
  </si>
  <si>
    <t>แสนกล้า</t>
  </si>
  <si>
    <t xml:space="preserve">คัมภิรานนท์ </t>
  </si>
  <si>
    <t>นาง ชลีกุล</t>
  </si>
  <si>
    <t>ศรีทองสุก</t>
  </si>
  <si>
    <t>นาย ธนัช</t>
  </si>
  <si>
    <t>สินสร้าง</t>
  </si>
  <si>
    <t>บุญหล้า</t>
  </si>
  <si>
    <t>นาย คำผาง</t>
  </si>
  <si>
    <t>เฉานอก</t>
  </si>
  <si>
    <t>นาย จามร</t>
  </si>
  <si>
    <t>สุหร่าย</t>
  </si>
  <si>
    <t>นาย สมศรี</t>
  </si>
  <si>
    <t>นิสสัยดี</t>
  </si>
  <si>
    <t>นาย พีระวัฒน์</t>
  </si>
  <si>
    <t>สังข์น้อย</t>
  </si>
  <si>
    <t>นาย มติชัย</t>
  </si>
  <si>
    <t>สีดาพาลี</t>
  </si>
  <si>
    <t>สังข์ศักดา</t>
  </si>
  <si>
    <t>นาย กฤษราช</t>
  </si>
  <si>
    <t>ขันลา</t>
  </si>
  <si>
    <t>นาย โชค</t>
  </si>
  <si>
    <t>มีชัย</t>
  </si>
  <si>
    <t>นาย เรวัชณ์</t>
  </si>
  <si>
    <t>มัชฌิกะ</t>
  </si>
  <si>
    <t>พุ่มชุมพล</t>
  </si>
  <si>
    <t>สุจินพรัหม</t>
  </si>
  <si>
    <t>สิทโธ</t>
  </si>
  <si>
    <t>จินดากุล</t>
  </si>
  <si>
    <t xml:space="preserve">นาย เสนอ </t>
  </si>
  <si>
    <t>ยิ่งมีมา</t>
  </si>
  <si>
    <t>นาย บุญร่วม</t>
  </si>
  <si>
    <t>นาง บำเพ็ญ</t>
  </si>
  <si>
    <t>สมในใจ</t>
  </si>
  <si>
    <t>นาย บุญงาม</t>
  </si>
  <si>
    <t>ระย้างาม</t>
  </si>
  <si>
    <t>หวังใจ</t>
  </si>
  <si>
    <t>นางสาว ชนกนาฏ</t>
  </si>
  <si>
    <t>วัชรศักดิ์ตระกูล</t>
  </si>
  <si>
    <t xml:space="preserve">นาย ทิวทัศน์ </t>
  </si>
  <si>
    <t xml:space="preserve">บุญแต่ง </t>
  </si>
  <si>
    <t xml:space="preserve">นางสาว ปาณิศา </t>
  </si>
  <si>
    <t xml:space="preserve">ศรีมาลี </t>
  </si>
  <si>
    <t xml:space="preserve">นางสาว สายใจ </t>
  </si>
  <si>
    <t xml:space="preserve">แก้วจันทร์ </t>
  </si>
  <si>
    <t>นางสาว โสภาวรรณ</t>
  </si>
  <si>
    <t>ชุมเสนา</t>
  </si>
  <si>
    <t>นาย กิติคุณ</t>
  </si>
  <si>
    <t>กุลไธสง</t>
  </si>
  <si>
    <t>นาย สุวพงศ์</t>
  </si>
  <si>
    <t>ใบพลูทอง</t>
  </si>
  <si>
    <t>นาย คณาวุฒิ</t>
  </si>
  <si>
    <t>บุตรดีขันธ์</t>
  </si>
  <si>
    <t>นาย ประนบ</t>
  </si>
  <si>
    <t>เสริมศิริ</t>
  </si>
  <si>
    <t>นราพงศ์</t>
  </si>
  <si>
    <t>อยู่สำราญ</t>
  </si>
  <si>
    <t>สะอาดยิ่ง</t>
  </si>
  <si>
    <t>นาย คำเภา</t>
  </si>
  <si>
    <t>วงศ์คำ</t>
  </si>
  <si>
    <t>ทูนสูงเนิน</t>
  </si>
  <si>
    <t>แพ่งจันทึก</t>
  </si>
  <si>
    <t>นาย บุญเทือง</t>
  </si>
  <si>
    <t>ดาศรี</t>
  </si>
  <si>
    <t>นาย เรือง</t>
  </si>
  <si>
    <t>มณีศรี</t>
  </si>
  <si>
    <t>นาย ประนิทธิ์</t>
  </si>
  <si>
    <t>แก่นแดง</t>
  </si>
  <si>
    <t>นาย จำนง</t>
  </si>
  <si>
    <t>มีสิทธิ์</t>
  </si>
  <si>
    <t>นาย สุวิศิษฎิ์</t>
  </si>
  <si>
    <t>พิศิลป์</t>
  </si>
  <si>
    <t>นางสาว จิราวรรณ</t>
  </si>
  <si>
    <t>สุระพรพิชิต</t>
  </si>
  <si>
    <t>นาง สรินยา</t>
  </si>
  <si>
    <t>คงทน</t>
  </si>
  <si>
    <t>โสรเนตร</t>
  </si>
  <si>
    <t>นาย จีรติ</t>
  </si>
  <si>
    <t>รวดเร็ว</t>
  </si>
  <si>
    <t>นาย วรนิตย์</t>
  </si>
  <si>
    <t>จันทร์สุพัฒน์</t>
  </si>
  <si>
    <t xml:space="preserve">พลบูรณ์ศรี </t>
  </si>
  <si>
    <t>ยอดอินทร์</t>
  </si>
  <si>
    <t>นาย บรรลือ</t>
  </si>
  <si>
    <t>ลักษวุธ</t>
  </si>
  <si>
    <t>นาย จิตกรวัฒน์</t>
  </si>
  <si>
    <t>สาแก้ว</t>
  </si>
  <si>
    <t>นาง ประหยัด</t>
  </si>
  <si>
    <t>แก้วเอก</t>
  </si>
  <si>
    <t>บุญยืน</t>
  </si>
  <si>
    <t>กิ่งอินทร์</t>
  </si>
  <si>
    <t>นางสาว สมเกียรติ</t>
  </si>
  <si>
    <t>เสาวโค</t>
  </si>
  <si>
    <t>ทองพันธ์</t>
  </si>
  <si>
    <t>สีพูแพน</t>
  </si>
  <si>
    <t>นาง เสาวณี</t>
  </si>
  <si>
    <t>ยอดพรหม</t>
  </si>
  <si>
    <t>เรียงทอง</t>
  </si>
  <si>
    <t>นาย วิริยะ</t>
  </si>
  <si>
    <t>โอษฐงาม</t>
  </si>
  <si>
    <t>เนตรพระ</t>
  </si>
  <si>
    <t>เรืองรอบ</t>
  </si>
  <si>
    <t>นาง พนาวัลย์</t>
  </si>
  <si>
    <t>แก้วลอย</t>
  </si>
  <si>
    <t>สอนตะคุ</t>
  </si>
  <si>
    <t>นางสาว สร้อยเพชร</t>
  </si>
  <si>
    <t>ตันติรัตนานนท์</t>
  </si>
  <si>
    <t>ชื่นใจ</t>
  </si>
  <si>
    <t>สุขบรรเทิง</t>
  </si>
  <si>
    <t>ฟังวัฒนา</t>
  </si>
  <si>
    <t>นาย ศิริบูรณ์</t>
  </si>
  <si>
    <t>ดวงแว่ว</t>
  </si>
  <si>
    <t>นางสาว พัชดา</t>
  </si>
  <si>
    <t>ถือกล้า</t>
  </si>
  <si>
    <t>นางสาว สิทธิณี</t>
  </si>
  <si>
    <t>พิศงาม</t>
  </si>
  <si>
    <t>สิงห์ลอ</t>
  </si>
  <si>
    <t>นาง สกาวรัตน์</t>
  </si>
  <si>
    <t xml:space="preserve">ทัดศรี </t>
  </si>
  <si>
    <t>วิญญายงค์</t>
  </si>
  <si>
    <t>สุขพราว</t>
  </si>
  <si>
    <t>นาง ภาสินี</t>
  </si>
  <si>
    <t xml:space="preserve">สมถวิล </t>
  </si>
  <si>
    <t xml:space="preserve">นางสาว อรหทัย </t>
  </si>
  <si>
    <t xml:space="preserve">เกษรบัว </t>
  </si>
  <si>
    <t xml:space="preserve">ภูมิสุข </t>
  </si>
  <si>
    <t xml:space="preserve">ดีเสมอ </t>
  </si>
  <si>
    <t xml:space="preserve">นางสาว กฤติกา </t>
  </si>
  <si>
    <t>บุญแย้ม</t>
  </si>
  <si>
    <t>แก้ลวกล้า</t>
  </si>
  <si>
    <t xml:space="preserve">นาย ชิตะภัทร </t>
  </si>
  <si>
    <t>โพธิ์แสน</t>
  </si>
  <si>
    <t xml:space="preserve">นาย ไกรสร </t>
  </si>
  <si>
    <t xml:space="preserve">ดำรงศักดิ์ </t>
  </si>
  <si>
    <t xml:space="preserve">นาย เอกรัฐ </t>
  </si>
  <si>
    <t xml:space="preserve">ศรีบุญตระกูล </t>
  </si>
  <si>
    <t xml:space="preserve">เหมือนคิด </t>
  </si>
  <si>
    <t xml:space="preserve">นาย กฤตธี </t>
  </si>
  <si>
    <t xml:space="preserve">ศรีตัมภวา </t>
  </si>
  <si>
    <t>ประไวย์</t>
  </si>
  <si>
    <t>ภูมิสุข</t>
  </si>
  <si>
    <t>นางสาว อัจฉรียา</t>
  </si>
  <si>
    <t xml:space="preserve">ทิพารัตน์ </t>
  </si>
  <si>
    <t xml:space="preserve">นางสาว แสงอรุณ </t>
  </si>
  <si>
    <t xml:space="preserve">นิยมวันต์ </t>
  </si>
  <si>
    <t xml:space="preserve">นางสาว เอบี </t>
  </si>
  <si>
    <t xml:space="preserve">ระย้าย้อย </t>
  </si>
  <si>
    <t xml:space="preserve">นาย ธราธร </t>
  </si>
  <si>
    <t>ประดับสุข</t>
  </si>
  <si>
    <t xml:space="preserve">นาย ณัฏชยพล </t>
  </si>
  <si>
    <t xml:space="preserve">ดาวศรี </t>
  </si>
  <si>
    <t xml:space="preserve">นางสาว ธนพร </t>
  </si>
  <si>
    <t xml:space="preserve">เทียมคลี </t>
  </si>
  <si>
    <t xml:space="preserve">นาย สรกฤช </t>
  </si>
  <si>
    <t xml:space="preserve">กระจ่างจิตร </t>
  </si>
  <si>
    <t xml:space="preserve">นาย พินิจ </t>
  </si>
  <si>
    <t xml:space="preserve">มังกร </t>
  </si>
  <si>
    <t>สุมาลุย์</t>
  </si>
  <si>
    <t xml:space="preserve">นาย ธีรวัตน์ </t>
  </si>
  <si>
    <t xml:space="preserve">ประดาสุข </t>
  </si>
  <si>
    <t xml:space="preserve">นาย วิชัย </t>
  </si>
  <si>
    <t xml:space="preserve">บุญมา </t>
  </si>
  <si>
    <t>นาย ภูวนาท</t>
  </si>
  <si>
    <t>นาย หาญพล</t>
  </si>
  <si>
    <t>เชื้อเดิม</t>
  </si>
  <si>
    <t>จันทร์เวียง</t>
  </si>
  <si>
    <t>นาง กันตยาวรรณ</t>
  </si>
  <si>
    <t>คูณแก้ว</t>
  </si>
  <si>
    <t xml:space="preserve">นาย จิรันตน์ </t>
  </si>
  <si>
    <t xml:space="preserve">ดาทอง </t>
  </si>
  <si>
    <t xml:space="preserve">นาย ยรรยง </t>
  </si>
  <si>
    <t xml:space="preserve">ม่วงอ่อน </t>
  </si>
  <si>
    <t>พรหมลิกุล</t>
  </si>
  <si>
    <t xml:space="preserve">นางาม </t>
  </si>
  <si>
    <t>ทองลอง</t>
  </si>
  <si>
    <t>อุตอามาตย์</t>
  </si>
  <si>
    <t xml:space="preserve">รัตนวิชัย </t>
  </si>
  <si>
    <t>นาย ขวัญเมือง</t>
  </si>
  <si>
    <t>พรมสอน</t>
  </si>
  <si>
    <t xml:space="preserve">มะลิซ้อน </t>
  </si>
  <si>
    <t>โสเส</t>
  </si>
  <si>
    <t xml:space="preserve">นางสาว อรัญณีย์ </t>
  </si>
  <si>
    <t xml:space="preserve">ภารเจิม </t>
  </si>
  <si>
    <t>วังวารี</t>
  </si>
  <si>
    <t>หมัดสมัน</t>
  </si>
  <si>
    <t>เพชรจำรัส</t>
  </si>
  <si>
    <t>โพธิ์แก้ว</t>
  </si>
  <si>
    <t>นาง ปิยมาลย์</t>
  </si>
  <si>
    <t>วารินกุด</t>
  </si>
  <si>
    <t>งามสม</t>
  </si>
  <si>
    <t>แสงกมล</t>
  </si>
  <si>
    <t>นาง ลำไพ</t>
  </si>
  <si>
    <t>นาง นงรักษ์</t>
  </si>
  <si>
    <t>นาง วัชนีย์</t>
  </si>
  <si>
    <t>ปรีสมบูรณ์</t>
  </si>
  <si>
    <t>สุขบัว</t>
  </si>
  <si>
    <t>นาย วรกุล</t>
  </si>
  <si>
    <t>บุตรดาจักร</t>
  </si>
  <si>
    <t>นาง หนูคาน</t>
  </si>
  <si>
    <t>โตมร</t>
  </si>
  <si>
    <t>นาย พงษ์สวัสดิ์</t>
  </si>
  <si>
    <t>พลประเสริฐ</t>
  </si>
  <si>
    <t>ราคายิ่ง</t>
  </si>
  <si>
    <t>หงส์พูนพิพัฒน์</t>
  </si>
  <si>
    <t>มีโพนทอง</t>
  </si>
  <si>
    <t>นาย พีรวัฒน์</t>
  </si>
  <si>
    <t>มาสืบชาติ</t>
  </si>
  <si>
    <t>นาย สัจจา</t>
  </si>
  <si>
    <t>สัตตานุสรณ์</t>
  </si>
  <si>
    <t>นาย เกตุ</t>
  </si>
  <si>
    <t>นาง สุรีพร</t>
  </si>
  <si>
    <t>ปทุมชัย</t>
  </si>
  <si>
    <t>นาย ธิติ</t>
  </si>
  <si>
    <t>คลังสามี</t>
  </si>
  <si>
    <t>เล่ห์ภูเขียว</t>
  </si>
  <si>
    <t>ขาวอ่อน</t>
  </si>
  <si>
    <t>นาย พีระศักดิ์</t>
  </si>
  <si>
    <t>ศรีรัตน์</t>
  </si>
  <si>
    <t>วรรณพงษ์</t>
  </si>
  <si>
    <t>นาย สุพิธ</t>
  </si>
  <si>
    <t>ทองจ่าม</t>
  </si>
  <si>
    <t>ไชยนาพันธุ์</t>
  </si>
  <si>
    <t xml:space="preserve">พลสิทธิ์ </t>
  </si>
  <si>
    <t>คุณปัญญา</t>
  </si>
  <si>
    <t xml:space="preserve">นางสาว นวลนภา </t>
  </si>
  <si>
    <t xml:space="preserve">วิลาดลัด </t>
  </si>
  <si>
    <t>นางสาว ปาริชาติ</t>
  </si>
  <si>
    <t>โสพัฒน์</t>
  </si>
  <si>
    <t>บุรัมย์สูงเนิน</t>
  </si>
  <si>
    <t>นาย เสนีย์</t>
  </si>
  <si>
    <t>ฤทธิ์สุนทร</t>
  </si>
  <si>
    <t>มาลี</t>
  </si>
  <si>
    <t>บรรเลง</t>
  </si>
  <si>
    <t>มูลตรีศรี</t>
  </si>
  <si>
    <t>นางสาว สุรัศณา</t>
  </si>
  <si>
    <t>มาตุรงค์</t>
  </si>
  <si>
    <t>ทองหล่อ</t>
  </si>
  <si>
    <t>นาง รัตติยาพร</t>
  </si>
  <si>
    <t>ปราชญาวงศ์</t>
  </si>
  <si>
    <t>นางสาว สุธาริน</t>
  </si>
  <si>
    <t>แก้วภิภพ</t>
  </si>
  <si>
    <t xml:space="preserve">นาย ภาสกรณ์ </t>
  </si>
  <si>
    <t xml:space="preserve">น้อยเมือง </t>
  </si>
  <si>
    <t xml:space="preserve">นาง ศุริสา </t>
  </si>
  <si>
    <t xml:space="preserve">เตรียมตัว </t>
  </si>
  <si>
    <t xml:space="preserve">กันยา </t>
  </si>
  <si>
    <t xml:space="preserve">นางสาว สาริกา </t>
  </si>
  <si>
    <t>จันทร์ชมภู</t>
  </si>
  <si>
    <t xml:space="preserve">นางสาว มาลัย </t>
  </si>
  <si>
    <t>เบ้ารัตน์</t>
  </si>
  <si>
    <t>ชูชีพ</t>
  </si>
  <si>
    <t>นางสาว เกษณี</t>
  </si>
  <si>
    <t>ไกยเกษ</t>
  </si>
  <si>
    <t>นางสาว สุนารี</t>
  </si>
  <si>
    <t>ผางน้ำคำ</t>
  </si>
  <si>
    <t xml:space="preserve">นางสาว วัชราพร </t>
  </si>
  <si>
    <t xml:space="preserve">ไชยน้อย </t>
  </si>
  <si>
    <t xml:space="preserve">นาง สุพรรณี </t>
  </si>
  <si>
    <t>ภาคำตา</t>
  </si>
  <si>
    <t xml:space="preserve">นาย วุฒิไกร </t>
  </si>
  <si>
    <t xml:space="preserve">คุ้มโนนไชย </t>
  </si>
  <si>
    <t xml:space="preserve">นางสาว ช่อผกา </t>
  </si>
  <si>
    <t xml:space="preserve">มาชาดี </t>
  </si>
  <si>
    <t>สิทธิโชติ</t>
  </si>
  <si>
    <t>นาย อำพน</t>
  </si>
  <si>
    <t xml:space="preserve">นาย ขจรศักดิ์ชนัน </t>
  </si>
  <si>
    <t>จิตภิลัย</t>
  </si>
  <si>
    <t>นาง สุพรรษา</t>
  </si>
  <si>
    <t xml:space="preserve">ราชบัวศรี </t>
  </si>
  <si>
    <t>นาง แพรวพรรณ</t>
  </si>
  <si>
    <t xml:space="preserve">รัตนชัย </t>
  </si>
  <si>
    <t xml:space="preserve">นางสาว พัชรดา </t>
  </si>
  <si>
    <t xml:space="preserve">ทองลา </t>
  </si>
  <si>
    <t>นางสาว จิตติพร</t>
  </si>
  <si>
    <t>พูลพงษ์</t>
  </si>
  <si>
    <t>นาง นรีรัตน์</t>
  </si>
  <si>
    <t>สุนทรกุล</t>
  </si>
  <si>
    <t>บุตรด้วง</t>
  </si>
  <si>
    <t xml:space="preserve">นางสาว สุภาลักษณ์ </t>
  </si>
  <si>
    <t xml:space="preserve">เกษารัตน์ </t>
  </si>
  <si>
    <t>ไทยฤทธิ์</t>
  </si>
  <si>
    <t xml:space="preserve">วรรักษ์ </t>
  </si>
  <si>
    <t xml:space="preserve">นานินนท์ </t>
  </si>
  <si>
    <t>เมืองนาม</t>
  </si>
  <si>
    <t xml:space="preserve">มวลเมืองสอง </t>
  </si>
  <si>
    <t>นางสาว เนตรนภา</t>
  </si>
  <si>
    <t>สุนทรศารทูล</t>
  </si>
  <si>
    <t>ตาดี</t>
  </si>
  <si>
    <t>นาง ปุณยวีย์</t>
  </si>
  <si>
    <t xml:space="preserve">นาง มันทนา </t>
  </si>
  <si>
    <t xml:space="preserve">ฝั้นเครือ </t>
  </si>
  <si>
    <t>สิริรัตนาวรกุล</t>
  </si>
  <si>
    <t>นาง อัจฉราพร</t>
  </si>
  <si>
    <t>ปินตาแก้ว</t>
  </si>
  <si>
    <t>ชัยชิต</t>
  </si>
  <si>
    <t>นาย บรรหาร</t>
  </si>
  <si>
    <t>ศักดา</t>
  </si>
  <si>
    <t>นาย ภัทรกฤต</t>
  </si>
  <si>
    <t>ขาเมระนิยะ</t>
  </si>
  <si>
    <t>กลางนคร</t>
  </si>
  <si>
    <t>นาย ราวุธ</t>
  </si>
  <si>
    <t>โคโตสี</t>
  </si>
  <si>
    <t>นาย บุรินทร์</t>
  </si>
  <si>
    <t>ศรีสุภาพ</t>
  </si>
  <si>
    <t>จันทะวงค์</t>
  </si>
  <si>
    <t>พลาหาญ</t>
  </si>
  <si>
    <t>พันหนอง</t>
  </si>
  <si>
    <t>นาย เกษตร</t>
  </si>
  <si>
    <t>นาง สาคร</t>
  </si>
  <si>
    <t>ลัคนากาล</t>
  </si>
  <si>
    <t>กิตติตระกูล</t>
  </si>
  <si>
    <t>คำภาพงษา</t>
  </si>
  <si>
    <t>ระวังกิ่ง</t>
  </si>
  <si>
    <t>จำปาทอง</t>
  </si>
  <si>
    <t>นาย ชารี</t>
  </si>
  <si>
    <t>บุญเฮ้า</t>
  </si>
  <si>
    <t>ตาลป่าหว่าน</t>
  </si>
  <si>
    <t>ผิวนวล</t>
  </si>
  <si>
    <t>นาย เลื่อนศักดิ์</t>
  </si>
  <si>
    <t>สุหะลา</t>
  </si>
  <si>
    <t>สอดแสวง</t>
  </si>
  <si>
    <t>ดอนเกิด</t>
  </si>
  <si>
    <t>ดลเอี่ยม</t>
  </si>
  <si>
    <t>ก่องขันธ์</t>
  </si>
  <si>
    <t>ผาสุข</t>
  </si>
  <si>
    <t>มากมูล</t>
  </si>
  <si>
    <t>นาย สุวันชัย</t>
  </si>
  <si>
    <t>สิบหมู่</t>
  </si>
  <si>
    <t>นาง เกตแก้ว</t>
  </si>
  <si>
    <t>ปัตถา</t>
  </si>
  <si>
    <t>รัฐปรัชญา</t>
  </si>
  <si>
    <t>พรหมฤทธิ์</t>
  </si>
  <si>
    <t>นาง กิตติรัตน์</t>
  </si>
  <si>
    <t>เวชสิทธิ์</t>
  </si>
  <si>
    <t>นาย บุญเรือง</t>
  </si>
  <si>
    <t>พันธุระ</t>
  </si>
  <si>
    <t>เคยสนิท</t>
  </si>
  <si>
    <t>ลิ้มวัฒนชัย</t>
  </si>
  <si>
    <t>ยุทธเกษมสันต์</t>
  </si>
  <si>
    <t xml:space="preserve">นาย รณเดช </t>
  </si>
  <si>
    <t xml:space="preserve">มงคลสวัสดิ์ </t>
  </si>
  <si>
    <t>ทิพยารมย์</t>
  </si>
  <si>
    <t>นาง มลทนา</t>
  </si>
  <si>
    <t>โคตรชัย</t>
  </si>
  <si>
    <t>สุริยะโรจน์</t>
  </si>
  <si>
    <t xml:space="preserve">นางสาว สุภลักษณ์ </t>
  </si>
  <si>
    <t>โนภาส</t>
  </si>
  <si>
    <t>นาย บุญวัฒน์</t>
  </si>
  <si>
    <t>สุริยะวงษ์</t>
  </si>
  <si>
    <t>อุทัยชัย</t>
  </si>
  <si>
    <t>นาคหมื่นไวย์</t>
  </si>
  <si>
    <t>ศรีหงษ์</t>
  </si>
  <si>
    <t>นาย ธิติณัฎฐ์</t>
  </si>
  <si>
    <t>กาญจนวลีกุล</t>
  </si>
  <si>
    <t>ราตรี</t>
  </si>
  <si>
    <t>พันธ์ศิริ</t>
  </si>
  <si>
    <t xml:space="preserve">นางสาว อิงอร </t>
  </si>
  <si>
    <t xml:space="preserve">พุทธกูล </t>
  </si>
  <si>
    <t>หมวดไธสง</t>
  </si>
  <si>
    <t>นาย สัณฐาน</t>
  </si>
  <si>
    <t>นวลใหม่</t>
  </si>
  <si>
    <t>วงศ์ใหญ่</t>
  </si>
  <si>
    <t>นาย พินิตย์</t>
  </si>
  <si>
    <t>โนวะ</t>
  </si>
  <si>
    <t>นาง สุบิน</t>
  </si>
  <si>
    <t>สิงห์นาครอง</t>
  </si>
  <si>
    <t>บุตรดีวงศ์</t>
  </si>
  <si>
    <t>มูลศรี</t>
  </si>
  <si>
    <t>นาย วิทูล</t>
  </si>
  <si>
    <t>ศรีบุญเลิศ</t>
  </si>
  <si>
    <t>นาย วรรณลภย์</t>
  </si>
  <si>
    <t>นาย คงกิจ</t>
  </si>
  <si>
    <t>วิลาศรี</t>
  </si>
  <si>
    <t>นาย อภัย</t>
  </si>
  <si>
    <t>เคนาอุประ</t>
  </si>
  <si>
    <t>นางสาว กนกนภัส</t>
  </si>
  <si>
    <t>ทันจันทร์</t>
  </si>
  <si>
    <t>คงสมของ</t>
  </si>
  <si>
    <t>นาย เวียน</t>
  </si>
  <si>
    <t>นาย สุรัส</t>
  </si>
  <si>
    <t>พิลาฤทธิ์</t>
  </si>
  <si>
    <t>จอมทิพย์</t>
  </si>
  <si>
    <t>วงค์ชัยยา</t>
  </si>
  <si>
    <t>สิงหศิริ</t>
  </si>
  <si>
    <t>นางสาว อินทนิล</t>
  </si>
  <si>
    <t>นิลเกตุ</t>
  </si>
  <si>
    <t>ขันติยู</t>
  </si>
  <si>
    <t>โคตรรักษา</t>
  </si>
  <si>
    <t>วงทองคำ</t>
  </si>
  <si>
    <t>ไตรยางค์</t>
  </si>
  <si>
    <t>นาง กฤษณาพร</t>
  </si>
  <si>
    <t>นาทองคำ</t>
  </si>
  <si>
    <t xml:space="preserve">นางสาว สิริกาญจน์ </t>
  </si>
  <si>
    <t>ชนะภัทรพงษ์</t>
  </si>
  <si>
    <t xml:space="preserve">นาย นาวินทร์ </t>
  </si>
  <si>
    <t xml:space="preserve">แก้วดวง </t>
  </si>
  <si>
    <t xml:space="preserve">นาย ณัฐวีร์ </t>
  </si>
  <si>
    <t>ยาศิริ</t>
  </si>
  <si>
    <t>นาย ปราโมตร</t>
  </si>
  <si>
    <t xml:space="preserve">อุปสัย </t>
  </si>
  <si>
    <t>อุปสัย</t>
  </si>
  <si>
    <t xml:space="preserve">ลุนมาตร </t>
  </si>
  <si>
    <t xml:space="preserve">นางสาว ศิริประภา </t>
  </si>
  <si>
    <t xml:space="preserve">วงศ์แสนไชย </t>
  </si>
  <si>
    <t xml:space="preserve">นาง สุวารี </t>
  </si>
  <si>
    <t>วันทะนิตย์ ขันติยู</t>
  </si>
  <si>
    <t>นาย วิทวัส</t>
  </si>
  <si>
    <t>นางสาว ปิยะดา</t>
  </si>
  <si>
    <t>สุภเทพ</t>
  </si>
  <si>
    <t xml:space="preserve">นาย สมัคร </t>
  </si>
  <si>
    <t xml:space="preserve">นาทองคำ </t>
  </si>
  <si>
    <t>นาย ธนัชชาติ</t>
  </si>
  <si>
    <t>ทรัพย์จี่</t>
  </si>
  <si>
    <t xml:space="preserve">นาง กรรณิกา </t>
  </si>
  <si>
    <t>นาย สมดุลย์</t>
  </si>
  <si>
    <t>พวกเกาะ</t>
  </si>
  <si>
    <t>ปรีพูล</t>
  </si>
  <si>
    <t>ศรีทวี</t>
  </si>
  <si>
    <t>นาง จันสุดา</t>
  </si>
  <si>
    <t>สุขกสี</t>
  </si>
  <si>
    <t xml:space="preserve">สอนชา </t>
  </si>
  <si>
    <t>นางสาว ปภิญญา</t>
  </si>
  <si>
    <t>นามวงศ์ศรี</t>
  </si>
  <si>
    <t xml:space="preserve">นาย กฤษณพงศ์ </t>
  </si>
  <si>
    <t>โต่นวุธ</t>
  </si>
  <si>
    <t>นาง สมลักษณ์</t>
  </si>
  <si>
    <t>สุนย์ตะคุ</t>
  </si>
  <si>
    <t>เกษพิชัยณรงค์</t>
  </si>
  <si>
    <t>นาย พันแสง</t>
  </si>
  <si>
    <t>แสงโสภณ</t>
  </si>
  <si>
    <t>มะลิซ้อน</t>
  </si>
  <si>
    <t>สิงห์คำป้อง</t>
  </si>
  <si>
    <t>ช่วงฉ่ำ</t>
  </si>
  <si>
    <t>มั่นเมือง</t>
  </si>
  <si>
    <t>ทองประชุม</t>
  </si>
  <si>
    <t>นาย ไพบูล</t>
  </si>
  <si>
    <t>เพียรการค้า</t>
  </si>
  <si>
    <t>อินมะณี</t>
  </si>
  <si>
    <t>กล่อมนัทธี</t>
  </si>
  <si>
    <t>ถุงเงิน</t>
  </si>
  <si>
    <t>พ่วงดี</t>
  </si>
  <si>
    <t>อ่ำสกุล</t>
  </si>
  <si>
    <t>นาย เฉลิมวุฒิ</t>
  </si>
  <si>
    <t>คงขำ</t>
  </si>
  <si>
    <t>นาง พิมพ์ณภา</t>
  </si>
  <si>
    <t>กิจสุคุณรัตน์</t>
  </si>
  <si>
    <t>นาย สมลักษณ์</t>
  </si>
  <si>
    <t>ชาตเจริญ</t>
  </si>
  <si>
    <t>เพิ่มพิพัฒน์</t>
  </si>
  <si>
    <t>แช่มเฉย</t>
  </si>
  <si>
    <t>นาย วาว</t>
  </si>
  <si>
    <t>จำลอง</t>
  </si>
  <si>
    <t>นางสาว โชตนา</t>
  </si>
  <si>
    <t>ลิ่มสอน</t>
  </si>
  <si>
    <t>หอมหวล</t>
  </si>
  <si>
    <t xml:space="preserve">นางสาว วิไลรัตน์ </t>
  </si>
  <si>
    <t xml:space="preserve">ฤกษ์วิรี </t>
  </si>
  <si>
    <t xml:space="preserve">นาง จันทนา </t>
  </si>
  <si>
    <t xml:space="preserve">โอสถกระพันธ์ </t>
  </si>
  <si>
    <t>นาย สายัน</t>
  </si>
  <si>
    <t>นาย สมพิศ</t>
  </si>
  <si>
    <t>โตเสม</t>
  </si>
  <si>
    <t>นาง ศิริธร</t>
  </si>
  <si>
    <t>นาย จิรพงษ์</t>
  </si>
  <si>
    <t>นาง กัญญาศิริ</t>
  </si>
  <si>
    <t>นาคสำฤทธิ์</t>
  </si>
  <si>
    <t>สุขโชติ</t>
  </si>
  <si>
    <t>นางสาว สุธารัตน์</t>
  </si>
  <si>
    <t>คงสุวรรณ์</t>
  </si>
  <si>
    <t>สาครตานันท์</t>
  </si>
  <si>
    <t xml:space="preserve">นาย พงษภัทร </t>
  </si>
  <si>
    <t xml:space="preserve">คงเจริญ </t>
  </si>
  <si>
    <t xml:space="preserve">แก้วกระจ่าง </t>
  </si>
  <si>
    <t>วงษ์ปาน</t>
  </si>
  <si>
    <t>ชมภูนุช</t>
  </si>
  <si>
    <t>นางสาว บุญญารัตน์</t>
  </si>
  <si>
    <t>เครือวัลย์</t>
  </si>
  <si>
    <t>นาย กนกสิน</t>
  </si>
  <si>
    <t>ธาราพงษ์</t>
  </si>
  <si>
    <t xml:space="preserve">นางสาว ดวงรัตน์ </t>
  </si>
  <si>
    <t>ช่วยชูเชิด</t>
  </si>
  <si>
    <t xml:space="preserve">มีทอง </t>
  </si>
  <si>
    <t xml:space="preserve">นาย สุทธิ </t>
  </si>
  <si>
    <t xml:space="preserve">สุทธิกุล </t>
  </si>
  <si>
    <t>นางสาว ภัทรวดี</t>
  </si>
  <si>
    <t>จักรคำ</t>
  </si>
  <si>
    <t>ด้วงดารา</t>
  </si>
  <si>
    <t>นางสาว ดวงฤทัย</t>
  </si>
  <si>
    <t>ธรรมอนันต์</t>
  </si>
  <si>
    <t>นาย นิมิตต์</t>
  </si>
  <si>
    <t>ภู่ระย้า</t>
  </si>
  <si>
    <t>นาย ชัชวิสุ</t>
  </si>
  <si>
    <t>ฟองเพชร์</t>
  </si>
  <si>
    <t xml:space="preserve">นางสาว สุนีย์ </t>
  </si>
  <si>
    <t>สุขกาศรี</t>
  </si>
  <si>
    <t>นางสาว ฑิฆัมพร</t>
  </si>
  <si>
    <t xml:space="preserve">สีทองแจ้ง </t>
  </si>
  <si>
    <t>นาย ศักดิ์กมล</t>
  </si>
  <si>
    <t>สุริยกมล</t>
  </si>
  <si>
    <t>ป้อมเชียงพิณ</t>
  </si>
  <si>
    <t>นาย วิมุติ</t>
  </si>
  <si>
    <t>นาง รัศมี</t>
  </si>
  <si>
    <t>ดวงเงิน</t>
  </si>
  <si>
    <t>สำราญรัมย์</t>
  </si>
  <si>
    <t>จันทเขต</t>
  </si>
  <si>
    <t>กอโพธิ์ศรี</t>
  </si>
  <si>
    <t>อินทร์อุดม</t>
  </si>
  <si>
    <t>บุตรเต</t>
  </si>
  <si>
    <t>นาย เนตร</t>
  </si>
  <si>
    <t>นักบุญ</t>
  </si>
  <si>
    <t>ธิบูรณ์บุญ</t>
  </si>
  <si>
    <t>เบิกบานดี</t>
  </si>
  <si>
    <t>นาย บุญลิน</t>
  </si>
  <si>
    <t>บุญมาแคน</t>
  </si>
  <si>
    <t>ดรบุญล้น</t>
  </si>
  <si>
    <t>นาง มณีวรรณ</t>
  </si>
  <si>
    <t>บ่อคำเกิด</t>
  </si>
  <si>
    <t>นาง ละเอียด</t>
  </si>
  <si>
    <t>ปัญเศษ</t>
  </si>
  <si>
    <t>แฝงสวรรค์</t>
  </si>
  <si>
    <t>นาย ทรงยุทธ</t>
  </si>
  <si>
    <t>ขันติประกอบ</t>
  </si>
  <si>
    <t>บัวทองหลาง</t>
  </si>
  <si>
    <t>งามจบ</t>
  </si>
  <si>
    <t>จันทโชติ</t>
  </si>
  <si>
    <t>นาง พิลัยลักษณ์</t>
  </si>
  <si>
    <t>หล้าทุม</t>
  </si>
  <si>
    <t>เครือแสน</t>
  </si>
  <si>
    <t>นาย ธง</t>
  </si>
  <si>
    <t>ช้างรักษา</t>
  </si>
  <si>
    <t>นาง พัชราพร</t>
  </si>
  <si>
    <t>ศรีมงคลบูลย์</t>
  </si>
  <si>
    <t>นาย เนรมิตร</t>
  </si>
  <si>
    <t>มัชฌิมา</t>
  </si>
  <si>
    <t>นาย สุวัตร์</t>
  </si>
  <si>
    <t>ศรีโททุม</t>
  </si>
  <si>
    <t>นาง ทองแปลง</t>
  </si>
  <si>
    <t>อุทาโย</t>
  </si>
  <si>
    <t>นาย ประสิทธิ</t>
  </si>
  <si>
    <t>วิเศษศักดิ์</t>
  </si>
  <si>
    <t>นาย ชวนนท์</t>
  </si>
  <si>
    <t>ศิริบาล</t>
  </si>
  <si>
    <t>ศรีช้างสาร</t>
  </si>
  <si>
    <t>เจริญพันธ์</t>
  </si>
  <si>
    <t>ญาติปลื้ม</t>
  </si>
  <si>
    <t>เมฆโพธิ์</t>
  </si>
  <si>
    <t>เอโกบล</t>
  </si>
  <si>
    <t>นาย สะไกร</t>
  </si>
  <si>
    <t>พาดี</t>
  </si>
  <si>
    <t>นาย ทินรัชต์</t>
  </si>
  <si>
    <t>นามแสง</t>
  </si>
  <si>
    <t>ทิงกระโทก</t>
  </si>
  <si>
    <t>ศักดาพิทักษ์</t>
  </si>
  <si>
    <t>จันทโรมา</t>
  </si>
  <si>
    <t>สิงหะสุริยะ</t>
  </si>
  <si>
    <t>บุตรินดา</t>
  </si>
  <si>
    <t>พงษ์พิมาย</t>
  </si>
  <si>
    <t>สอนไธสง</t>
  </si>
  <si>
    <t>นาย เอกภาส</t>
  </si>
  <si>
    <t>สุขสูงเนิน</t>
  </si>
  <si>
    <t>น้อยยะ</t>
  </si>
  <si>
    <t>นาย มณเฑียร</t>
  </si>
  <si>
    <t>รู้กิจ</t>
  </si>
  <si>
    <t>ออมอด</t>
  </si>
  <si>
    <t>นาย ประเกียรติ</t>
  </si>
  <si>
    <t>นิลตีบ</t>
  </si>
  <si>
    <t>รักสุจริต</t>
  </si>
  <si>
    <t>ไขแสง</t>
  </si>
  <si>
    <t>นาง รัตติยา</t>
  </si>
  <si>
    <t>นาย พิบูลย์</t>
  </si>
  <si>
    <t>ไชยฮ้อย</t>
  </si>
  <si>
    <t>พิมพ์บุตร</t>
  </si>
  <si>
    <t xml:space="preserve">เชาวลิต </t>
  </si>
  <si>
    <t>จันดาเบ้า</t>
  </si>
  <si>
    <t>วิชัยวงศ์</t>
  </si>
  <si>
    <t>มีเกาะ</t>
  </si>
  <si>
    <t>เทียนสว่าง</t>
  </si>
  <si>
    <t>นาย น้อย</t>
  </si>
  <si>
    <t>ภพสว่าง</t>
  </si>
  <si>
    <t>นางสาว นันทพัชญ์</t>
  </si>
  <si>
    <t>แซ่ตั้ง</t>
  </si>
  <si>
    <t xml:space="preserve">ทองมณี </t>
  </si>
  <si>
    <t>จันทร์เต็มดวง</t>
  </si>
  <si>
    <t xml:space="preserve">หอมนาน </t>
  </si>
  <si>
    <t>สามบุญเรือง</t>
  </si>
  <si>
    <t xml:space="preserve">นางสาว จารุพร </t>
  </si>
  <si>
    <t xml:space="preserve">เจริญแสงชัย </t>
  </si>
  <si>
    <t>นางสาว ธนาภรณ์</t>
  </si>
  <si>
    <t>ระดมเล็ก</t>
  </si>
  <si>
    <t>นาย ธนนนท์</t>
  </si>
  <si>
    <t>นางสาว ยุภาวดี</t>
  </si>
  <si>
    <t>มีสิงห์</t>
  </si>
  <si>
    <t xml:space="preserve">ช่างผัสส์ </t>
  </si>
  <si>
    <t xml:space="preserve">นาย ธีระภรพัชร์ </t>
  </si>
  <si>
    <t>เนื่องโคตะ</t>
  </si>
  <si>
    <t>นพเคราะห์</t>
  </si>
  <si>
    <t xml:space="preserve">นาย กิตติพล </t>
  </si>
  <si>
    <t>ชินตุ</t>
  </si>
  <si>
    <t>นาย ศุภวรรธน์</t>
  </si>
  <si>
    <t>แสนกุล</t>
  </si>
  <si>
    <t>สีเหม่น</t>
  </si>
  <si>
    <t>หมื่นกุล</t>
  </si>
  <si>
    <t xml:space="preserve">นาง พัชราวดี </t>
  </si>
  <si>
    <t>เอ็นมาก</t>
  </si>
  <si>
    <t xml:space="preserve">นาง พิมพ์ใจ </t>
  </si>
  <si>
    <t xml:space="preserve">วงศ์อนุ </t>
  </si>
  <si>
    <t xml:space="preserve">นาย ธนายุทธ </t>
  </si>
  <si>
    <t xml:space="preserve">ยักขลา </t>
  </si>
  <si>
    <t xml:space="preserve">นาง อัจฉริยาภรณ์ </t>
  </si>
  <si>
    <t xml:space="preserve">จันทดี </t>
  </si>
  <si>
    <t>สุขนาแซง</t>
  </si>
  <si>
    <t>นางสาว ปภัทร์สิริ</t>
  </si>
  <si>
    <t xml:space="preserve">ยุพิน </t>
  </si>
  <si>
    <t>ฐานะ</t>
  </si>
  <si>
    <t>ศรีนอก</t>
  </si>
  <si>
    <t>นาง อมลวรรณ</t>
  </si>
  <si>
    <t>อรัญเสน</t>
  </si>
  <si>
    <t>โคตรโมลี</t>
  </si>
  <si>
    <t>นาย อริยะ</t>
  </si>
  <si>
    <t>ผิวเหลือง</t>
  </si>
  <si>
    <t>นาย อนุวัตร</t>
  </si>
  <si>
    <t>มังคละแสน</t>
  </si>
  <si>
    <t>เหมยคำสุข</t>
  </si>
  <si>
    <t>กรมธรรมา</t>
  </si>
  <si>
    <t>พิมพ์โคตร</t>
  </si>
  <si>
    <t>เสงี่ยมธนไชโย</t>
  </si>
  <si>
    <t>เพิ่มชีวา</t>
  </si>
  <si>
    <t>พึ่งตระกูล</t>
  </si>
  <si>
    <t>นาง รวงทอง</t>
  </si>
  <si>
    <t>พิมพ์กา</t>
  </si>
  <si>
    <t>มูลเสน</t>
  </si>
  <si>
    <t>พันชน</t>
  </si>
  <si>
    <t>นาย ดำรงศักดิ์</t>
  </si>
  <si>
    <t>ทรงอาจ</t>
  </si>
  <si>
    <t>ดีมั่น</t>
  </si>
  <si>
    <t>นาง บานชื่น</t>
  </si>
  <si>
    <t>นาย จุฬาลักษ์</t>
  </si>
  <si>
    <t>มณีจันทร์</t>
  </si>
  <si>
    <t>ไชยวงค์คำ</t>
  </si>
  <si>
    <t>นาง ชอุ่ม</t>
  </si>
  <si>
    <t>นาย วิทิตย์</t>
  </si>
  <si>
    <t>ชุ่มบัวทอง</t>
  </si>
  <si>
    <t>บุญรัตน์</t>
  </si>
  <si>
    <t>นาง ผไทมาศ</t>
  </si>
  <si>
    <t>วิรุฬปักษี</t>
  </si>
  <si>
    <t xml:space="preserve">นาย ปกภณ </t>
  </si>
  <si>
    <t>เครือแก้ว</t>
  </si>
  <si>
    <t>นามพิลา</t>
  </si>
  <si>
    <t>นาย ศิริพงษ์</t>
  </si>
  <si>
    <t>เวชพันธุ์</t>
  </si>
  <si>
    <t>ลีจำนงค์</t>
  </si>
  <si>
    <t>บุญก้านตง</t>
  </si>
  <si>
    <t>เพ็ชรไพโรจน์</t>
  </si>
  <si>
    <t>อินทมา</t>
  </si>
  <si>
    <t>วงษ์สิงห์</t>
  </si>
  <si>
    <t>ขันซ้อน</t>
  </si>
  <si>
    <t xml:space="preserve">นางสาว ณัฐนันท์ </t>
  </si>
  <si>
    <t>ศรีนพรัตน์</t>
  </si>
  <si>
    <t>ชาติวัฒนสุคนธ์</t>
  </si>
  <si>
    <t>นางสาว พิณนา</t>
  </si>
  <si>
    <t>นางสาว ธัญญทิพย์</t>
  </si>
  <si>
    <t>ธรรมวงษา</t>
  </si>
  <si>
    <t>จันดาหาร</t>
  </si>
  <si>
    <t>รวมออม</t>
  </si>
  <si>
    <t>สาขามุละ</t>
  </si>
  <si>
    <t>ดลสมบูรณ์</t>
  </si>
  <si>
    <t>อารีย์วงษ์</t>
  </si>
  <si>
    <t>นาย เดชทวี</t>
  </si>
  <si>
    <t>โสภาศรี</t>
  </si>
  <si>
    <t>ตรีนนท์</t>
  </si>
  <si>
    <t>นางสาว นันท์นภัสร์</t>
  </si>
  <si>
    <t>ศรีสมุทร</t>
  </si>
  <si>
    <t>ตู้เจริญ</t>
  </si>
  <si>
    <t>นาย เอกวัฒน์</t>
  </si>
  <si>
    <t>ฮามวงศ์</t>
  </si>
  <si>
    <t>นาย สมภรณ์</t>
  </si>
  <si>
    <t>โทวันนัง</t>
  </si>
  <si>
    <t>นาง สุรี</t>
  </si>
  <si>
    <t>โพธิ์นาม</t>
  </si>
  <si>
    <t>นางสาว เกษร</t>
  </si>
  <si>
    <t>ศิริโยธา</t>
  </si>
  <si>
    <t>นาย เฉลิมพน</t>
  </si>
  <si>
    <t>ทวีผล</t>
  </si>
  <si>
    <t>นางสาว สีดา</t>
  </si>
  <si>
    <t>มูลทิพย์</t>
  </si>
  <si>
    <t>ศรีพันธบุตร</t>
  </si>
  <si>
    <t>นาง มรรษวรรณ</t>
  </si>
  <si>
    <t>นางสาว หนึ่งฤทัย</t>
  </si>
  <si>
    <t>ทิพย์กรรณ</t>
  </si>
  <si>
    <t>วรรณมะกอก</t>
  </si>
  <si>
    <t>นาย สุปัญญา</t>
  </si>
  <si>
    <t xml:space="preserve">คำภักดี </t>
  </si>
  <si>
    <t xml:space="preserve">นาง นารากร </t>
  </si>
  <si>
    <t>ชาร์มา</t>
  </si>
  <si>
    <t>นางสาว ทิพย์วรรณ์</t>
  </si>
  <si>
    <t xml:space="preserve">กะตะสิลา </t>
  </si>
  <si>
    <t xml:space="preserve">นาย ธงชัย </t>
  </si>
  <si>
    <t>พรหมศร</t>
  </si>
  <si>
    <t xml:space="preserve">นางสาว จารุณี </t>
  </si>
  <si>
    <t>สีดาบุตร</t>
  </si>
  <si>
    <t xml:space="preserve">นางสาว จุฑามาส </t>
  </si>
  <si>
    <t xml:space="preserve">ภู่ทวี </t>
  </si>
  <si>
    <t xml:space="preserve">นิมาลา </t>
  </si>
  <si>
    <t xml:space="preserve">นางสาว ชโลธร </t>
  </si>
  <si>
    <t xml:space="preserve">วรรณสนธ์ </t>
  </si>
  <si>
    <t>นาย ประครอง</t>
  </si>
  <si>
    <t>สีสองคอน</t>
  </si>
  <si>
    <t xml:space="preserve">นางสาว ปรียาภรณ์ </t>
  </si>
  <si>
    <t>ธัญญเชียงพิณ</t>
  </si>
  <si>
    <t xml:space="preserve">วันศรี </t>
  </si>
  <si>
    <t>ออกตลาด</t>
  </si>
  <si>
    <t xml:space="preserve">ภูยอดนิล </t>
  </si>
  <si>
    <t xml:space="preserve">นาย อดิสรณ์ </t>
  </si>
  <si>
    <t>ประจันตะเสน</t>
  </si>
  <si>
    <t xml:space="preserve">นางสาว กรกต </t>
  </si>
  <si>
    <t xml:space="preserve">สุนทรกุล </t>
  </si>
  <si>
    <t xml:space="preserve">นางสาว ณัชชา </t>
  </si>
  <si>
    <t xml:space="preserve">วงษ์ศรีแก้ว </t>
  </si>
  <si>
    <t xml:space="preserve">นาง โศภิษฐ์ </t>
  </si>
  <si>
    <t xml:space="preserve">โคตรบุตร </t>
  </si>
  <si>
    <t xml:space="preserve">นางสาว ดวงเดือน </t>
  </si>
  <si>
    <t xml:space="preserve">คุณาวัตร </t>
  </si>
  <si>
    <t>นางสาว จิตชยา</t>
  </si>
  <si>
    <t>อนุภาพ</t>
  </si>
  <si>
    <t>ประกอบกุล</t>
  </si>
  <si>
    <t>นางสาว วิจิตตรา</t>
  </si>
  <si>
    <t>จันทรเสนา</t>
  </si>
  <si>
    <t xml:space="preserve">อินกอง </t>
  </si>
  <si>
    <t>วรรักษ์</t>
  </si>
  <si>
    <t>ไชยเวศ</t>
  </si>
  <si>
    <t>นาย วรัญญู</t>
  </si>
  <si>
    <t>พจน์ไพเราะ</t>
  </si>
  <si>
    <t xml:space="preserve">นาย ธนาธิป </t>
  </si>
  <si>
    <t xml:space="preserve">ดีวิเศษ </t>
  </si>
  <si>
    <t>นักรำ</t>
  </si>
  <si>
    <t xml:space="preserve">แพงแสน </t>
  </si>
  <si>
    <t xml:space="preserve">ชาภูธร </t>
  </si>
  <si>
    <t xml:space="preserve">นางสาว นวลอนงค์ </t>
  </si>
  <si>
    <t xml:space="preserve">ปะริเวทัง </t>
  </si>
  <si>
    <t>สาสีทะ</t>
  </si>
  <si>
    <t>นางสาว ทักษรา</t>
  </si>
  <si>
    <t>ศิริจันดา</t>
  </si>
  <si>
    <t>ทองมณี</t>
  </si>
  <si>
    <t>หังสะไวศยะ</t>
  </si>
  <si>
    <t xml:space="preserve">นางสาว เกษรินทร์ </t>
  </si>
  <si>
    <t xml:space="preserve">แสนใจ </t>
  </si>
  <si>
    <t>แสนสัจจะ</t>
  </si>
  <si>
    <t xml:space="preserve">นางสาว ปณิตตรา </t>
  </si>
  <si>
    <t xml:space="preserve">นันทะชัย </t>
  </si>
  <si>
    <t xml:space="preserve">นางสาว พฤกจิกา </t>
  </si>
  <si>
    <t xml:space="preserve">กันทาแจ่ม </t>
  </si>
  <si>
    <t xml:space="preserve">นางสาว ธราภรณ์ </t>
  </si>
  <si>
    <t xml:space="preserve">พันกันทะ </t>
  </si>
  <si>
    <t xml:space="preserve">นางสาว ศิริวัฒนา </t>
  </si>
  <si>
    <t xml:space="preserve">สุวรรณราช </t>
  </si>
  <si>
    <t>นางสาว รัตนวรรณ</t>
  </si>
  <si>
    <t xml:space="preserve">นางสาว พวงผกา </t>
  </si>
  <si>
    <t xml:space="preserve">จินา </t>
  </si>
  <si>
    <t xml:space="preserve">นางสาว รัชนิดา </t>
  </si>
  <si>
    <t>นาย วัชรนนท์</t>
  </si>
  <si>
    <t>ลาวตูม</t>
  </si>
  <si>
    <t xml:space="preserve">ยอดแก้ว </t>
  </si>
  <si>
    <t>คำจ้อย</t>
  </si>
  <si>
    <t>นางสาว สภาภรณ์</t>
  </si>
  <si>
    <t>กังวาฬ</t>
  </si>
  <si>
    <t>ฟักเหลือง</t>
  </si>
  <si>
    <t>นางสาว อภิญญา</t>
  </si>
  <si>
    <t>สาตรา</t>
  </si>
  <si>
    <t>นางสาว สุภาภรณ์</t>
  </si>
  <si>
    <t>คลังตอง</t>
  </si>
  <si>
    <t>นาย ภูวิศ</t>
  </si>
  <si>
    <t>บัวเปรม</t>
  </si>
  <si>
    <t xml:space="preserve">นางสาว พิมพการัง </t>
  </si>
  <si>
    <t xml:space="preserve">พรมอยู่ </t>
  </si>
  <si>
    <t>สืบโดด</t>
  </si>
  <si>
    <t>นาย ถิรายุทธ์</t>
  </si>
  <si>
    <t>เสือน้อย</t>
  </si>
  <si>
    <t>นาง ภัทรานิษฐ์</t>
  </si>
  <si>
    <t>พันธ์พรม</t>
  </si>
  <si>
    <t xml:space="preserve">นางสาว ปรีดาภรณ์ </t>
  </si>
  <si>
    <t xml:space="preserve">คำชาตา </t>
  </si>
  <si>
    <t>นางสาว วิชชญาดา</t>
  </si>
  <si>
    <t>วิชัยกุล</t>
  </si>
  <si>
    <t xml:space="preserve">นาง พัชรนันท์ </t>
  </si>
  <si>
    <t>ขันอาษา</t>
  </si>
  <si>
    <t>ชุมแสง</t>
  </si>
  <si>
    <t xml:space="preserve">นางสาว สาริณี </t>
  </si>
  <si>
    <t xml:space="preserve">บุตรดาวงศ์ </t>
  </si>
  <si>
    <t xml:space="preserve">นาย อภิเดช </t>
  </si>
  <si>
    <t xml:space="preserve">เกติยะ </t>
  </si>
  <si>
    <t>สิมมาคำ</t>
  </si>
  <si>
    <t>นาง สำเภา</t>
  </si>
  <si>
    <t>จันทร์อาภาท</t>
  </si>
  <si>
    <t>นาย สายทอง</t>
  </si>
  <si>
    <t>ทุมวัน</t>
  </si>
  <si>
    <t>นาย ไพสันต์</t>
  </si>
  <si>
    <t>วุฒิเสน</t>
  </si>
  <si>
    <t>คำโฮง</t>
  </si>
  <si>
    <t>ขาววันดี</t>
  </si>
  <si>
    <t>นางสาว สิรภัทร</t>
  </si>
  <si>
    <t xml:space="preserve">อันไชยศรี </t>
  </si>
  <si>
    <t xml:space="preserve">นางสาว กรภัทร </t>
  </si>
  <si>
    <t xml:space="preserve">นามจันทร์ </t>
  </si>
  <si>
    <t>นาย รุ่งอรุณ</t>
  </si>
  <si>
    <t>สุ่มแก้ว</t>
  </si>
  <si>
    <t>ขันธศรี</t>
  </si>
  <si>
    <t>สุวรรณสัมพันธ์</t>
  </si>
  <si>
    <t>ประพัทธ์ธรรม</t>
  </si>
  <si>
    <t>นาง จันทนารัตน์</t>
  </si>
  <si>
    <t>อินทสาร</t>
  </si>
  <si>
    <t>นาง จำนรรค์พร</t>
  </si>
  <si>
    <t>อินทรสูต</t>
  </si>
  <si>
    <t>นาง ศรีหฤทัย</t>
  </si>
  <si>
    <t>ดลจำรัส</t>
  </si>
  <si>
    <t>รัตนรุ่งเจริญ</t>
  </si>
  <si>
    <t>นาง ภาสุนี</t>
  </si>
  <si>
    <t>วรพุฒ</t>
  </si>
  <si>
    <t>นาง พรรวษา</t>
  </si>
  <si>
    <t>พัฒนไทยานนท์</t>
  </si>
  <si>
    <t>บุญสืบ</t>
  </si>
  <si>
    <t>เพ็ญธัญกิจ</t>
  </si>
  <si>
    <t>นางสาว ทองคำ</t>
  </si>
  <si>
    <t>เครืองเนียม</t>
  </si>
  <si>
    <t>เชี่ยวธัญกิจ</t>
  </si>
  <si>
    <t>นาย สุรชาติ</t>
  </si>
  <si>
    <t>ทรายทอง</t>
  </si>
  <si>
    <t>นาย พรหม</t>
  </si>
  <si>
    <t>ยกพล</t>
  </si>
  <si>
    <t>นาง ไพเราะ</t>
  </si>
  <si>
    <t>นาย สุวิญญา</t>
  </si>
  <si>
    <t>อุ่นสนิท</t>
  </si>
  <si>
    <t>อินทโชติ</t>
  </si>
  <si>
    <t>ลิขิตวศินพงศ์</t>
  </si>
  <si>
    <t>สิทธิเกษร</t>
  </si>
  <si>
    <t>นาย จำปี</t>
  </si>
  <si>
    <t>สบายใจ</t>
  </si>
  <si>
    <t>นาง พลับพลึง</t>
  </si>
  <si>
    <t>ฬาทอง</t>
  </si>
  <si>
    <t>นาง ชญาณี</t>
  </si>
  <si>
    <t xml:space="preserve">บัลลังก์นาค </t>
  </si>
  <si>
    <t xml:space="preserve">นาย วราพงษ์ </t>
  </si>
  <si>
    <t xml:space="preserve">ต้นม่วง </t>
  </si>
  <si>
    <t>ฉันประนิตย์</t>
  </si>
  <si>
    <t>เรี่ยวแรง</t>
  </si>
  <si>
    <t xml:space="preserve">นางสาว สกุลตรา </t>
  </si>
  <si>
    <t xml:space="preserve">ขุมบุญโต </t>
  </si>
  <si>
    <t xml:space="preserve">นางสาว อุษา </t>
  </si>
  <si>
    <t>คงชุ่ม</t>
  </si>
  <si>
    <t>อายุยืน</t>
  </si>
  <si>
    <t xml:space="preserve">นาย ชนม์สวัสดิ์ </t>
  </si>
  <si>
    <t>ทองโพธิ์งาม</t>
  </si>
  <si>
    <t>วีระวัฒน์</t>
  </si>
  <si>
    <t>ชัยวลี</t>
  </si>
  <si>
    <t>นาง ถนอมนวล</t>
  </si>
  <si>
    <t>เพียรธัญญกรณ์</t>
  </si>
  <si>
    <t>นาง วรรณะ</t>
  </si>
  <si>
    <t>นิลกุล</t>
  </si>
  <si>
    <t>นาย รัชดาพล</t>
  </si>
  <si>
    <t>ศรีทะแก้ว</t>
  </si>
  <si>
    <t>ศรีสาลี</t>
  </si>
  <si>
    <t xml:space="preserve">นาง รภัสสรณ์ </t>
  </si>
  <si>
    <t>ระบอบ</t>
  </si>
  <si>
    <t>นางสาว นิพัทธา</t>
  </si>
  <si>
    <t>ดอนละไพร</t>
  </si>
  <si>
    <t>นางสาว จันทร์ฉาย</t>
  </si>
  <si>
    <t xml:space="preserve">เพ็ญเขตวิทย์ </t>
  </si>
  <si>
    <t>นาง ณัฐชาภัค</t>
  </si>
  <si>
    <t>เชี่ยวการนา</t>
  </si>
  <si>
    <t>โห้วงค์</t>
  </si>
  <si>
    <t>นาย ทวีปกรณ</t>
  </si>
  <si>
    <t>บุญวรนุช</t>
  </si>
  <si>
    <t>กลิ่นเกล้า</t>
  </si>
  <si>
    <t>ดุจอุทัยวงศ์</t>
  </si>
  <si>
    <t xml:space="preserve">นางสาว นันทพรว์ </t>
  </si>
  <si>
    <t xml:space="preserve">ศิริวัฒพงศ์ </t>
  </si>
  <si>
    <t xml:space="preserve">นางสาว วินันดา </t>
  </si>
  <si>
    <t xml:space="preserve">ฤทธิ์เต็ม </t>
  </si>
  <si>
    <t xml:space="preserve">เล่าเกษตรวิทย์ </t>
  </si>
  <si>
    <t>นางสาว สุรัสวดี</t>
  </si>
  <si>
    <t>คณฑา</t>
  </si>
  <si>
    <t>นาย จิตติ</t>
  </si>
  <si>
    <t>จันทร์ภาภาส</t>
  </si>
  <si>
    <t>บุตรสิงห์</t>
  </si>
  <si>
    <t xml:space="preserve">เกิดกอง </t>
  </si>
  <si>
    <t>นาย ภูธีร์รันทร์</t>
  </si>
  <si>
    <t>ขันสัมฤทธิ์</t>
  </si>
  <si>
    <t>ทวีทา</t>
  </si>
  <si>
    <t xml:space="preserve">นาย เจษฎา </t>
  </si>
  <si>
    <t>ขาวขำ</t>
  </si>
  <si>
    <t xml:space="preserve">สุรพล </t>
  </si>
  <si>
    <t>นาย สุกฤษฎิ์</t>
  </si>
  <si>
    <t xml:space="preserve">จิตการุณ </t>
  </si>
  <si>
    <t>นาคประดิษฐ์</t>
  </si>
  <si>
    <t>มนัสตรง</t>
  </si>
  <si>
    <t>ประกอบผล</t>
  </si>
  <si>
    <t>วรรณทวี</t>
  </si>
  <si>
    <t>รายะนาคร</t>
  </si>
  <si>
    <t>นุยืนรัมย์</t>
  </si>
  <si>
    <t>วลัยศรี</t>
  </si>
  <si>
    <t>อินศร</t>
  </si>
  <si>
    <t>น้อยชู</t>
  </si>
  <si>
    <t>นาย ปรีชาญาณ</t>
  </si>
  <si>
    <t>ศรีตะชัย</t>
  </si>
  <si>
    <t>ดอกแขมกลาง</t>
  </si>
  <si>
    <t>นาง ธนัชพรรณ</t>
  </si>
  <si>
    <t>นาย สุทิพย์</t>
  </si>
  <si>
    <t>นิโรจน์ไพศาล</t>
  </si>
  <si>
    <t>นาง วัฒนงค์</t>
  </si>
  <si>
    <t>สุพรรณ  (แก้วพรหม)</t>
  </si>
  <si>
    <t>เอมกลาง</t>
  </si>
  <si>
    <t>อิ่มทองใบ</t>
  </si>
  <si>
    <t>นาง ศรีนภา</t>
  </si>
  <si>
    <t>คำภักดี</t>
  </si>
  <si>
    <t>พานิชพันธุ์</t>
  </si>
  <si>
    <t>นาง ศุลีพร</t>
  </si>
  <si>
    <t>ยอดเจริญ</t>
  </si>
  <si>
    <t>งัดโคกกรวด</t>
  </si>
  <si>
    <t>แก้วประโคน</t>
  </si>
  <si>
    <t>ชนารี</t>
  </si>
  <si>
    <t>วราห์คำ</t>
  </si>
  <si>
    <t>ทองสิงห์</t>
  </si>
  <si>
    <t>นาง นิราพร</t>
  </si>
  <si>
    <t>ดอกไม้</t>
  </si>
  <si>
    <t>นาย ศิรวิทย์</t>
  </si>
  <si>
    <t>ประนมศรี</t>
  </si>
  <si>
    <t>อาชีวศึกษาคม</t>
  </si>
  <si>
    <t>นาย สานิตย์</t>
  </si>
  <si>
    <t>ศรีขาว</t>
  </si>
  <si>
    <t>นาย ฉกาจ</t>
  </si>
  <si>
    <t>กันเมือง</t>
  </si>
  <si>
    <t>มาจันทึก</t>
  </si>
  <si>
    <t>ปราชญ์ศิลป์</t>
  </si>
  <si>
    <t>ชาติวงษ์</t>
  </si>
  <si>
    <t>นาง อรุณรัตน์</t>
  </si>
  <si>
    <t>อกอุ่น</t>
  </si>
  <si>
    <t>นามเดช</t>
  </si>
  <si>
    <t>นาง จิตราพร</t>
  </si>
  <si>
    <t>กาละกูล</t>
  </si>
  <si>
    <t>นาง เชาวน์พรรณ</t>
  </si>
  <si>
    <t>อุบลบาน</t>
  </si>
  <si>
    <t>เลิศเสรี</t>
  </si>
  <si>
    <t>นาง เวียน</t>
  </si>
  <si>
    <t>แก้วสง่า</t>
  </si>
  <si>
    <t>นาย นเรศ</t>
  </si>
  <si>
    <t>เหมวงษ์</t>
  </si>
  <si>
    <t>นาย สิรวิช</t>
  </si>
  <si>
    <t>เสนคำวงศ์</t>
  </si>
  <si>
    <t>นาย เสมา</t>
  </si>
  <si>
    <t>นาคูณ</t>
  </si>
  <si>
    <t>นาย กันยา</t>
  </si>
  <si>
    <t>คงพลปาน</t>
  </si>
  <si>
    <t>สารีบุตร</t>
  </si>
  <si>
    <t>นาง บุญทวี</t>
  </si>
  <si>
    <t>บุบผาพันธ์</t>
  </si>
  <si>
    <t>แก้วสุวรรณ</t>
  </si>
  <si>
    <t>แก่นลา</t>
  </si>
  <si>
    <t>แพงงาม</t>
  </si>
  <si>
    <t>สมใสวิวิตรกุล</t>
  </si>
  <si>
    <t>นาย สะพรั่ง</t>
  </si>
  <si>
    <t>คณานันท์</t>
  </si>
  <si>
    <t>พิมพ์เพ็ง</t>
  </si>
  <si>
    <t>นาง จารุชา</t>
  </si>
  <si>
    <t>ขาววิสุทธิ์</t>
  </si>
  <si>
    <t>นาย สมประสงค์</t>
  </si>
  <si>
    <t>เติมวงศ์</t>
  </si>
  <si>
    <t>ธรรมวัติ</t>
  </si>
  <si>
    <t>มัยยะ</t>
  </si>
  <si>
    <t>เงินราษฏร์</t>
  </si>
  <si>
    <t>นางสาว ณัฐกิตติ์</t>
  </si>
  <si>
    <t>ศรีสง่า</t>
  </si>
  <si>
    <t>คูณผล</t>
  </si>
  <si>
    <t>นาย อชิรวัฒน์</t>
  </si>
  <si>
    <t>เกษรศรี</t>
  </si>
  <si>
    <t>สิทธิกุล</t>
  </si>
  <si>
    <t>นางสาว กุลดา</t>
  </si>
  <si>
    <t>บุริวงศ์</t>
  </si>
  <si>
    <t>บุญโกมล</t>
  </si>
  <si>
    <t>นาย เสฏฐาวุฒิ</t>
  </si>
  <si>
    <t>พลพัชระเสฏฐ์</t>
  </si>
  <si>
    <t>นาง พิริยาภรณ์</t>
  </si>
  <si>
    <t>แก้วศรี</t>
  </si>
  <si>
    <t>นาง สุจิตต์</t>
  </si>
  <si>
    <t>กระแสบุตร</t>
  </si>
  <si>
    <t>ขจรศรี</t>
  </si>
  <si>
    <t>ศรีปทุมภรณ์</t>
  </si>
  <si>
    <t>นวลอินทร์</t>
  </si>
  <si>
    <t>บุญดาว</t>
  </si>
  <si>
    <t>นาย อธิป</t>
  </si>
  <si>
    <t>อุปมา</t>
  </si>
  <si>
    <t xml:space="preserve">นาย ประธาน </t>
  </si>
  <si>
    <t xml:space="preserve">สุดตลอด </t>
  </si>
  <si>
    <t xml:space="preserve">นาย จำนงค์ </t>
  </si>
  <si>
    <t xml:space="preserve">สมศรี </t>
  </si>
  <si>
    <t xml:space="preserve">นาย นิพนธ์ </t>
  </si>
  <si>
    <t xml:space="preserve">โชติศศิธร </t>
  </si>
  <si>
    <t>นาง รัชมนต์</t>
  </si>
  <si>
    <t>นาง ทาริกา</t>
  </si>
  <si>
    <t>จึงสุทธิวงศ์</t>
  </si>
  <si>
    <t>นาย สวน</t>
  </si>
  <si>
    <t>ทรงกรด</t>
  </si>
  <si>
    <t>นาง กัญญาณี</t>
  </si>
  <si>
    <t>วีสเพ็ญ</t>
  </si>
  <si>
    <t>ยืนยาว</t>
  </si>
  <si>
    <t>คูณไลย์</t>
  </si>
  <si>
    <t>นาง สริตา</t>
  </si>
  <si>
    <t>สามิลา</t>
  </si>
  <si>
    <t>นาย ไวกูณฐ์</t>
  </si>
  <si>
    <t xml:space="preserve">คำสำลี </t>
  </si>
  <si>
    <t>เสมอภาค</t>
  </si>
  <si>
    <t>นาย สำโรง</t>
  </si>
  <si>
    <t>หินผา</t>
  </si>
  <si>
    <t>นางสาว สุรีพร</t>
  </si>
  <si>
    <t>เกตุงาม</t>
  </si>
  <si>
    <t>ศรอำพล</t>
  </si>
  <si>
    <t>นาย วงศ์พิสุทธิ์</t>
  </si>
  <si>
    <t>ดำรงสิทธิ์</t>
  </si>
  <si>
    <t>นิธิพานิช</t>
  </si>
  <si>
    <t>นาง ธัญญรัศม์</t>
  </si>
  <si>
    <t>เหล่าสายเชื้อ</t>
  </si>
  <si>
    <t xml:space="preserve">นาย พราย </t>
  </si>
  <si>
    <t>โฉมหน่าย</t>
  </si>
  <si>
    <t xml:space="preserve">นางสาว มณวิภา </t>
  </si>
  <si>
    <t xml:space="preserve">พลจักรี </t>
  </si>
  <si>
    <t>นางสาว วิชชุลดา</t>
  </si>
  <si>
    <t>จันทรตระกูล</t>
  </si>
  <si>
    <t>ชัยมัง</t>
  </si>
  <si>
    <t xml:space="preserve">นางสาว เกษศณี </t>
  </si>
  <si>
    <t xml:space="preserve">พรมมี </t>
  </si>
  <si>
    <t>นางสาว ไพรวรรณ์</t>
  </si>
  <si>
    <t>ขันธเวช</t>
  </si>
  <si>
    <t xml:space="preserve">นาย จักรพันธ์ </t>
  </si>
  <si>
    <t xml:space="preserve">อภินันท์ </t>
  </si>
  <si>
    <t xml:space="preserve">นาย สมเจตน์ </t>
  </si>
  <si>
    <t xml:space="preserve">บุญรินทร์ </t>
  </si>
  <si>
    <t>แก้วใส</t>
  </si>
  <si>
    <t xml:space="preserve">นาย สุจินต์ </t>
  </si>
  <si>
    <t>รงฤทธิ์</t>
  </si>
  <si>
    <t xml:space="preserve">นางสาว อรชุมา </t>
  </si>
  <si>
    <t xml:space="preserve">วรรณทอง </t>
  </si>
  <si>
    <t>นาย วันเฉลิม</t>
  </si>
  <si>
    <t>เจี่ยงยี่</t>
  </si>
  <si>
    <t>นางสาว สุดาพร</t>
  </si>
  <si>
    <t>สืบวงค์</t>
  </si>
  <si>
    <t>สมพร</t>
  </si>
  <si>
    <t>นาย วัชรพล</t>
  </si>
  <si>
    <t>ถีระทัน</t>
  </si>
  <si>
    <t>แก้วราม</t>
  </si>
  <si>
    <t>ดอนสิงห์</t>
  </si>
  <si>
    <t>นาง ทิพจันทร์</t>
  </si>
  <si>
    <t>กาญจนเตชะ</t>
  </si>
  <si>
    <t>นาง กุลณี</t>
  </si>
  <si>
    <t>ปฏิโชติ</t>
  </si>
  <si>
    <t>อินทะนาม</t>
  </si>
  <si>
    <t>นาย สร้อย</t>
  </si>
  <si>
    <t>ปฎิโชติ</t>
  </si>
  <si>
    <t>เจาะจง</t>
  </si>
  <si>
    <t>นาย เลิงศักดิ์</t>
  </si>
  <si>
    <t>จันตรี</t>
  </si>
  <si>
    <t>นาย ชัยจิตร</t>
  </si>
  <si>
    <t>บุตรไชย</t>
  </si>
  <si>
    <t>ชินทะวัน</t>
  </si>
  <si>
    <t>ชมาฤกษ์</t>
  </si>
  <si>
    <t>นาง อริสลา</t>
  </si>
  <si>
    <t>บุญชิต</t>
  </si>
  <si>
    <t>นาย ชัยพัทธ์</t>
  </si>
  <si>
    <t>นวลดี</t>
  </si>
  <si>
    <t>อินทร์ขาว</t>
  </si>
  <si>
    <t>เผ่าภูรี</t>
  </si>
  <si>
    <t>นาย สมสิทธิ์</t>
  </si>
  <si>
    <t>ประกอบจรรยา</t>
  </si>
  <si>
    <t>แร่ทอง</t>
  </si>
  <si>
    <t>ศรีเลิศ</t>
  </si>
  <si>
    <t>นาย ทัศนะ</t>
  </si>
  <si>
    <t>คูณค้ำ</t>
  </si>
  <si>
    <t>นาง ขลิบเพชร</t>
  </si>
  <si>
    <t>นาง จิรนุช</t>
  </si>
  <si>
    <t>แก้วกลึงกลม</t>
  </si>
  <si>
    <t>นาย สุรจิต</t>
  </si>
  <si>
    <t>โสวรรณี</t>
  </si>
  <si>
    <t>ในจิตร</t>
  </si>
  <si>
    <t>ขันธ์พาดี</t>
  </si>
  <si>
    <t>นาย บัวกัน</t>
  </si>
  <si>
    <t>นาย ประมัย</t>
  </si>
  <si>
    <t>เทพมุสิก</t>
  </si>
  <si>
    <t>นางสาว จันทราพร</t>
  </si>
  <si>
    <t>ประธาน</t>
  </si>
  <si>
    <t>ศรีบัว</t>
  </si>
  <si>
    <t>อินวิเชียร</t>
  </si>
  <si>
    <t>จันทุมา</t>
  </si>
  <si>
    <t>ศรีม่วงกลาง</t>
  </si>
  <si>
    <t>นาย ถิรพุทธิ์</t>
  </si>
  <si>
    <t>คานทอง</t>
  </si>
  <si>
    <t>นาง พันทิพา</t>
  </si>
  <si>
    <t>สุวรรณประทีป</t>
  </si>
  <si>
    <t>ทัดเทียม</t>
  </si>
  <si>
    <t>ไชยมาตย์</t>
  </si>
  <si>
    <t>ศาลาน้อย</t>
  </si>
  <si>
    <t>นาง จุรีรัชน์</t>
  </si>
  <si>
    <t>พรมเพ็ญ</t>
  </si>
  <si>
    <t>ภูมิชัยสุวรรณ์</t>
  </si>
  <si>
    <t xml:space="preserve">โกฏิศรี </t>
  </si>
  <si>
    <t>นาย ศิริวรรณ</t>
  </si>
  <si>
    <t>อุตส่าห์</t>
  </si>
  <si>
    <t>นาง เพ็ญพิศ</t>
  </si>
  <si>
    <t>พลทรัพย์ศิริ</t>
  </si>
  <si>
    <t>ส่งเสริม</t>
  </si>
  <si>
    <t>นาง เกวลี</t>
  </si>
  <si>
    <t>พิมพ์ดี</t>
  </si>
  <si>
    <t>นาง สุนีย์รัตน์</t>
  </si>
  <si>
    <t>ชารีแก้ว</t>
  </si>
  <si>
    <t>นางสาว จิลาวัลย์</t>
  </si>
  <si>
    <t>ทรัพย์คูณ</t>
  </si>
  <si>
    <t>สังกะเพศ</t>
  </si>
  <si>
    <t>นาย ฐีรพรรษ์</t>
  </si>
  <si>
    <t>การบรรจง</t>
  </si>
  <si>
    <t>เดชะเวทย์วิเศษ</t>
  </si>
  <si>
    <t>นางสาว นพคุณ</t>
  </si>
  <si>
    <t>นิยมคุณ</t>
  </si>
  <si>
    <t>นางสาว จุรีรักษ์</t>
  </si>
  <si>
    <t>นางสาว นิยะดา</t>
  </si>
  <si>
    <t>มุสิกา</t>
  </si>
  <si>
    <t>นาสารีย์</t>
  </si>
  <si>
    <t>นาย จิตรกรณ์</t>
  </si>
  <si>
    <t>บุญมาศรี</t>
  </si>
  <si>
    <t>คชพรหม</t>
  </si>
  <si>
    <t>สารโมฬี</t>
  </si>
  <si>
    <t>นาง ลิขิต</t>
  </si>
  <si>
    <t>หล้าแหล่ง</t>
  </si>
  <si>
    <t>นาย โสรจน์</t>
  </si>
  <si>
    <t>อรุณพันธุ์</t>
  </si>
  <si>
    <t>เกตศักดิ์</t>
  </si>
  <si>
    <t>นางสาว วชิราภรณ์</t>
  </si>
  <si>
    <t>พิเนตร</t>
  </si>
  <si>
    <t>นาง ชื่นดวงจิตร์</t>
  </si>
  <si>
    <t xml:space="preserve">โสพัฒน์ </t>
  </si>
  <si>
    <t>โคตรพงษ์</t>
  </si>
  <si>
    <t>นางสาว ฐนัฏษร</t>
  </si>
  <si>
    <t>ทองงอก</t>
  </si>
  <si>
    <t>นาง อินธุอร</t>
  </si>
  <si>
    <t>นางสาว เพ็ญแข</t>
  </si>
  <si>
    <t>จีราระรื่นศักดิ์</t>
  </si>
  <si>
    <t>สีนาด</t>
  </si>
  <si>
    <t>รักษาคุณ</t>
  </si>
  <si>
    <t>นาย โสมพมิตร</t>
  </si>
  <si>
    <t>ณ กาฬสินธ์</t>
  </si>
  <si>
    <t>นางสาว รุ่งลัดดา</t>
  </si>
  <si>
    <t>บุญทรง</t>
  </si>
  <si>
    <t>นางสาว วราพร</t>
  </si>
  <si>
    <t>อ่อนพันธ์</t>
  </si>
  <si>
    <t>นางสาว มณีวรรณ</t>
  </si>
  <si>
    <t>สายพันธ์</t>
  </si>
  <si>
    <t>กางกั้น</t>
  </si>
  <si>
    <t>จันทะโครพ</t>
  </si>
  <si>
    <t>นาง น้ำเพชร</t>
  </si>
  <si>
    <t>ฆารวิพัฒน์</t>
  </si>
  <si>
    <t>ธานี</t>
  </si>
  <si>
    <t>นาย ปิยราษฏร์</t>
  </si>
  <si>
    <t>สายดวง</t>
  </si>
  <si>
    <t>อุทธา</t>
  </si>
  <si>
    <t>ว่าที่ ร.ต. ณวัฒน์</t>
  </si>
  <si>
    <t>โมฆรัตน์</t>
  </si>
  <si>
    <t>นางสาว สุภัชชา</t>
  </si>
  <si>
    <t>โกมล</t>
  </si>
  <si>
    <t xml:space="preserve">นาย อรรถยา </t>
  </si>
  <si>
    <t xml:space="preserve">ลาพัน </t>
  </si>
  <si>
    <t xml:space="preserve">นาง สกนธ์วรรณ </t>
  </si>
  <si>
    <t xml:space="preserve">ทูลสูงเนิน </t>
  </si>
  <si>
    <t xml:space="preserve">ทาลา </t>
  </si>
  <si>
    <t>นางสาว เยาวนาถ  หาดคำ</t>
  </si>
  <si>
    <t>หาญชูวงศ์</t>
  </si>
  <si>
    <t xml:space="preserve">นาง ฉัตรชนก </t>
  </si>
  <si>
    <t xml:space="preserve">นางสาว สุดาทิพย์ </t>
  </si>
  <si>
    <t>รันคำภา</t>
  </si>
  <si>
    <t>วันวงษ์</t>
  </si>
  <si>
    <t xml:space="preserve">มโนวงค์ </t>
  </si>
  <si>
    <t>นาย รัฐธนินท์</t>
  </si>
  <si>
    <t>อัมมินทร</t>
  </si>
  <si>
    <t>นางสาว ปฏิมา</t>
  </si>
  <si>
    <t xml:space="preserve">ทองสิงหา </t>
  </si>
  <si>
    <t>กีดกัน</t>
  </si>
  <si>
    <t xml:space="preserve">หอมหวาน </t>
  </si>
  <si>
    <t xml:space="preserve">ปิ่นทอง </t>
  </si>
  <si>
    <t xml:space="preserve">นางสาว นันทิกานต์ </t>
  </si>
  <si>
    <t xml:space="preserve">เวียงจันทร์ </t>
  </si>
  <si>
    <t xml:space="preserve">นาย ธีระศักดิ์ </t>
  </si>
  <si>
    <t>ปัดถาทุม</t>
  </si>
  <si>
    <t xml:space="preserve">โพธิ์ไทร </t>
  </si>
  <si>
    <t>นาย ศิริชาติ</t>
  </si>
  <si>
    <t>ชูกลิ่น</t>
  </si>
  <si>
    <t xml:space="preserve">ทาราทอน </t>
  </si>
  <si>
    <t xml:space="preserve">นางสาว พิศมัย </t>
  </si>
  <si>
    <t xml:space="preserve">กิ่งวรรณ </t>
  </si>
  <si>
    <t xml:space="preserve">นาย ทองพูล </t>
  </si>
  <si>
    <t xml:space="preserve">สมภาวะ </t>
  </si>
  <si>
    <t xml:space="preserve">นาย พงศ์วิทย์ </t>
  </si>
  <si>
    <t xml:space="preserve">สุวรรณ์ </t>
  </si>
  <si>
    <t xml:space="preserve">นาย ปราโมทย์ </t>
  </si>
  <si>
    <t xml:space="preserve">แสงโชติ </t>
  </si>
  <si>
    <t xml:space="preserve">นาย พัฒนศักดิ์ </t>
  </si>
  <si>
    <t xml:space="preserve">โสร่วมค้อ </t>
  </si>
  <si>
    <t xml:space="preserve">นาย พิทักษ์ชัย </t>
  </si>
  <si>
    <t>บั้งทอง</t>
  </si>
  <si>
    <t xml:space="preserve">นางสาว เยาวลักษ์ </t>
  </si>
  <si>
    <t xml:space="preserve">หัตถกิจ </t>
  </si>
  <si>
    <t xml:space="preserve">ว่าที่ ร.ต. วิทิต </t>
  </si>
  <si>
    <t xml:space="preserve">ปรินายวนิชย์ </t>
  </si>
  <si>
    <t xml:space="preserve">นาง ภัทราวดี </t>
  </si>
  <si>
    <t xml:space="preserve">เหลาศรี </t>
  </si>
  <si>
    <t>เสนาพันธ์</t>
  </si>
  <si>
    <t xml:space="preserve">นาง กฤษณา </t>
  </si>
  <si>
    <t xml:space="preserve">คำพันธ์ </t>
  </si>
  <si>
    <t xml:space="preserve">นาง อุบลรดา </t>
  </si>
  <si>
    <t>ชินโน</t>
  </si>
  <si>
    <t xml:space="preserve">นาย พิทวัส </t>
  </si>
  <si>
    <t xml:space="preserve">ทองแจ่ม </t>
  </si>
  <si>
    <t xml:space="preserve">นาย อุทัย </t>
  </si>
  <si>
    <t xml:space="preserve">นวลพงษ์ </t>
  </si>
  <si>
    <t xml:space="preserve">นางสาว ประทุมวรรณ </t>
  </si>
  <si>
    <t xml:space="preserve">ชายผา </t>
  </si>
  <si>
    <t xml:space="preserve">ศิริคุณ </t>
  </si>
  <si>
    <t xml:space="preserve">นาย ธนชัย </t>
  </si>
  <si>
    <t xml:space="preserve">จารุจิต </t>
  </si>
  <si>
    <t xml:space="preserve">นางสาว ดอกคูณ </t>
  </si>
  <si>
    <t xml:space="preserve">สุโพภาค </t>
  </si>
  <si>
    <t>นางสาว กันตวรวัฒน์</t>
  </si>
  <si>
    <t>ศรีสุพรรณ</t>
  </si>
  <si>
    <t>นาง อนุสรา</t>
  </si>
  <si>
    <t>สดโคกกรวด</t>
  </si>
  <si>
    <t>นางสาว กนกฉัตร</t>
  </si>
  <si>
    <t>ยุระชัย</t>
  </si>
  <si>
    <t>นาย ประกาศิต</t>
  </si>
  <si>
    <t>แวงวรรณ</t>
  </si>
  <si>
    <t>อรอินทร์</t>
  </si>
  <si>
    <t xml:space="preserve">สารทอง </t>
  </si>
  <si>
    <t>นาย อิสยา</t>
  </si>
  <si>
    <t>นางสาว สุภัทตา</t>
  </si>
  <si>
    <t>สินไชย์</t>
  </si>
  <si>
    <t>พันเทศ</t>
  </si>
  <si>
    <t>นางสาว สรารินทร์</t>
  </si>
  <si>
    <t>วงศ์ประเสริฐ</t>
  </si>
  <si>
    <t>นาย ทิน</t>
  </si>
  <si>
    <t>รั้งกลาง</t>
  </si>
  <si>
    <t xml:space="preserve">นาย ติณวัฒน์ </t>
  </si>
  <si>
    <t xml:space="preserve">คะหาวงศ์ </t>
  </si>
  <si>
    <t xml:space="preserve">นาย ชวลิต </t>
  </si>
  <si>
    <t>ถิ่นทัพไทย</t>
  </si>
  <si>
    <t xml:space="preserve">นาง ชุติญา </t>
  </si>
  <si>
    <t>นาง รัชนีกร</t>
  </si>
  <si>
    <t>พบบุญ</t>
  </si>
  <si>
    <t>นาง วัชรียา</t>
  </si>
  <si>
    <t>ตรีภพ</t>
  </si>
  <si>
    <t xml:space="preserve">ศิริพงศ์ </t>
  </si>
  <si>
    <t xml:space="preserve">นางสาว นงเยาว์ </t>
  </si>
  <si>
    <t xml:space="preserve">อุดสุรินทร์ </t>
  </si>
  <si>
    <t xml:space="preserve">นางสาว ทัศนีย์กร </t>
  </si>
  <si>
    <t xml:space="preserve">เหล่าแก้ว </t>
  </si>
  <si>
    <t>นาย มณีชัย</t>
  </si>
  <si>
    <t>แสนเยีย</t>
  </si>
  <si>
    <t>ปิ่นคำ</t>
  </si>
  <si>
    <t>ศรีจันทร์รักขิต</t>
  </si>
  <si>
    <t>นาย กิตยากร</t>
  </si>
  <si>
    <t>เหมรา</t>
  </si>
  <si>
    <t>นาย เกียรติชัย</t>
  </si>
  <si>
    <t>ชำรัมย์</t>
  </si>
  <si>
    <t>กุลตังวัฒนา</t>
  </si>
  <si>
    <t>สิงห์สุข</t>
  </si>
  <si>
    <t>นาง นิศารัตน์</t>
  </si>
  <si>
    <t>โหราเรือง</t>
  </si>
  <si>
    <t>อุดมลาภ</t>
  </si>
  <si>
    <t>ดวงใจ</t>
  </si>
  <si>
    <t>อ่อนเอี่ยม</t>
  </si>
  <si>
    <t>เวียงชัย</t>
  </si>
  <si>
    <t>ศิริอำนาจ</t>
  </si>
  <si>
    <t>สัพโส</t>
  </si>
  <si>
    <t xml:space="preserve">นางสาว จิรพรรณ </t>
  </si>
  <si>
    <t xml:space="preserve">โสมอินทร์ </t>
  </si>
  <si>
    <t>นาง ทองหล่อ</t>
  </si>
  <si>
    <t>นาคสุด</t>
  </si>
  <si>
    <t>ทับทิมหิน</t>
  </si>
  <si>
    <t>อุรารักษ์</t>
  </si>
  <si>
    <t>นาย สำพรต</t>
  </si>
  <si>
    <t>จันทร์หอม</t>
  </si>
  <si>
    <t>คำวงศ์ปิน</t>
  </si>
  <si>
    <t>ศรีวะวงค์</t>
  </si>
  <si>
    <t>นาย กฤตยา</t>
  </si>
  <si>
    <t>สุขไชย</t>
  </si>
  <si>
    <t xml:space="preserve">ศรีทาบุตร </t>
  </si>
  <si>
    <t xml:space="preserve">นาย ศุภวัฒน์ </t>
  </si>
  <si>
    <t xml:space="preserve">ลัทธิมนต์ </t>
  </si>
  <si>
    <t>แก้วแกมทอง</t>
  </si>
  <si>
    <t>กาลจักร</t>
  </si>
  <si>
    <t xml:space="preserve">นางสาว จันทร์เพ็ญ </t>
  </si>
  <si>
    <t xml:space="preserve">ชาดาเม็ก </t>
  </si>
  <si>
    <t xml:space="preserve">นาย วุฒิพงษ์ </t>
  </si>
  <si>
    <t xml:space="preserve">วงษ์พานิช </t>
  </si>
  <si>
    <t>นางสาว ยุวราพร</t>
  </si>
  <si>
    <t>นาคำ</t>
  </si>
  <si>
    <t>สุขบัติ</t>
  </si>
  <si>
    <t>กิ่งชา</t>
  </si>
  <si>
    <t xml:space="preserve">นางสาว วิภาดา </t>
  </si>
  <si>
    <t>ลาภรัตน์</t>
  </si>
  <si>
    <t>นาง รวิวรรณ</t>
  </si>
  <si>
    <t>เจียงคำ</t>
  </si>
  <si>
    <t>นาย สมทัศน์</t>
  </si>
  <si>
    <t>ไชยรักษ์</t>
  </si>
  <si>
    <t xml:space="preserve">นาย รัตนชาติ </t>
  </si>
  <si>
    <t>เกียรติภูมิวัฒนา</t>
  </si>
  <si>
    <t>นาง หนูสอน</t>
  </si>
  <si>
    <t>กันหารัตน์</t>
  </si>
  <si>
    <t>นาง จิตลัดดา</t>
  </si>
  <si>
    <t>คงอำพล</t>
  </si>
  <si>
    <t>นางสาว ภัทรียา</t>
  </si>
  <si>
    <t>ดำสุทธิ์</t>
  </si>
  <si>
    <t>นาง นิสสัย</t>
  </si>
  <si>
    <t>จงอุตส่าห์</t>
  </si>
  <si>
    <t>กำมันตะคุณ</t>
  </si>
  <si>
    <t>กุทอง</t>
  </si>
  <si>
    <t>นาย ธีรวิทย์</t>
  </si>
  <si>
    <t>ทองวรณ์</t>
  </si>
  <si>
    <t>นาง กัลยกร</t>
  </si>
  <si>
    <t>ศุภโกศล</t>
  </si>
  <si>
    <t>นางสาว ฉันทนา</t>
  </si>
  <si>
    <t>พรมจันทร์</t>
  </si>
  <si>
    <t>นางสาว ยอดขวัญ</t>
  </si>
  <si>
    <t>สุโรจนะ</t>
  </si>
  <si>
    <t xml:space="preserve">ดีเพ็ญ </t>
  </si>
  <si>
    <t xml:space="preserve">นาย กนก </t>
  </si>
  <si>
    <t>สวัสดิ์พล</t>
  </si>
  <si>
    <t>ว่าที่ ร.อ. เณริน</t>
  </si>
  <si>
    <t xml:space="preserve">รูปแก้ว </t>
  </si>
  <si>
    <t xml:space="preserve">นาง กัลยรัตน์ </t>
  </si>
  <si>
    <t xml:space="preserve">ศรีวิเศษ </t>
  </si>
  <si>
    <t xml:space="preserve">นางสาว ยุพารัตน์ </t>
  </si>
  <si>
    <t xml:space="preserve">มีทองแสน </t>
  </si>
  <si>
    <t>นาย เฉลิมศรี</t>
  </si>
  <si>
    <t>ศรีแนน</t>
  </si>
  <si>
    <t xml:space="preserve">นางสาว นาริน </t>
  </si>
  <si>
    <t xml:space="preserve">บุญกลม </t>
  </si>
  <si>
    <t xml:space="preserve">นาง ลาภชพักตร์ </t>
  </si>
  <si>
    <t xml:space="preserve">ศรีสุระ </t>
  </si>
  <si>
    <t xml:space="preserve">นางสาว ประวีณา </t>
  </si>
  <si>
    <t xml:space="preserve">ทับทิมหิน </t>
  </si>
  <si>
    <t xml:space="preserve">นาง ทัศนีย์ </t>
  </si>
  <si>
    <t xml:space="preserve">โสภา </t>
  </si>
  <si>
    <t>แอ้ชัยภูมิ</t>
  </si>
  <si>
    <t xml:space="preserve">คำโคตรสูนย์ </t>
  </si>
  <si>
    <t xml:space="preserve">พิมพ์วงศ์ </t>
  </si>
  <si>
    <t xml:space="preserve">นางสาว นารียา </t>
  </si>
  <si>
    <t xml:space="preserve">แก้วเกาะ </t>
  </si>
  <si>
    <t xml:space="preserve">นางสาว ธิรดา </t>
  </si>
  <si>
    <t xml:space="preserve">ยืนยง </t>
  </si>
  <si>
    <t xml:space="preserve">ไตรยนาม </t>
  </si>
  <si>
    <t>นาย สฤษดิพร</t>
  </si>
  <si>
    <t>ชูประยูร</t>
  </si>
  <si>
    <t>นาง วิชชุลดา</t>
  </si>
  <si>
    <t>พัชรเกียรติ</t>
  </si>
  <si>
    <t>นางสาว ภัทรจิต</t>
  </si>
  <si>
    <t>เหล่าคุณากร</t>
  </si>
  <si>
    <t>นาย กอบชาญ</t>
  </si>
  <si>
    <t>พุกกะเวส</t>
  </si>
  <si>
    <t xml:space="preserve">นาง ชวนพิศ </t>
  </si>
  <si>
    <t xml:space="preserve">สีมาขจร </t>
  </si>
  <si>
    <t>ดีพร้อม</t>
  </si>
  <si>
    <t>อาจทวีกุล</t>
  </si>
  <si>
    <t>นาย สินธุ์</t>
  </si>
  <si>
    <t>ดุลนีย์</t>
  </si>
  <si>
    <t>นาย สุภกิจ</t>
  </si>
  <si>
    <t xml:space="preserve">ลาสงยาง </t>
  </si>
  <si>
    <t>นาย บุญมาก</t>
  </si>
  <si>
    <t>พ่ออามาตย์</t>
  </si>
  <si>
    <t>นางสาว ทิพาธร</t>
  </si>
  <si>
    <t>มาศจรูญ</t>
  </si>
  <si>
    <t>สุขใจ</t>
  </si>
  <si>
    <t>เก่งเขตวิทย์</t>
  </si>
  <si>
    <t>จันทร์พงษ์</t>
  </si>
  <si>
    <t>ธนาโรจน์</t>
  </si>
  <si>
    <t>นาย อดิษฐ์</t>
  </si>
  <si>
    <t>พิมพ์ประพร</t>
  </si>
  <si>
    <t>วงศ์บุญเอื้อ</t>
  </si>
  <si>
    <t>เหมือนพร้อม</t>
  </si>
  <si>
    <t>ฉิมกูล</t>
  </si>
  <si>
    <t>นาย สังวาลย์</t>
  </si>
  <si>
    <t>พิริยะพงษ์</t>
  </si>
  <si>
    <t>เสาวกูล</t>
  </si>
  <si>
    <t>นาง พรพิณี</t>
  </si>
  <si>
    <t>บุญบันดาล</t>
  </si>
  <si>
    <t>นาย ตติย</t>
  </si>
  <si>
    <t xml:space="preserve">ตันกมลาสน์ </t>
  </si>
  <si>
    <t>นาย รัชชา</t>
  </si>
  <si>
    <t>เอมพรหม</t>
  </si>
  <si>
    <t>นางสาว นิฌา</t>
  </si>
  <si>
    <t>หล่อเงิน</t>
  </si>
  <si>
    <t xml:space="preserve">นาย ศักดิ์ชาย </t>
  </si>
  <si>
    <t xml:space="preserve">พูลแก้ว </t>
  </si>
  <si>
    <t xml:space="preserve">นาย นเรศ </t>
  </si>
  <si>
    <t>กลึงกลางดอน</t>
  </si>
  <si>
    <t xml:space="preserve">สิริเลาหวัฒนกุล </t>
  </si>
  <si>
    <t>เกตุเวชสุริยา</t>
  </si>
  <si>
    <t>นางสาว ธิตินันท์</t>
  </si>
  <si>
    <t>ฐิตวิริยะ</t>
  </si>
  <si>
    <t>เคี่ยนเมธี</t>
  </si>
  <si>
    <t>เพชรสูงเนิน</t>
  </si>
  <si>
    <t>นางสาว ศรีดารา</t>
  </si>
  <si>
    <t>นาย สิทธิ</t>
  </si>
  <si>
    <t>ภูมิวัฒนะ</t>
  </si>
  <si>
    <t>ทองช่วย</t>
  </si>
  <si>
    <t>อุ่นทรัพย์</t>
  </si>
  <si>
    <t xml:space="preserve">นางสาว อาทิตยา </t>
  </si>
  <si>
    <t>ไชโย</t>
  </si>
  <si>
    <t>นางสาว พิมพ์รำไพ</t>
  </si>
  <si>
    <t>นาย ศุภนัท</t>
  </si>
  <si>
    <t xml:space="preserve">สุวรรณสุขสำราญ </t>
  </si>
  <si>
    <t>นางสาว ชุมญาณัช</t>
  </si>
  <si>
    <t>คำวงษ์</t>
  </si>
  <si>
    <t>นาง บัณฑรี</t>
  </si>
  <si>
    <t>โชติมโนธรรม</t>
  </si>
  <si>
    <t>เลิศจิรกุล</t>
  </si>
  <si>
    <t xml:space="preserve">นาย สุรเดช </t>
  </si>
  <si>
    <t xml:space="preserve">ธีระกุล </t>
  </si>
  <si>
    <t xml:space="preserve">นางสาว ศศิพิมพ์ </t>
  </si>
  <si>
    <t xml:space="preserve">ลิ่มมณี </t>
  </si>
  <si>
    <t xml:space="preserve">นางสาว บวรนัต </t>
  </si>
  <si>
    <t xml:space="preserve">นพปศักดิ์ </t>
  </si>
  <si>
    <t>นาย กฤตไชย</t>
  </si>
  <si>
    <t>พลินทรนันท์</t>
  </si>
  <si>
    <t xml:space="preserve">นาง เบญจมาศ </t>
  </si>
  <si>
    <t xml:space="preserve">เย็นสำราญ </t>
  </si>
  <si>
    <t xml:space="preserve">นางสาว พณาไพร </t>
  </si>
  <si>
    <t xml:space="preserve">เงินอยู่ </t>
  </si>
  <si>
    <t>นางสาว วโรทัย</t>
  </si>
  <si>
    <t>รุ่งแสง</t>
  </si>
  <si>
    <t xml:space="preserve">ฉัตรไชยศิริ </t>
  </si>
  <si>
    <t>เสมอจิตต์</t>
  </si>
  <si>
    <t>นาง พุทธชาด</t>
  </si>
  <si>
    <t>ลีปายะคุณ</t>
  </si>
  <si>
    <t xml:space="preserve">นางสาว ภัควิภา </t>
  </si>
  <si>
    <t xml:space="preserve">เพชรวิชิต </t>
  </si>
  <si>
    <t xml:space="preserve">นางสาว มณธิรา </t>
  </si>
  <si>
    <t xml:space="preserve">ศรีจักรโคตร </t>
  </si>
  <si>
    <t>นางสาว ชุติพร</t>
  </si>
  <si>
    <t>ณ ลำปาง</t>
  </si>
  <si>
    <t xml:space="preserve">นางสาว รัตนาวดี </t>
  </si>
  <si>
    <t xml:space="preserve">นาย อานุภาพ </t>
  </si>
  <si>
    <t xml:space="preserve">โตสุวรรณ </t>
  </si>
  <si>
    <t xml:space="preserve">หาญนุรักษ์ </t>
  </si>
  <si>
    <t>นางสาว อุษากร</t>
  </si>
  <si>
    <t>ขำวิไล</t>
  </si>
  <si>
    <t>นางสาว รวิสรา</t>
  </si>
  <si>
    <t>นางสาว สุรัชนา</t>
  </si>
  <si>
    <t>พิชญานนท์</t>
  </si>
  <si>
    <t>นางสาว กัญญาณัฐ</t>
  </si>
  <si>
    <t>สุขแรง</t>
  </si>
  <si>
    <t xml:space="preserve">นางสาว สุลาวัณย์ </t>
  </si>
  <si>
    <t xml:space="preserve">คุณยศยิ่ง </t>
  </si>
  <si>
    <t xml:space="preserve">นางสาว ธนิยา </t>
  </si>
  <si>
    <t xml:space="preserve">ชัยสุรัตน์ </t>
  </si>
  <si>
    <t>เชื้องาม</t>
  </si>
  <si>
    <t>พบพุ่มสุข</t>
  </si>
  <si>
    <t>วงษ์กำภู</t>
  </si>
  <si>
    <t>ลำยวน</t>
  </si>
  <si>
    <t>นาง เกษมสุข</t>
  </si>
  <si>
    <t>บ่อน้อย</t>
  </si>
  <si>
    <t>กองภา</t>
  </si>
  <si>
    <t>บรรเทา</t>
  </si>
  <si>
    <t>สินโพธิ์</t>
  </si>
  <si>
    <t>เสนาสุ</t>
  </si>
  <si>
    <t>แสนแหบ</t>
  </si>
  <si>
    <t>เบญจมาศ</t>
  </si>
  <si>
    <t>ไทยอ่อน</t>
  </si>
  <si>
    <t>มุ่งงาม</t>
  </si>
  <si>
    <t>นางสาว จิราลักษณ์</t>
  </si>
  <si>
    <t>ปรีดี</t>
  </si>
  <si>
    <t xml:space="preserve">นางสาว วีราภรณ์ </t>
  </si>
  <si>
    <t xml:space="preserve">อินทรักษ์ </t>
  </si>
  <si>
    <t>ถิ่นพัฒน์</t>
  </si>
  <si>
    <t xml:space="preserve">ภูปุย </t>
  </si>
  <si>
    <t>ไฝจันทร์</t>
  </si>
  <si>
    <t>ทิทา</t>
  </si>
  <si>
    <t xml:space="preserve">นาง บัวทิพย์ </t>
  </si>
  <si>
    <t xml:space="preserve">แสนสีมนต์ </t>
  </si>
  <si>
    <t xml:space="preserve">นางสาว นภัส </t>
  </si>
  <si>
    <t xml:space="preserve">เหมะธร </t>
  </si>
  <si>
    <t>โพธิ์กิ่ง</t>
  </si>
  <si>
    <t xml:space="preserve">นาย มิติ </t>
  </si>
  <si>
    <t>โคตรชุม</t>
  </si>
  <si>
    <t>โวหาร</t>
  </si>
  <si>
    <t>นาย คารมณ์</t>
  </si>
  <si>
    <t>นางสาว บุษบง</t>
  </si>
  <si>
    <t>ภูกองชัย</t>
  </si>
  <si>
    <t xml:space="preserve">บุญภา </t>
  </si>
  <si>
    <t xml:space="preserve">นางสาว จิรติกร </t>
  </si>
  <si>
    <t xml:space="preserve">จูจันทร์ </t>
  </si>
  <si>
    <t xml:space="preserve">นาย ประทีปภัทร </t>
  </si>
  <si>
    <t xml:space="preserve">สีหานาม </t>
  </si>
  <si>
    <t>นาย ธีระนันท์</t>
  </si>
  <si>
    <t>พิจารโชติ</t>
  </si>
  <si>
    <t>อยู่นุ้ย</t>
  </si>
  <si>
    <t xml:space="preserve">ว่าที่ ร.ต.หญิง ภาณินี </t>
  </si>
  <si>
    <t xml:space="preserve">สุขวิสุทธิ์ </t>
  </si>
  <si>
    <t>นางสาว กมลทิพย์</t>
  </si>
  <si>
    <t>ใจขาล</t>
  </si>
  <si>
    <t>ผลจินดา</t>
  </si>
  <si>
    <t>บุตรวาทิตย์</t>
  </si>
  <si>
    <t>นางสาว กานต์พิชชา</t>
  </si>
  <si>
    <t>ลมงาม</t>
  </si>
  <si>
    <t xml:space="preserve">นาย ศุภชัย </t>
  </si>
  <si>
    <t>อรทัย</t>
  </si>
  <si>
    <t xml:space="preserve">นางสาว รัตนาภรณ์ </t>
  </si>
  <si>
    <t>หมายหมั้น</t>
  </si>
  <si>
    <t>นางสาว พีชยา</t>
  </si>
  <si>
    <t xml:space="preserve">คงชนะ </t>
  </si>
  <si>
    <t xml:space="preserve">นาง กรรณิการ์ </t>
  </si>
  <si>
    <t xml:space="preserve">สนธิ </t>
  </si>
  <si>
    <t xml:space="preserve">นาง เสาวณีย์ </t>
  </si>
  <si>
    <t xml:space="preserve">อภิญญานุวัฒน์ </t>
  </si>
  <si>
    <t xml:space="preserve">เขื่อนควบ </t>
  </si>
  <si>
    <t>นางสาว สุทธภา</t>
  </si>
  <si>
    <t>ร่มโพธิ์ทอง</t>
  </si>
  <si>
    <t>นาง ธัญญภรณ์</t>
  </si>
  <si>
    <t>นางสาว สยุมพร</t>
  </si>
  <si>
    <t>สุภรพงษ์</t>
  </si>
  <si>
    <t xml:space="preserve">นางสาว ปริญญาภรณ์ </t>
  </si>
  <si>
    <t xml:space="preserve">วิโรจน์สกุล </t>
  </si>
  <si>
    <t>ไชยสุวรรณ์</t>
  </si>
  <si>
    <t xml:space="preserve">นาง ทองพลอย </t>
  </si>
  <si>
    <t xml:space="preserve">สุขมี </t>
  </si>
  <si>
    <t>จิ๋วเทศ</t>
  </si>
  <si>
    <t>นางสาว โสภิณ</t>
  </si>
  <si>
    <t>คำแสนศรี</t>
  </si>
  <si>
    <t>นางสาว ษมาพร</t>
  </si>
  <si>
    <t>คงควร</t>
  </si>
  <si>
    <t xml:space="preserve">นางสาว น้องนุช </t>
  </si>
  <si>
    <t xml:space="preserve">เลากลาง </t>
  </si>
  <si>
    <t xml:space="preserve">นาง ณภัชนันท์ </t>
  </si>
  <si>
    <t xml:space="preserve">ภูมิโคกรักษ์ </t>
  </si>
  <si>
    <t>ศอกจะบก</t>
  </si>
  <si>
    <t>จารึกกลาง</t>
  </si>
  <si>
    <t>พลบูรณ์ศรี</t>
  </si>
  <si>
    <t>ชูวา</t>
  </si>
  <si>
    <t>คงเจริญเขตร์</t>
  </si>
  <si>
    <t>ฝ่ายกระโทก</t>
  </si>
  <si>
    <t>หาชื่น</t>
  </si>
  <si>
    <t>นาย เต็ม</t>
  </si>
  <si>
    <t>อินทะเล</t>
  </si>
  <si>
    <t>กล่อมจอหอ</t>
  </si>
  <si>
    <t>หวังไรกลาง</t>
  </si>
  <si>
    <t>นาย นิพล</t>
  </si>
  <si>
    <t>เปล้ากระโทก</t>
  </si>
  <si>
    <t>นาย จรุญ</t>
  </si>
  <si>
    <t xml:space="preserve">นางสาว พิญญ์พัชร์ </t>
  </si>
  <si>
    <t xml:space="preserve">ตรีฉิมพลี </t>
  </si>
  <si>
    <t>นาย ธนกฤษ</t>
  </si>
  <si>
    <t xml:space="preserve">แจ่มดาราศรี </t>
  </si>
  <si>
    <t>นางสาว พรมณี</t>
  </si>
  <si>
    <t>จอกกระโทก</t>
  </si>
  <si>
    <t>วีระมิตร</t>
  </si>
  <si>
    <t>วงษ์คำอุด</t>
  </si>
  <si>
    <t>นาย สุชาย</t>
  </si>
  <si>
    <t>ศิริมาตร</t>
  </si>
  <si>
    <t xml:space="preserve">นาง ปวันรัตน์ </t>
  </si>
  <si>
    <t xml:space="preserve">สมแสง </t>
  </si>
  <si>
    <t xml:space="preserve">นางสาว ธัญญวรรณ </t>
  </si>
  <si>
    <t xml:space="preserve">สุภาแก้ว </t>
  </si>
  <si>
    <t xml:space="preserve">นางสาว รัชนี </t>
  </si>
  <si>
    <t>นาย กฤตพร</t>
  </si>
  <si>
    <t>แก้วสาหลง</t>
  </si>
  <si>
    <t xml:space="preserve">นางสาว บุญก์ณิสา </t>
  </si>
  <si>
    <t xml:space="preserve">มาคง </t>
  </si>
  <si>
    <t xml:space="preserve">นาย ดอน </t>
  </si>
  <si>
    <t>ยะทัง</t>
  </si>
  <si>
    <t xml:space="preserve">ไกรวิมล </t>
  </si>
  <si>
    <t>นาย สุบรรณ</t>
  </si>
  <si>
    <t>ศฤงคาร์นันท์</t>
  </si>
  <si>
    <t>แก้วยงกฏ</t>
  </si>
  <si>
    <t>นาย มังกร</t>
  </si>
  <si>
    <t>พูนวงค์</t>
  </si>
  <si>
    <t>สรเสริฐ</t>
  </si>
  <si>
    <t>ไกรกูล</t>
  </si>
  <si>
    <t>นาย วีรชัย</t>
  </si>
  <si>
    <t>ดีสระวินิจ</t>
  </si>
  <si>
    <t>อาจอาสา</t>
  </si>
  <si>
    <t>นาย พะโยม</t>
  </si>
  <si>
    <t>ปิ่นศิริ</t>
  </si>
  <si>
    <t>นางสาว สายฝน</t>
  </si>
  <si>
    <t>เหล็กเพชร</t>
  </si>
  <si>
    <t>นรัฐกิจ</t>
  </si>
  <si>
    <t>ตนัยพุฒิ</t>
  </si>
  <si>
    <t>นางสาว อนัญญา</t>
  </si>
  <si>
    <t xml:space="preserve">จงใจงาม </t>
  </si>
  <si>
    <t xml:space="preserve">นาย เกียรติคุณ </t>
  </si>
  <si>
    <t xml:space="preserve">กวางรัตน์ </t>
  </si>
  <si>
    <t>นาย ณกรณ์</t>
  </si>
  <si>
    <t>ไกรอนุพงษา</t>
  </si>
  <si>
    <t>เจนจิจะ</t>
  </si>
  <si>
    <t>มีพันธ์</t>
  </si>
  <si>
    <t>นางสาว สุพัฒตรา</t>
  </si>
  <si>
    <t>วังกาวรรณ์</t>
  </si>
  <si>
    <t xml:space="preserve">นางสาว กานต์สินี </t>
  </si>
  <si>
    <t xml:space="preserve">กมลอนุวงศ์ </t>
  </si>
  <si>
    <t xml:space="preserve">นางสาว รมย์ภควดี </t>
  </si>
  <si>
    <t xml:space="preserve">นางสาว สิริลักษณ์ </t>
  </si>
  <si>
    <t>ถือคำ</t>
  </si>
  <si>
    <t>นาย แดนชัย</t>
  </si>
  <si>
    <t>แก้วต๊ะ</t>
  </si>
  <si>
    <t>นางสาว จันทร์ตุลา</t>
  </si>
  <si>
    <t xml:space="preserve">แก้วสุวรรณ </t>
  </si>
  <si>
    <t xml:space="preserve">นางสาว ฐิติรัตน์ </t>
  </si>
  <si>
    <t xml:space="preserve">แต้มครบุรี </t>
  </si>
  <si>
    <t xml:space="preserve">นางสาว มณิชญา </t>
  </si>
  <si>
    <t>ภูวัง</t>
  </si>
  <si>
    <t>กาบจันทร์</t>
  </si>
  <si>
    <t>ปานดำ</t>
  </si>
  <si>
    <t>คำมั่น</t>
  </si>
  <si>
    <t>นันตาเวียง</t>
  </si>
  <si>
    <t xml:space="preserve">ศิลปชัย </t>
  </si>
  <si>
    <t xml:space="preserve">นางสาว เพียรพร </t>
  </si>
  <si>
    <t>พรมตู้</t>
  </si>
  <si>
    <t>วรวงศ์สมคำ</t>
  </si>
  <si>
    <t xml:space="preserve">นางสาว พจมาน </t>
  </si>
  <si>
    <t xml:space="preserve">มูลหา </t>
  </si>
  <si>
    <t>ศรีแสง</t>
  </si>
  <si>
    <t>นาย สมเษียร</t>
  </si>
  <si>
    <t>แสนเสน</t>
  </si>
  <si>
    <t>ยิ่งจอหอ</t>
  </si>
  <si>
    <t>เสาสมภพ</t>
  </si>
  <si>
    <t>ชุมใหม่</t>
  </si>
  <si>
    <t>นาย ธนชัย</t>
  </si>
  <si>
    <t>อรัญวาสน์</t>
  </si>
  <si>
    <t>โมลาสิน</t>
  </si>
  <si>
    <t>อัญญะโพธิ์</t>
  </si>
  <si>
    <t>จตุเทน</t>
  </si>
  <si>
    <t>วงค์อามาตย์</t>
  </si>
  <si>
    <t xml:space="preserve">นางสาว กาญจนาพร </t>
  </si>
  <si>
    <t xml:space="preserve">พันธิรัตน์ </t>
  </si>
  <si>
    <t>นาย ธนพงษ์</t>
  </si>
  <si>
    <t>พรมพวง</t>
  </si>
  <si>
    <t>นาย บาหยัน</t>
  </si>
  <si>
    <t>ป้องวิเศษ</t>
  </si>
  <si>
    <t>นาง กุลจิรา</t>
  </si>
  <si>
    <t>บุญล่วง</t>
  </si>
  <si>
    <t>ณรงค์ศักดิ์</t>
  </si>
  <si>
    <t>นางสาว นพพร</t>
  </si>
  <si>
    <t>กองพันธ์</t>
  </si>
  <si>
    <t>จงอริยตระกูล</t>
  </si>
  <si>
    <t>ว่าที่ ร.ต. พุทธพร</t>
  </si>
  <si>
    <t>วิวาจารย์</t>
  </si>
  <si>
    <t>นางสาว อุษณี</t>
  </si>
  <si>
    <t>เขจะรานนท์</t>
  </si>
  <si>
    <t>นาย ชัยยา</t>
  </si>
  <si>
    <t xml:space="preserve">นาง ไขนภา </t>
  </si>
  <si>
    <t xml:space="preserve">เขจะรานนท์ </t>
  </si>
  <si>
    <t>นาง จิตติพร</t>
  </si>
  <si>
    <t>จินดาแก้ว</t>
  </si>
  <si>
    <t>แย้มสง่า</t>
  </si>
  <si>
    <t xml:space="preserve">สังขศรี </t>
  </si>
  <si>
    <t>นางสาว ขัตติยา</t>
  </si>
  <si>
    <t>สุวรรณคำ</t>
  </si>
  <si>
    <t>นาย สุกรรณ</t>
  </si>
  <si>
    <t>ปัญสวัสดิ์</t>
  </si>
  <si>
    <t>เกลาเกลี้ยง</t>
  </si>
  <si>
    <t>แก้วหอม</t>
  </si>
  <si>
    <t>บุญทวี</t>
  </si>
  <si>
    <t xml:space="preserve">นาย วิบูลย์ศักดิ์ </t>
  </si>
  <si>
    <t xml:space="preserve">สายรัตน์ </t>
  </si>
  <si>
    <t>ทองทวี</t>
  </si>
  <si>
    <t>โพธิ์ขาว</t>
  </si>
  <si>
    <t>นาย จิรายุทธ</t>
  </si>
  <si>
    <t>นวลเจริญ</t>
  </si>
  <si>
    <t>นาย ชัยฤทธิ์</t>
  </si>
  <si>
    <t>ดำรงเกียรติ</t>
  </si>
  <si>
    <t>จงวนิช</t>
  </si>
  <si>
    <t>นาย ชาญพิทยา</t>
  </si>
  <si>
    <t>ฉิมพาลี</t>
  </si>
  <si>
    <t>นางสาว วงเดือน</t>
  </si>
  <si>
    <t>นาง จุลมณี</t>
  </si>
  <si>
    <t>ไพฑูรย์เจริญลาภ</t>
  </si>
  <si>
    <t>วาจาสัตย์</t>
  </si>
  <si>
    <t>ใจจินดา</t>
  </si>
  <si>
    <t>สะและน้อย</t>
  </si>
  <si>
    <t>รังสิชล</t>
  </si>
  <si>
    <t>เทียมหงษ์</t>
  </si>
  <si>
    <t>นางสาว นุชญา</t>
  </si>
  <si>
    <t>เครือสถิตย์</t>
  </si>
  <si>
    <t>สมบูรณ์ยศเดช</t>
  </si>
  <si>
    <t>วิริยางกูร</t>
  </si>
  <si>
    <t>นาง พรประภา</t>
  </si>
  <si>
    <t>แพทย์พันธุ์</t>
  </si>
  <si>
    <t>นาง อุรัสณีย์</t>
  </si>
  <si>
    <t>จิงหะรานนท์</t>
  </si>
  <si>
    <t>นาง จุรี</t>
  </si>
  <si>
    <t>ภัทรกุลนิษฐ์</t>
  </si>
  <si>
    <t>วิชญะเดชา</t>
  </si>
  <si>
    <t>นาง พรศิริ</t>
  </si>
  <si>
    <t>เสนากัสป์</t>
  </si>
  <si>
    <t>นาง ศรีสอางค์</t>
  </si>
  <si>
    <t>ทองเกตุ</t>
  </si>
  <si>
    <t>นาง ปานจิตร</t>
  </si>
  <si>
    <t>กัลยาณมิตร</t>
  </si>
  <si>
    <t>นาง วิวัฒนา</t>
  </si>
  <si>
    <t>โฉมสินทร์</t>
  </si>
  <si>
    <t>ยินอัศวพรรณ</t>
  </si>
  <si>
    <t>นาง วราณี</t>
  </si>
  <si>
    <t>จินดาวิภาต</t>
  </si>
  <si>
    <t>เดชพิทยานันท์</t>
  </si>
  <si>
    <t>นาย สมเจต</t>
  </si>
  <si>
    <t>สิงคนิภา</t>
  </si>
  <si>
    <t>นาง ทานตะวัน</t>
  </si>
  <si>
    <t>วรรธนะวลัญช์</t>
  </si>
  <si>
    <t>นาง นาฏยา</t>
  </si>
  <si>
    <t>รอดชีวัน</t>
  </si>
  <si>
    <t>นาย ธนันท์</t>
  </si>
  <si>
    <t>หาญเกริกไกร</t>
  </si>
  <si>
    <t>ฐิตะฐาน</t>
  </si>
  <si>
    <t xml:space="preserve">นาย สมชัย </t>
  </si>
  <si>
    <t xml:space="preserve">เชื้อเกี้ยน </t>
  </si>
  <si>
    <t>ขานฤทธี</t>
  </si>
  <si>
    <t>นาย สุน</t>
  </si>
  <si>
    <t>กสิเสรีวงศ์</t>
  </si>
  <si>
    <t>ฉ่ำศาสตร์</t>
  </si>
  <si>
    <t>นาง สุรินทร์</t>
  </si>
  <si>
    <t>โฉมฉลาด</t>
  </si>
  <si>
    <t>คูณสมบัติ</t>
  </si>
  <si>
    <t>นาง พิมพ์ใจ</t>
  </si>
  <si>
    <t>เกิดบัว</t>
  </si>
  <si>
    <t>โพธิ์พันธุ์</t>
  </si>
  <si>
    <t>ทยาวัตร</t>
  </si>
  <si>
    <t>เศวตาสัย</t>
  </si>
  <si>
    <t>นางสาว รานี</t>
  </si>
  <si>
    <t>วิทโยภาส</t>
  </si>
  <si>
    <t>นาง ชูชื่น</t>
  </si>
  <si>
    <t>แสงทับ</t>
  </si>
  <si>
    <t>อ่ำบุญ</t>
  </si>
  <si>
    <t>ไทยเขียว</t>
  </si>
  <si>
    <t>ธรรมชัย</t>
  </si>
  <si>
    <t>ภูสุภา</t>
  </si>
  <si>
    <t>ฉิมเล็ก</t>
  </si>
  <si>
    <t>นาย ผดุงพร</t>
  </si>
  <si>
    <t>จำรูญวงษ์</t>
  </si>
  <si>
    <t>นาง นริศรา</t>
  </si>
  <si>
    <t>นาง อัญญกร</t>
  </si>
  <si>
    <t>เจิงกลิ่นจันทร์</t>
  </si>
  <si>
    <t>ยศเทียม</t>
  </si>
  <si>
    <t>อ้นถาวร</t>
  </si>
  <si>
    <t>จิตต์พานิช</t>
  </si>
  <si>
    <t>กมลมุนีรัตน์</t>
  </si>
  <si>
    <t>นาง ผ่องพิศ</t>
  </si>
  <si>
    <t>ศรีอ่อนหล้า</t>
  </si>
  <si>
    <t>นาย บุญสนอง</t>
  </si>
  <si>
    <t>ปิยะวงศ์ลาวัลย์</t>
  </si>
  <si>
    <t>ฉัตรสาระกุล</t>
  </si>
  <si>
    <t>นาย โศรนันท์</t>
  </si>
  <si>
    <t>มะลิมาตย์</t>
  </si>
  <si>
    <t>นาย บุญล้ำ</t>
  </si>
  <si>
    <t>ผายสุวรรณ</t>
  </si>
  <si>
    <t>ทัศนารักษ์</t>
  </si>
  <si>
    <t>สารสิทธิ์</t>
  </si>
  <si>
    <t>ปรโม</t>
  </si>
  <si>
    <t>นาง ทิพยวรรณ</t>
  </si>
  <si>
    <t>นาย บุญประสพ</t>
  </si>
  <si>
    <t>สุรัฐติกุล</t>
  </si>
  <si>
    <t>นาง สดศรี</t>
  </si>
  <si>
    <t>พึ่มชัย</t>
  </si>
  <si>
    <t>ตันติรุ่งปกรณ์</t>
  </si>
  <si>
    <t>นาย นิติธร</t>
  </si>
  <si>
    <t>ระโยธี</t>
  </si>
  <si>
    <t xml:space="preserve">นาย สัมฤทธิ์ </t>
  </si>
  <si>
    <t xml:space="preserve">ชมภูบุตร </t>
  </si>
  <si>
    <t>นาย สืบตระกูล</t>
  </si>
  <si>
    <t>มิลินทานุช</t>
  </si>
  <si>
    <t>เนื่องชมพู</t>
  </si>
  <si>
    <t>วรามิตร</t>
  </si>
  <si>
    <t>นาย รักชัย</t>
  </si>
  <si>
    <t>คนหาญ</t>
  </si>
  <si>
    <t xml:space="preserve">หาดภิชัย </t>
  </si>
  <si>
    <t>ปานประเสริฐ</t>
  </si>
  <si>
    <t>นาย ธนกร</t>
  </si>
  <si>
    <t>ชุณหะนันทน์</t>
  </si>
  <si>
    <t>ชัยคำ</t>
  </si>
  <si>
    <t>นาง ไฝทอง</t>
  </si>
  <si>
    <t>นัยธนิต</t>
  </si>
  <si>
    <t>นางสาว เพ็ญสวาท</t>
  </si>
  <si>
    <t>สุวรรณศร</t>
  </si>
  <si>
    <t>เรืองแก้วมณี</t>
  </si>
  <si>
    <t>นาย เอกกมล</t>
  </si>
  <si>
    <t>นพสุวรรณ</t>
  </si>
  <si>
    <t>นาย นำพา</t>
  </si>
  <si>
    <t>จันทร์วงศ์</t>
  </si>
  <si>
    <t>นาย ทศพร</t>
  </si>
  <si>
    <t>รักษายศ</t>
  </si>
  <si>
    <t>นาง รุ่งทิวา</t>
  </si>
  <si>
    <t>วัฒนกีบุตร</t>
  </si>
  <si>
    <t xml:space="preserve">เถินบุรินทร์ </t>
  </si>
  <si>
    <t xml:space="preserve">นาย วรสิทธิ์ </t>
  </si>
  <si>
    <t>วรพล</t>
  </si>
  <si>
    <t>นางสาว นภาจรัส</t>
  </si>
  <si>
    <t>อำมาตย์โยธิน</t>
  </si>
  <si>
    <t>นาย วัสการ</t>
  </si>
  <si>
    <t>สุริยะลังการ์</t>
  </si>
  <si>
    <t>ปัญญามา</t>
  </si>
  <si>
    <t>นาย ทิชากร</t>
  </si>
  <si>
    <t>เครืออรุณรัตน์</t>
  </si>
  <si>
    <t>พิชัยเสน</t>
  </si>
  <si>
    <t>นาย อินเดีย</t>
  </si>
  <si>
    <t>คุ้มสิน</t>
  </si>
  <si>
    <t>มาลาวัลย์</t>
  </si>
  <si>
    <t>มะโนเครื่อง</t>
  </si>
  <si>
    <t>พัฒนาธรชัย</t>
  </si>
  <si>
    <t>นาง มนัชยา</t>
  </si>
  <si>
    <t>โรจนวิเชียร</t>
  </si>
  <si>
    <t>สุวรรณคาม</t>
  </si>
  <si>
    <t>หุ่นธานี</t>
  </si>
  <si>
    <t>อึ้งอาภรณ์</t>
  </si>
  <si>
    <t>กล้ากลางสมร</t>
  </si>
  <si>
    <t>ตนพยอม</t>
  </si>
  <si>
    <t>แสงโป๋</t>
  </si>
  <si>
    <t>ตันสตูล</t>
  </si>
  <si>
    <t>จามรพิพัฒน์</t>
  </si>
  <si>
    <t>จันทรปิฏก</t>
  </si>
  <si>
    <t>นาย นิทัศน์</t>
  </si>
  <si>
    <t>ธานินท์ธราธาร</t>
  </si>
  <si>
    <t>ไทยสังคม</t>
  </si>
  <si>
    <t>นาย อุปพงษ์</t>
  </si>
  <si>
    <t>สุวิเชียร</t>
  </si>
  <si>
    <t>แย้มชู</t>
  </si>
  <si>
    <t>นุชพ่วง</t>
  </si>
  <si>
    <t>น้อยนึ่ง</t>
  </si>
  <si>
    <t>โฆษิตประเสริฐ</t>
  </si>
  <si>
    <t>เตระจิตร</t>
  </si>
  <si>
    <t>พ.จ.ต. เจริญชัย</t>
  </si>
  <si>
    <t>สรวยศรีเมือง</t>
  </si>
  <si>
    <t>ทองอรัญญิก</t>
  </si>
  <si>
    <t>ทองนุช</t>
  </si>
  <si>
    <t>นิตยชัยสิทธิ์</t>
  </si>
  <si>
    <t>เพียรวิทยา</t>
  </si>
  <si>
    <t>นาย สำเร็จ</t>
  </si>
  <si>
    <t>พฤกประสงค์</t>
  </si>
  <si>
    <t>สัจจะบุญทวี</t>
  </si>
  <si>
    <t>จันทรเพชร</t>
  </si>
  <si>
    <t>นาย ธีระชล</t>
  </si>
  <si>
    <t>ช่างเสียง</t>
  </si>
  <si>
    <t>ศรเพ็ชร์</t>
  </si>
  <si>
    <t>พรหมสุวรรณ</t>
  </si>
  <si>
    <t>เกราะแก้ว</t>
  </si>
  <si>
    <t>นางสาว พัศดาพร</t>
  </si>
  <si>
    <t>นาเหล็ก</t>
  </si>
  <si>
    <t>มีพฤกษ์</t>
  </si>
  <si>
    <t>นางสาว อาลัย</t>
  </si>
  <si>
    <t>อุ่นนิ่ม</t>
  </si>
  <si>
    <t>นาง จนาภากาญ</t>
  </si>
  <si>
    <t>ตุลาคุปต์</t>
  </si>
  <si>
    <t>ทองพยงค์</t>
  </si>
  <si>
    <t>นาง เรียม</t>
  </si>
  <si>
    <t>ขำบางม่วง</t>
  </si>
  <si>
    <t>รอดอินทร์</t>
  </si>
  <si>
    <t>นาย บุตร</t>
  </si>
  <si>
    <t>ศรีอินทร์สุด</t>
  </si>
  <si>
    <t>จำปาดิบ</t>
  </si>
  <si>
    <t>กลอยกล่อม</t>
  </si>
  <si>
    <t>ม่วงชู</t>
  </si>
  <si>
    <t>คำตา</t>
  </si>
  <si>
    <t>พรมทอง</t>
  </si>
  <si>
    <t>นาง นงค์นุช</t>
  </si>
  <si>
    <t>แก้วมานพ</t>
  </si>
  <si>
    <t>ชัยขวัญ</t>
  </si>
  <si>
    <t>นาย ยนต์</t>
  </si>
  <si>
    <t>นารอด</t>
  </si>
  <si>
    <t>จากทัพเนตร</t>
  </si>
  <si>
    <t>นาย ทองหยด</t>
  </si>
  <si>
    <t>แก้วรักรบ</t>
  </si>
  <si>
    <t>นาย จำนอง</t>
  </si>
  <si>
    <t>สุบินมิตร</t>
  </si>
  <si>
    <t>นาง วสุกาญจน์</t>
  </si>
  <si>
    <t>หล่ำวังช่วย</t>
  </si>
  <si>
    <t>นาย บุญเรือน</t>
  </si>
  <si>
    <t>ลายมั่น</t>
  </si>
  <si>
    <t>เกียรติงาม</t>
  </si>
  <si>
    <t>ทาสันเทียะ</t>
  </si>
  <si>
    <t>พันธะแสง</t>
  </si>
  <si>
    <t>เปลื้องกระโทก</t>
  </si>
  <si>
    <t>นวลพุดซา</t>
  </si>
  <si>
    <t>จินดาทะเล</t>
  </si>
  <si>
    <t>นาย จำรัตน์</t>
  </si>
  <si>
    <t>พรหมงาม</t>
  </si>
  <si>
    <t>นาย รังสิต</t>
  </si>
  <si>
    <t>นาย สายเร็น</t>
  </si>
  <si>
    <t>แววดี</t>
  </si>
  <si>
    <t>บุตรเคน</t>
  </si>
  <si>
    <t>สารกอง</t>
  </si>
  <si>
    <t>นาย หิรัญย์</t>
  </si>
  <si>
    <t>โคตรคำ</t>
  </si>
  <si>
    <t>เจือสุข</t>
  </si>
  <si>
    <t>อันธุ</t>
  </si>
  <si>
    <t>มุงคุณคำซาว</t>
  </si>
  <si>
    <t>โยวะบุตร</t>
  </si>
  <si>
    <t>นาง ธนัญญา</t>
  </si>
  <si>
    <t>ศิริมณี</t>
  </si>
  <si>
    <t>จิตรดี</t>
  </si>
  <si>
    <t>มุงคำภา</t>
  </si>
  <si>
    <t>จิโนเจริญ</t>
  </si>
  <si>
    <t>นาย วรนุช</t>
  </si>
  <si>
    <t>นาย บุณยขจร</t>
  </si>
  <si>
    <t>บุณยกิติยาการ</t>
  </si>
  <si>
    <t>นาย ลำใย</t>
  </si>
  <si>
    <t>ไค่นุ่นโพธิ์</t>
  </si>
  <si>
    <t>สังฆะมณี</t>
  </si>
  <si>
    <t>พินิจการ</t>
  </si>
  <si>
    <t>ชอบบุญ</t>
  </si>
  <si>
    <t>นาย สุระชา</t>
  </si>
  <si>
    <t>เอกวงษา</t>
  </si>
  <si>
    <t>โพสาวัง</t>
  </si>
  <si>
    <t>นาย คมกริบ</t>
  </si>
  <si>
    <t>กาญบุตร</t>
  </si>
  <si>
    <t>ลีคำงาม</t>
  </si>
  <si>
    <t>คำพิทูล</t>
  </si>
  <si>
    <t>โพธิ์สาราช</t>
  </si>
  <si>
    <t>พอเกตุ</t>
  </si>
  <si>
    <t>พรหมอารักษ์</t>
  </si>
  <si>
    <t>สุนารักษ์</t>
  </si>
  <si>
    <t>วงศ์ประทุม</t>
  </si>
  <si>
    <t>ศิริคลพรม</t>
  </si>
  <si>
    <t>นาย หนูปาน</t>
  </si>
  <si>
    <t>จันทิมา</t>
  </si>
  <si>
    <t>หมื่นโพธิ์</t>
  </si>
  <si>
    <t>นาย ปัน</t>
  </si>
  <si>
    <t>มะนาว</t>
  </si>
  <si>
    <t>นาย นิตย์</t>
  </si>
  <si>
    <t>เลขา</t>
  </si>
  <si>
    <t>เมฆรา</t>
  </si>
  <si>
    <t>ชื่นช้าง</t>
  </si>
  <si>
    <t>ศิริวรรณรัตน์</t>
  </si>
  <si>
    <t>นาย บูรณ์ทวี</t>
  </si>
  <si>
    <t>ยินดี</t>
  </si>
  <si>
    <t>ฟูมัง</t>
  </si>
  <si>
    <t>นาง ศรีนวล</t>
  </si>
  <si>
    <t>น้อยปลูก</t>
  </si>
  <si>
    <t>จอมอินตา</t>
  </si>
  <si>
    <t>นาย เพ็ชร</t>
  </si>
  <si>
    <t>นาย ลมัย</t>
  </si>
  <si>
    <t>จงจิระเกษม</t>
  </si>
  <si>
    <t>นาย สะอาด</t>
  </si>
  <si>
    <t>ฟูวุฒิ</t>
  </si>
  <si>
    <t>นาย บุญเลย</t>
  </si>
  <si>
    <t>จันต๊ะวงศ์</t>
  </si>
  <si>
    <t>นาย ดอน</t>
  </si>
  <si>
    <t xml:space="preserve">นาย คชาชาญ </t>
  </si>
  <si>
    <t xml:space="preserve">เมี้ยงหอม </t>
  </si>
  <si>
    <t>ชูแสง</t>
  </si>
  <si>
    <t>ชุ่มน้ำค้าง</t>
  </si>
  <si>
    <t>นาย เรืองฤทธิ์</t>
  </si>
  <si>
    <t>อุปภา</t>
  </si>
  <si>
    <t>ธูปจันทร์</t>
  </si>
  <si>
    <t>บุญสูง</t>
  </si>
  <si>
    <t>เหล่าอินทร์</t>
  </si>
  <si>
    <t>นาง นิลยา</t>
  </si>
  <si>
    <t>ลิ่มเงิน</t>
  </si>
  <si>
    <t>นาย ต้อย</t>
  </si>
  <si>
    <t>ทองดอนเปรียง</t>
  </si>
  <si>
    <t>ไชยแก้ว</t>
  </si>
  <si>
    <t>สุทธิชาติ</t>
  </si>
  <si>
    <t>ยอดโปร่ง</t>
  </si>
  <si>
    <t>หุ่นครุฑ</t>
  </si>
  <si>
    <t>หมื่นคำ</t>
  </si>
  <si>
    <t>โพธา</t>
  </si>
  <si>
    <t>ภูนุช</t>
  </si>
  <si>
    <t>พวงนวม</t>
  </si>
  <si>
    <t>มุลมูล</t>
  </si>
  <si>
    <t>คงคาใส</t>
  </si>
  <si>
    <t>จินดาวงษ์</t>
  </si>
  <si>
    <t>นาย อนุชาติ</t>
  </si>
  <si>
    <t>ชาติดี</t>
  </si>
  <si>
    <t>นาง สุภรณ์</t>
  </si>
  <si>
    <t>สมบูรณ์ธรรม</t>
  </si>
  <si>
    <t>นางสาว สุภาณี</t>
  </si>
  <si>
    <t>ขำวิชา</t>
  </si>
  <si>
    <t>บัวเนียม</t>
  </si>
  <si>
    <t>นาย ชิต</t>
  </si>
  <si>
    <t>สงช่วย</t>
  </si>
  <si>
    <t>พูลช่วย</t>
  </si>
  <si>
    <t>นาง หนูเวศ</t>
  </si>
  <si>
    <t>เม่าน้ำพราย</t>
  </si>
  <si>
    <t>หนูไข่</t>
  </si>
  <si>
    <t>ภวังสวัสดิ์</t>
  </si>
  <si>
    <t>นาย สุดสาคร</t>
  </si>
  <si>
    <t>นาง ทัศนีย์วรรณ</t>
  </si>
  <si>
    <t>สุริยงหาญพงศ์</t>
  </si>
  <si>
    <t>นาง สินีนาฎ</t>
  </si>
  <si>
    <t>เสนผดุง</t>
  </si>
  <si>
    <t>ไทยถาวร</t>
  </si>
  <si>
    <t>ภู่เรือน</t>
  </si>
  <si>
    <t>นางสาว สุเบญญา</t>
  </si>
  <si>
    <t>พงศ์กระวี</t>
  </si>
  <si>
    <t>นาง อุมา</t>
  </si>
  <si>
    <t>ประสิทธิ์วัฒนเสรี</t>
  </si>
  <si>
    <t xml:space="preserve">นาง กอบกาญจน์ </t>
  </si>
  <si>
    <t xml:space="preserve">เตชะฤทธิ์ </t>
  </si>
  <si>
    <t>นางสาว วรรณวิไล</t>
  </si>
  <si>
    <t xml:space="preserve">ขันชะลี </t>
  </si>
  <si>
    <t>ขัติยะเนตร</t>
  </si>
  <si>
    <t xml:space="preserve">นาง รมยพร </t>
  </si>
  <si>
    <t>ม่วงช้าง</t>
  </si>
  <si>
    <t xml:space="preserve">นางสาว นนทิชา </t>
  </si>
  <si>
    <t xml:space="preserve">วรรณสว่าง </t>
  </si>
  <si>
    <t>นางสาว มาริสา</t>
  </si>
  <si>
    <t>ทรัพย์มูล</t>
  </si>
  <si>
    <t>นางสาว ชโลธร</t>
  </si>
  <si>
    <t>แก้วมงคล</t>
  </si>
  <si>
    <t xml:space="preserve">นางสาว กรณัฏฐ์ </t>
  </si>
  <si>
    <t xml:space="preserve">จันทร์ศรีธรรม </t>
  </si>
  <si>
    <t xml:space="preserve">นางสาว วิลาวัลย์ </t>
  </si>
  <si>
    <t xml:space="preserve">คล้ายเข็ม </t>
  </si>
  <si>
    <t>นางสาว สมปรารถนา</t>
  </si>
  <si>
    <t>เกิดนาค</t>
  </si>
  <si>
    <t>ภักดีสังข์</t>
  </si>
  <si>
    <t>นางสาว ธนิดา</t>
  </si>
  <si>
    <t>ผลอุดม</t>
  </si>
  <si>
    <t xml:space="preserve">นางสาว ลออรัตน์ </t>
  </si>
  <si>
    <t>ปานมา</t>
  </si>
  <si>
    <t>นางสาว จาฏุพัจน์</t>
  </si>
  <si>
    <t>รอดอริห์</t>
  </si>
  <si>
    <t>นางสาว พึงใจ</t>
  </si>
  <si>
    <t>ปราสาร</t>
  </si>
  <si>
    <t xml:space="preserve">นางสาว รสคนธ์ </t>
  </si>
  <si>
    <t xml:space="preserve">แก้วสะอาด </t>
  </si>
  <si>
    <t>พระเพชร</t>
  </si>
  <si>
    <t xml:space="preserve">นางสาว เกษมณี </t>
  </si>
  <si>
    <t>ทันใจ</t>
  </si>
  <si>
    <t>ว่าที่ พ.ต. วิศาล</t>
  </si>
  <si>
    <t>สมพงษ์</t>
  </si>
  <si>
    <t>แก้วสร</t>
  </si>
  <si>
    <t>นางสาว เขมณัฏฐ์</t>
  </si>
  <si>
    <t>พุกพูล</t>
  </si>
  <si>
    <t>นาง วเรนยา</t>
  </si>
  <si>
    <t>คชสำโรง</t>
  </si>
  <si>
    <t>อังสุมาลี</t>
  </si>
  <si>
    <t>นาย กิติพงษ์</t>
  </si>
  <si>
    <t>สอาดกิตินันท์</t>
  </si>
  <si>
    <t xml:space="preserve">ศิริเจริญ </t>
  </si>
  <si>
    <t xml:space="preserve">นางสาว รติกร </t>
  </si>
  <si>
    <t xml:space="preserve">วรรณบวร </t>
  </si>
  <si>
    <t>นางสาว อารีรัฐ</t>
  </si>
  <si>
    <t>สุรธรรมจรรยา</t>
  </si>
  <si>
    <t>นาย กิตติ์กำธร</t>
  </si>
  <si>
    <t>สงวนคัมธรณ์</t>
  </si>
  <si>
    <t>การปรีดี</t>
  </si>
  <si>
    <t>พันธ์มณี</t>
  </si>
  <si>
    <t xml:space="preserve">แซ่โล้ว </t>
  </si>
  <si>
    <t>นางสาว พรจิต</t>
  </si>
  <si>
    <t>นาย ณัฎฐกิตติ์</t>
  </si>
  <si>
    <t>ของทิพย์</t>
  </si>
  <si>
    <t>นางสาว โสภิดา</t>
  </si>
  <si>
    <t>พ่อค้า</t>
  </si>
  <si>
    <t>นางสาว วาสิฏฐี</t>
  </si>
  <si>
    <t>ขัตสากาญจน์</t>
  </si>
  <si>
    <t>นางสาว ศิวาภรณ์</t>
  </si>
  <si>
    <t>อาจนันท์</t>
  </si>
  <si>
    <t>นางสาว ชุลีพร</t>
  </si>
  <si>
    <t>โสมสง</t>
  </si>
  <si>
    <t>นาย พรนิมิต</t>
  </si>
  <si>
    <t>รวยกร</t>
  </si>
  <si>
    <t>นางสาว ญาณีกานต์</t>
  </si>
  <si>
    <t>จิตรีชัย</t>
  </si>
  <si>
    <t>ประดิษฐ์คุ้ม</t>
  </si>
  <si>
    <t>นาง ฉนัดฎา</t>
  </si>
  <si>
    <t>ทองแจ่ม</t>
  </si>
  <si>
    <t>นาง สุนทรินทร์</t>
  </si>
  <si>
    <t>จองเจริญรัตน์</t>
  </si>
  <si>
    <t>นาย จัตุชัย</t>
  </si>
  <si>
    <t>เนตยานันท์</t>
  </si>
  <si>
    <t>นางสาว วัลย์ลัดดา</t>
  </si>
  <si>
    <t>จูห้อง</t>
  </si>
  <si>
    <t>นางสาว ญาณิกา</t>
  </si>
  <si>
    <t>ต้นทอง</t>
  </si>
  <si>
    <t xml:space="preserve">นางสาว อนุชิตา </t>
  </si>
  <si>
    <t xml:space="preserve">รัตนรัตน์ </t>
  </si>
  <si>
    <t xml:space="preserve">อนุศาสนะนันท์ </t>
  </si>
  <si>
    <t>นางสาว อริญชยา</t>
  </si>
  <si>
    <t>ดนตรีเจริญ</t>
  </si>
  <si>
    <t>นาย รพิทิวัตถ์</t>
  </si>
  <si>
    <t>เจริญนิตินนท์</t>
  </si>
  <si>
    <t xml:space="preserve">นาย ปกรณ์ศิริ </t>
  </si>
  <si>
    <t xml:space="preserve">บั้งทอง </t>
  </si>
  <si>
    <t xml:space="preserve">นางสาว ธนารัตน์ </t>
  </si>
  <si>
    <t xml:space="preserve">ปิยะวรากร </t>
  </si>
  <si>
    <t xml:space="preserve">นางสาว ชมภูนุช </t>
  </si>
  <si>
    <t xml:space="preserve">ลิ้มประสาท </t>
  </si>
  <si>
    <t>ทองน้อย</t>
  </si>
  <si>
    <t xml:space="preserve">นางสาว วริน </t>
  </si>
  <si>
    <t xml:space="preserve">วัฒนมะโน </t>
  </si>
  <si>
    <t xml:space="preserve">นางสาว พัชร์ธนวัญญ์ </t>
  </si>
  <si>
    <t>สมานิตย์</t>
  </si>
  <si>
    <t>นาง แขสุมาลย์</t>
  </si>
  <si>
    <t>ปัญญากาศ</t>
  </si>
  <si>
    <t>นาย ณัชฐ์ธนภัสร์</t>
  </si>
  <si>
    <t>ทรงทวีปัญญา</t>
  </si>
  <si>
    <t>นางสาว สุพรรณษา</t>
  </si>
  <si>
    <t>พงษ์ภู่</t>
  </si>
  <si>
    <t>นาย สุทธิสาร</t>
  </si>
  <si>
    <t>สุวรรณพักตร์</t>
  </si>
  <si>
    <t>นาย เชือน</t>
  </si>
  <si>
    <t>จันทร์คุ้ม</t>
  </si>
  <si>
    <t>ศรีดี</t>
  </si>
  <si>
    <t>นาย นพรุจ</t>
  </si>
  <si>
    <t>นาย ชยพล</t>
  </si>
  <si>
    <t>นาย บัณฑิตย์</t>
  </si>
  <si>
    <t>งามวิลาศ</t>
  </si>
  <si>
    <t>นาย คำนบ</t>
  </si>
  <si>
    <t>วงษ์มณี</t>
  </si>
  <si>
    <t>นาง นิรดา</t>
  </si>
  <si>
    <t>ศิลาอ่อน</t>
  </si>
  <si>
    <t>อยู่ม่วง</t>
  </si>
  <si>
    <t>นาง ธิดา</t>
  </si>
  <si>
    <t>โกวิท</t>
  </si>
  <si>
    <t>รื่นภาคเพ็ชร</t>
  </si>
  <si>
    <t xml:space="preserve">เกิดสุข </t>
  </si>
  <si>
    <t xml:space="preserve">นางสาว ณัญมน </t>
  </si>
  <si>
    <t xml:space="preserve">มณีแสง </t>
  </si>
  <si>
    <t xml:space="preserve">นางสาว ดาวรุ่ง </t>
  </si>
  <si>
    <t>จันทา</t>
  </si>
  <si>
    <t xml:space="preserve">สีทอง </t>
  </si>
  <si>
    <t xml:space="preserve">นาย วธัญญู </t>
  </si>
  <si>
    <t xml:space="preserve">พัฒชะนะ </t>
  </si>
  <si>
    <t>แปรงกระโทก</t>
  </si>
  <si>
    <t>เกษรหอม</t>
  </si>
  <si>
    <t>เอกรุณ</t>
  </si>
  <si>
    <t>นาง ศิรินุธ</t>
  </si>
  <si>
    <t>โชคบำรุงศิลป์</t>
  </si>
  <si>
    <t>พงศาวรรธนะ</t>
  </si>
  <si>
    <t>นาย วิรุจน์</t>
  </si>
  <si>
    <t>ทาดี</t>
  </si>
  <si>
    <t>จรทะผา</t>
  </si>
  <si>
    <t>ชื่นหมื่นไว</t>
  </si>
  <si>
    <t>นาย กฤษฎิน</t>
  </si>
  <si>
    <t>คำตัน</t>
  </si>
  <si>
    <t>หัตถ์ฐาปนวัฒน์</t>
  </si>
  <si>
    <t>นางสาว ศิริพัฒน์</t>
  </si>
  <si>
    <t>ธงสันเทียะ</t>
  </si>
  <si>
    <t>นาย สันติชัย</t>
  </si>
  <si>
    <t xml:space="preserve">นาย สมจิตร </t>
  </si>
  <si>
    <t xml:space="preserve">อาจหาญ </t>
  </si>
  <si>
    <t xml:space="preserve">นาง พิมลสิริ </t>
  </si>
  <si>
    <t xml:space="preserve">ศุภเสถียรไชย </t>
  </si>
  <si>
    <t xml:space="preserve">นาย สฤษดิ์ </t>
  </si>
  <si>
    <t xml:space="preserve">พูนสังข์ </t>
  </si>
  <si>
    <t xml:space="preserve">ว่องวิกย์การ </t>
  </si>
  <si>
    <t>นาง สุภาลักษณ์</t>
  </si>
  <si>
    <t>ชัยอนันต์</t>
  </si>
  <si>
    <t>นาย เชิดศักดิ์</t>
  </si>
  <si>
    <t>ธรรมิรัตนเกษม</t>
  </si>
  <si>
    <t>ก๋ายศ</t>
  </si>
  <si>
    <t>ปวนศาลา</t>
  </si>
  <si>
    <t>ศรีใจแก้ว</t>
  </si>
  <si>
    <t>ประเสริฐอำไพสกุล</t>
  </si>
  <si>
    <t xml:space="preserve">คุ้ยทรัพย์ </t>
  </si>
  <si>
    <t>มาใหญ่</t>
  </si>
  <si>
    <t>นาย อภิเชฐ</t>
  </si>
  <si>
    <t>ทองลัก</t>
  </si>
  <si>
    <t>นาย ไพบูณ</t>
  </si>
  <si>
    <t>ขำอินทร์</t>
  </si>
  <si>
    <t>ศิริสัมพันธ์</t>
  </si>
  <si>
    <t>นาง ยุพาวรรณ</t>
  </si>
  <si>
    <t xml:space="preserve">นาง เนตรชนก </t>
  </si>
  <si>
    <t>กวางแก้ว</t>
  </si>
  <si>
    <t>อยู่สนิท</t>
  </si>
  <si>
    <t xml:space="preserve">นางสาว เอนิสา </t>
  </si>
  <si>
    <t xml:space="preserve">รัตนเรืองบวร </t>
  </si>
  <si>
    <t>โนราช</t>
  </si>
  <si>
    <t>นางสาว วัฒนารัตน์</t>
  </si>
  <si>
    <t>อินชูพงษ์</t>
  </si>
  <si>
    <t>นาย แมนรัตน์</t>
  </si>
  <si>
    <t>เทียนชูศักดิ์</t>
  </si>
  <si>
    <t xml:space="preserve">อุ้ยมาก </t>
  </si>
  <si>
    <t>เนตรศิริ</t>
  </si>
  <si>
    <t>นาง สอิ้ง</t>
  </si>
  <si>
    <t>นางสาว ชาวดี</t>
  </si>
  <si>
    <t>ช้างเสวก</t>
  </si>
  <si>
    <t>กุลสุวรรณ</t>
  </si>
  <si>
    <t xml:space="preserve">นาย ธารา </t>
  </si>
  <si>
    <t>ละพันธ์</t>
  </si>
  <si>
    <t>ศรีเทศ</t>
  </si>
  <si>
    <t>เผือกจีน</t>
  </si>
  <si>
    <t>แหลมเจริญพงศ์</t>
  </si>
  <si>
    <t xml:space="preserve">ยอดปรางค์ </t>
  </si>
  <si>
    <t>ศรีชัย</t>
  </si>
  <si>
    <t>นาย พวงษ์</t>
  </si>
  <si>
    <t>ชะเลิศเพ็ชร</t>
  </si>
  <si>
    <t>นาง สุภียา</t>
  </si>
  <si>
    <t>กาพันธ์</t>
  </si>
  <si>
    <t>เจียมสวัสดิ์</t>
  </si>
  <si>
    <t>นาง บุญให้</t>
  </si>
  <si>
    <t>ชายชุม</t>
  </si>
  <si>
    <t>นาง ลักษณี</t>
  </si>
  <si>
    <t>มีธรรม</t>
  </si>
  <si>
    <t>ดวงภักดี</t>
  </si>
  <si>
    <t>แก้วดุก</t>
  </si>
  <si>
    <t>อ่อนเงิน</t>
  </si>
  <si>
    <t>เทพสง</t>
  </si>
  <si>
    <t>เทพศิริ</t>
  </si>
  <si>
    <t>เพชรทรัพย์</t>
  </si>
  <si>
    <t>นาย กิจติ</t>
  </si>
  <si>
    <t>ปล้องพันธ์</t>
  </si>
  <si>
    <t>หนูพ่วง</t>
  </si>
  <si>
    <t>ทองชั่ง</t>
  </si>
  <si>
    <t xml:space="preserve">นาง วาสนา </t>
  </si>
  <si>
    <t xml:space="preserve">ไชยเสนา </t>
  </si>
  <si>
    <t xml:space="preserve">จิโนเจริญ </t>
  </si>
  <si>
    <t>สุดสาคร</t>
  </si>
  <si>
    <t>นาย ประพจน์</t>
  </si>
  <si>
    <t>พรหมฟัง</t>
  </si>
  <si>
    <t>นาย เฉลา</t>
  </si>
  <si>
    <t>ช้างสัมฤทธิ์</t>
  </si>
  <si>
    <t>อินพรหม</t>
  </si>
  <si>
    <t>กิติกุศล</t>
  </si>
  <si>
    <t>นาย ดวงจันทร์</t>
  </si>
  <si>
    <t>นาย รัชรังสี</t>
  </si>
  <si>
    <t>จิโน</t>
  </si>
  <si>
    <t>ทนาราช</t>
  </si>
  <si>
    <t>มังคะละ</t>
  </si>
  <si>
    <t>นาย วรรณ</t>
  </si>
  <si>
    <t>พงษ์ไฝ</t>
  </si>
  <si>
    <t>นาย อมรฤทธิ์</t>
  </si>
  <si>
    <t>นาง เตือนจิตร</t>
  </si>
  <si>
    <t>สมบัตินันทน์</t>
  </si>
  <si>
    <t>อินทรพงษ์</t>
  </si>
  <si>
    <t>นาง ศิริกานดา</t>
  </si>
  <si>
    <t>อะกะเรือน</t>
  </si>
  <si>
    <t xml:space="preserve">นาง ศิราพร </t>
  </si>
  <si>
    <t xml:space="preserve">เชื้ออ้วน </t>
  </si>
  <si>
    <t>ชาวน่าน</t>
  </si>
  <si>
    <t>นาง เกตสุดา</t>
  </si>
  <si>
    <t>เมี้ยงหอม</t>
  </si>
  <si>
    <t>สายปิง</t>
  </si>
  <si>
    <t>ประวัง</t>
  </si>
  <si>
    <t>นาย อิ่นคำ</t>
  </si>
  <si>
    <t>พรหมเสน</t>
  </si>
  <si>
    <t>ว่าที่ ร.ต. วรวิทย์</t>
  </si>
  <si>
    <t>หาลือ</t>
  </si>
  <si>
    <t>อุ่นเป็ง</t>
  </si>
  <si>
    <t>นาย พินัย</t>
  </si>
  <si>
    <t>สมส่วน</t>
  </si>
  <si>
    <t>เมี่ยงหอม</t>
  </si>
  <si>
    <t>เมืองซื่อ</t>
  </si>
  <si>
    <t>นางสาว ปภสร</t>
  </si>
  <si>
    <t>อินต๊ะไชย</t>
  </si>
  <si>
    <t xml:space="preserve">นาง ปวริศา </t>
  </si>
  <si>
    <t xml:space="preserve">ธนันชัย </t>
  </si>
  <si>
    <t>นาง นวลเนตร</t>
  </si>
  <si>
    <t>โตสุวรรณ์</t>
  </si>
  <si>
    <t>จันทร์ผา</t>
  </si>
  <si>
    <t xml:space="preserve">นางสาว สุนทรียา </t>
  </si>
  <si>
    <t xml:space="preserve">ทรงสุภา </t>
  </si>
  <si>
    <t>พวงมาลี</t>
  </si>
  <si>
    <t>ธงชัย</t>
  </si>
  <si>
    <t>นาย กิจเรวัช</t>
  </si>
  <si>
    <t>สุดไทย</t>
  </si>
  <si>
    <t>มากสวนป่าน</t>
  </si>
  <si>
    <t>นาย กิตติภพ</t>
  </si>
  <si>
    <t>คำภิรปาวงค์</t>
  </si>
  <si>
    <t>นาง ธัญรดี</t>
  </si>
  <si>
    <t>แก้วลี</t>
  </si>
  <si>
    <t>เสลา</t>
  </si>
  <si>
    <t>นาย ต้อง</t>
  </si>
  <si>
    <t>ชื่นเรือง</t>
  </si>
  <si>
    <t>นาย เรวัตร</t>
  </si>
  <si>
    <t>นาง ชนาภา</t>
  </si>
  <si>
    <t>ปัทมาลี</t>
  </si>
  <si>
    <t>นาย ธนุส</t>
  </si>
  <si>
    <t>บุญดา</t>
  </si>
  <si>
    <t>นาง สายสวาท</t>
  </si>
  <si>
    <t>นาย รักชาติ</t>
  </si>
  <si>
    <t>อ่อนกล้า</t>
  </si>
  <si>
    <t>นาง ถวิล</t>
  </si>
  <si>
    <t>ทองสุทธิ์</t>
  </si>
  <si>
    <t>ท้าวเมือง</t>
  </si>
  <si>
    <t>จิระนันทิกุล</t>
  </si>
  <si>
    <t>พาบุญ</t>
  </si>
  <si>
    <t xml:space="preserve">นางสาว นันทภา </t>
  </si>
  <si>
    <t xml:space="preserve">นามภักดี </t>
  </si>
  <si>
    <t>โกมลมาลย์</t>
  </si>
  <si>
    <t>นาง ลักษณ์ชมนต์</t>
  </si>
  <si>
    <t>เฉลยบุญ</t>
  </si>
  <si>
    <t>บรรเทิงกุล</t>
  </si>
  <si>
    <t>แสนทรัพย์</t>
  </si>
  <si>
    <t>นาง ปานทอง</t>
  </si>
  <si>
    <t>สุภีร์</t>
  </si>
  <si>
    <t>นาย วิลักษณ์</t>
  </si>
  <si>
    <t>วงเที่ยง</t>
  </si>
  <si>
    <t>น้อยวงศ์</t>
  </si>
  <si>
    <t>ต้นแก้ว</t>
  </si>
  <si>
    <t>สุทธิสุวรรณ</t>
  </si>
  <si>
    <t>บุตรน้อย</t>
  </si>
  <si>
    <t>จันทร์คำ</t>
  </si>
  <si>
    <t>มวลสุข</t>
  </si>
  <si>
    <t>นางสาว ขนัตยา</t>
  </si>
  <si>
    <t>ลลิตจรูญ</t>
  </si>
  <si>
    <t xml:space="preserve">นางสาว ภูษณิศา </t>
  </si>
  <si>
    <t xml:space="preserve">หีบเงิน </t>
  </si>
  <si>
    <t>นางสาว ปานรดา</t>
  </si>
  <si>
    <t>ศิลาวงศ์</t>
  </si>
  <si>
    <t>นาย คำภี</t>
  </si>
  <si>
    <t>นาง คณิศร</t>
  </si>
  <si>
    <t>อุปพันธ์</t>
  </si>
  <si>
    <t xml:space="preserve">แสงสุรินทร์ </t>
  </si>
  <si>
    <t>นาย เมธินทร์</t>
  </si>
  <si>
    <t>โคตะโน</t>
  </si>
  <si>
    <t>นาย ประยนธ์</t>
  </si>
  <si>
    <t>อุ่นเจริญ</t>
  </si>
  <si>
    <t>นาย คำกอง</t>
  </si>
  <si>
    <t>ชานุศร</t>
  </si>
  <si>
    <t>นาง ศศินา</t>
  </si>
  <si>
    <t xml:space="preserve">สุ่มมาตย์ </t>
  </si>
  <si>
    <t>จันทร์ประทัด</t>
  </si>
  <si>
    <t>ประดับคำ</t>
  </si>
  <si>
    <t>เมาะราษี</t>
  </si>
  <si>
    <t>วินทะไชย</t>
  </si>
  <si>
    <t>สัตยมุข</t>
  </si>
  <si>
    <t xml:space="preserve">นางสาว ปุญพิมญชุ์ </t>
  </si>
  <si>
    <t xml:space="preserve">โทวรรณา </t>
  </si>
  <si>
    <t>วรบุตร</t>
  </si>
  <si>
    <t>อุทัยเรือง</t>
  </si>
  <si>
    <t>สิงหคะเชนทร์</t>
  </si>
  <si>
    <t>นาย เสมียน</t>
  </si>
  <si>
    <t>นาย แอสกวิลย์</t>
  </si>
  <si>
    <t>ไตรยมณี</t>
  </si>
  <si>
    <t>นาง ณัฐชานันท์</t>
  </si>
  <si>
    <t>สิงห์สุริย์</t>
  </si>
  <si>
    <t>นาง เจียมจิต</t>
  </si>
  <si>
    <t>แก้ววิชัย</t>
  </si>
  <si>
    <t>ประสมสัตย์</t>
  </si>
  <si>
    <t>นาย คาน</t>
  </si>
  <si>
    <t>หารโยธี</t>
  </si>
  <si>
    <t>รักสุทธี</t>
  </si>
  <si>
    <t>ภูวาดเขียน</t>
  </si>
  <si>
    <t>นาย สุภี</t>
  </si>
  <si>
    <t>ตุมอญ</t>
  </si>
  <si>
    <t>นาง ภคนันท์</t>
  </si>
  <si>
    <t xml:space="preserve">แสนภักดี </t>
  </si>
  <si>
    <t xml:space="preserve">ณรงค์พันธ์ </t>
  </si>
  <si>
    <t>อินทรตระกูล</t>
  </si>
  <si>
    <t>แก้วก่า</t>
  </si>
  <si>
    <t>สิงหธรรม</t>
  </si>
  <si>
    <t>มานิสสรณ์</t>
  </si>
  <si>
    <t>พลขันธ์</t>
  </si>
  <si>
    <t>นาง กันยารัตน์</t>
  </si>
  <si>
    <t>สีละพัฒน์</t>
  </si>
  <si>
    <t>นาง สวรส</t>
  </si>
  <si>
    <t>จอมทรักษ์</t>
  </si>
  <si>
    <t xml:space="preserve">นางสาว ณิภาพร </t>
  </si>
  <si>
    <t>กรรณรัตน์</t>
  </si>
  <si>
    <t xml:space="preserve">โยธสิงห์ </t>
  </si>
  <si>
    <t xml:space="preserve">นาย ภูมิ </t>
  </si>
  <si>
    <t xml:space="preserve">ทองเนื้อห้า  </t>
  </si>
  <si>
    <t>นาย สมประเสริฐ</t>
  </si>
  <si>
    <t>จันทร์ปุ่ม</t>
  </si>
  <si>
    <t xml:space="preserve">นางสาว กษวรรณ </t>
  </si>
  <si>
    <t xml:space="preserve">ผาพรม </t>
  </si>
  <si>
    <t xml:space="preserve">นางสาว ศกลวรรณ </t>
  </si>
  <si>
    <t xml:space="preserve">อรัณยะนาค </t>
  </si>
  <si>
    <t>นาย กอบชัย</t>
  </si>
  <si>
    <t xml:space="preserve">ล้อเพ็ญภพ </t>
  </si>
  <si>
    <t>นางสาว จิราวดี</t>
  </si>
  <si>
    <t>ยอดนิล</t>
  </si>
  <si>
    <t>นำลอง</t>
  </si>
  <si>
    <t>โนวัฒน์</t>
  </si>
  <si>
    <t xml:space="preserve">นางสาว ภัชลดา </t>
  </si>
  <si>
    <t>รุ่งอาภาสิริ</t>
  </si>
  <si>
    <t>มูลเมือง</t>
  </si>
  <si>
    <t>สัทธรรมนุวงศ์</t>
  </si>
  <si>
    <t>นาง แสงเดือน</t>
  </si>
  <si>
    <t>ชัยนนถี</t>
  </si>
  <si>
    <t>นาย สิงคาร</t>
  </si>
  <si>
    <t>ศักดิ์ศิริ</t>
  </si>
  <si>
    <t>นาง สุพัฒน์</t>
  </si>
  <si>
    <t>กัณฑะเจตน์</t>
  </si>
  <si>
    <t>หอมรส</t>
  </si>
  <si>
    <t>นาย เผชิญ</t>
  </si>
  <si>
    <t>สว่างตระกูล</t>
  </si>
  <si>
    <t>วีระคำ</t>
  </si>
  <si>
    <t>สัจจมงคล</t>
  </si>
  <si>
    <t>นาย เสาร์</t>
  </si>
  <si>
    <t>หมั่นเพียร</t>
  </si>
  <si>
    <t>นาย บุญเศรษฐ์</t>
  </si>
  <si>
    <t>มีมานะ</t>
  </si>
  <si>
    <t>วงศ์สาร</t>
  </si>
  <si>
    <t xml:space="preserve">หมู่น้อย </t>
  </si>
  <si>
    <t>แสนใจ</t>
  </si>
  <si>
    <t>นาคสวัสดิ์</t>
  </si>
  <si>
    <t>นาย อดูลย์</t>
  </si>
  <si>
    <t>อินชู</t>
  </si>
  <si>
    <t>นาย ประมาด</t>
  </si>
  <si>
    <t>นางสาว นิชดา</t>
  </si>
  <si>
    <t xml:space="preserve">นางสาว ทัณทิมา </t>
  </si>
  <si>
    <t>ขัติยา</t>
  </si>
  <si>
    <t>ดวงปิติ</t>
  </si>
  <si>
    <t>หิรัญมณีกุล</t>
  </si>
  <si>
    <t>ศรีสด</t>
  </si>
  <si>
    <t xml:space="preserve">ซื่อสัตย์ </t>
  </si>
  <si>
    <t>นาง บุญส่ง</t>
  </si>
  <si>
    <t>ฟักขำ</t>
  </si>
  <si>
    <t>นางสาว ปัณณ์พัฒน์</t>
  </si>
  <si>
    <t>อินพิทักษ์</t>
  </si>
  <si>
    <t xml:space="preserve">นาย ถกลรัตน์ </t>
  </si>
  <si>
    <t xml:space="preserve">แซ่ลิ้ม </t>
  </si>
  <si>
    <t>เอี่ยมศิริ</t>
  </si>
  <si>
    <t xml:space="preserve">นางสาว เวศน์ทิวา </t>
  </si>
  <si>
    <t xml:space="preserve">แพงมา </t>
  </si>
  <si>
    <t>นาง สัญญา</t>
  </si>
  <si>
    <t>คล้ายจรูญ</t>
  </si>
  <si>
    <t>นาย ตึล</t>
  </si>
  <si>
    <t>เรืองฉาย</t>
  </si>
  <si>
    <t>ทวีเหลือ</t>
  </si>
  <si>
    <t>อนุวัยยา</t>
  </si>
  <si>
    <t>การณรงค์</t>
  </si>
  <si>
    <t>เพียรชอบ</t>
  </si>
  <si>
    <t>นาย มณเทียร</t>
  </si>
  <si>
    <t>ลายทอง</t>
  </si>
  <si>
    <t>จำปาแดง</t>
  </si>
  <si>
    <t>นาย จวบ</t>
  </si>
  <si>
    <t>นิลเยี่ยม</t>
  </si>
  <si>
    <t>ใบเงิน</t>
  </si>
  <si>
    <t>นาย พิสูจน์</t>
  </si>
  <si>
    <t>วรรณุปถัมภ์</t>
  </si>
  <si>
    <t>นาย เตือน</t>
  </si>
  <si>
    <t>ดอกโสน</t>
  </si>
  <si>
    <t>บุญชัย</t>
  </si>
  <si>
    <t>นาย เชียร</t>
  </si>
  <si>
    <t>บุญสุยา</t>
  </si>
  <si>
    <t>นาง ศรีอำไพ</t>
  </si>
  <si>
    <t>สุขแสวง</t>
  </si>
  <si>
    <t>นางสาว จิรสา</t>
  </si>
  <si>
    <t>ปานทอง</t>
  </si>
  <si>
    <t xml:space="preserve">นาย ทิพัด </t>
  </si>
  <si>
    <t>พวงสด</t>
  </si>
  <si>
    <t xml:space="preserve">ปากประโคน </t>
  </si>
  <si>
    <t xml:space="preserve">นาย ศรัณศิวัสว์ </t>
  </si>
  <si>
    <t xml:space="preserve">พัทธนศิรกาญจน์ </t>
  </si>
  <si>
    <t>รูปคม</t>
  </si>
  <si>
    <t xml:space="preserve">เข็มเพ็ชร์ </t>
  </si>
  <si>
    <t>ราชำ</t>
  </si>
  <si>
    <t>นาย อิทธิศักดิ์</t>
  </si>
  <si>
    <t>วรรณประเข</t>
  </si>
  <si>
    <t>แหล่ยัง</t>
  </si>
  <si>
    <t>นาย วิระวงษ์</t>
  </si>
  <si>
    <t>นาย คำสัจจ์</t>
  </si>
  <si>
    <t>ไชยสิน</t>
  </si>
  <si>
    <t>นาย เช้า</t>
  </si>
  <si>
    <t>สำราญพิทักษ์</t>
  </si>
  <si>
    <t>นาย ธนาดล</t>
  </si>
  <si>
    <t>พลเที่ยง</t>
  </si>
  <si>
    <t>บุญตาสุทธิ</t>
  </si>
  <si>
    <t>นาย ไพฑูลย์</t>
  </si>
  <si>
    <t>สำราญบำรุง</t>
  </si>
  <si>
    <t>อนุศรี</t>
  </si>
  <si>
    <t>เพชรไกร  (จันทร์โฮง)</t>
  </si>
  <si>
    <t>นาย เทอดชัย</t>
  </si>
  <si>
    <t>ดงใหญ่</t>
  </si>
  <si>
    <t>ตรีสุวรรณวัฒน์</t>
  </si>
  <si>
    <t>สิงชู</t>
  </si>
  <si>
    <t>ราชธานี</t>
  </si>
  <si>
    <t>บานเย็น</t>
  </si>
  <si>
    <t xml:space="preserve">นางสาว ศิริพร </t>
  </si>
  <si>
    <t xml:space="preserve">ชูกลิ่น </t>
  </si>
  <si>
    <t xml:space="preserve">นางสาว สุธาสินี </t>
  </si>
  <si>
    <t>สุรวาทกุล</t>
  </si>
  <si>
    <t xml:space="preserve">วังระหา </t>
  </si>
  <si>
    <t>นางสาว มาริกา</t>
  </si>
  <si>
    <t>บัวชุม</t>
  </si>
  <si>
    <t>ถนอมสุข</t>
  </si>
  <si>
    <t xml:space="preserve">นาย ชินกร </t>
  </si>
  <si>
    <t xml:space="preserve">ท้าวพิมพ์ </t>
  </si>
  <si>
    <t>เชื้อนิตย์</t>
  </si>
  <si>
    <t>ผดากาล</t>
  </si>
  <si>
    <t>กาญจนกัณโห</t>
  </si>
  <si>
    <t>นาย พูลศิล</t>
  </si>
  <si>
    <t>ศรีษาวรรณ์</t>
  </si>
  <si>
    <t>สุวัฒนกิจ</t>
  </si>
  <si>
    <t>ฮาบสุวรรณ</t>
  </si>
  <si>
    <t>แว่นศิลา</t>
  </si>
  <si>
    <t>บุตรแสนคม</t>
  </si>
  <si>
    <t>นาย ทองไหล</t>
  </si>
  <si>
    <t>แพงศรี</t>
  </si>
  <si>
    <t>นาย พนิช</t>
  </si>
  <si>
    <t>แพงโสม</t>
  </si>
  <si>
    <t>นาย ทองใส</t>
  </si>
  <si>
    <t>ศรีประชัย</t>
  </si>
  <si>
    <t>นาง พิลัยวรรณ</t>
  </si>
  <si>
    <t>นาง อุไรรัตน์</t>
  </si>
  <si>
    <t>นาย รังสิทธิ์</t>
  </si>
  <si>
    <t>โสมเกียรติตระกูล</t>
  </si>
  <si>
    <t>นาง สุดาพร</t>
  </si>
  <si>
    <t>ถาโท</t>
  </si>
  <si>
    <t>นาย วาณิชย์</t>
  </si>
  <si>
    <t>คะสีทอง</t>
  </si>
  <si>
    <t>ศิริบุตร</t>
  </si>
  <si>
    <t>นาย พนมรัตน์</t>
  </si>
  <si>
    <t>เชิงหอม</t>
  </si>
  <si>
    <t>โฮมวงศ์</t>
  </si>
  <si>
    <t xml:space="preserve">พงษ์ไพบูลย์ </t>
  </si>
  <si>
    <t xml:space="preserve">ณ  รังศิลป์ </t>
  </si>
  <si>
    <t>นาย วิบูรณ์</t>
  </si>
  <si>
    <t>ดาสงเคราะห์</t>
  </si>
  <si>
    <t xml:space="preserve">ทวีทอง </t>
  </si>
  <si>
    <t>นางสาว สำนวล</t>
  </si>
  <si>
    <t>สีสม</t>
  </si>
  <si>
    <t xml:space="preserve">นาย กิติพงษ์ </t>
  </si>
  <si>
    <t xml:space="preserve">จันหอม </t>
  </si>
  <si>
    <t>อินเต้</t>
  </si>
  <si>
    <t>นาย ขรรค์ชัย</t>
  </si>
  <si>
    <t>ลาภกิจ</t>
  </si>
  <si>
    <t>จงจิตต์เวชกุล</t>
  </si>
  <si>
    <t>ภู่พระอินทร์</t>
  </si>
  <si>
    <t>ถนอมธรรม</t>
  </si>
  <si>
    <t>ล่าสี</t>
  </si>
  <si>
    <t>สุนทรา</t>
  </si>
  <si>
    <t>เหลืองอลงกต</t>
  </si>
  <si>
    <t>พลายบัว</t>
  </si>
  <si>
    <t>นาย พรหมมาตร</t>
  </si>
  <si>
    <t>หงษ์น้อย</t>
  </si>
  <si>
    <t>กัณหาวรรค</t>
  </si>
  <si>
    <t>เทพพรศรี</t>
  </si>
  <si>
    <t>วงษ์แสนสุขเจริญ</t>
  </si>
  <si>
    <t>ประพลพัฒนกุล</t>
  </si>
  <si>
    <t>นางสาว กุลลนิษฐ์</t>
  </si>
  <si>
    <t>มโนรัตน์สกุล</t>
  </si>
  <si>
    <t>แก้วชนะ</t>
  </si>
  <si>
    <t xml:space="preserve">เริงเลื่อม </t>
  </si>
  <si>
    <t xml:space="preserve">นางสาว วิจิตรา </t>
  </si>
  <si>
    <t>ท้าวนู</t>
  </si>
  <si>
    <t xml:space="preserve">นาง วดีวิมนตร์ </t>
  </si>
  <si>
    <t xml:space="preserve">กองสวัสดิ์ </t>
  </si>
  <si>
    <t>นาย ทวีศิลป์</t>
  </si>
  <si>
    <t>ถิ่นทวี</t>
  </si>
  <si>
    <t>ปรีดาเกษมรุ่ง</t>
  </si>
  <si>
    <t xml:space="preserve">นาย ภิญโญ </t>
  </si>
  <si>
    <t>บำรุงสุนทร</t>
  </si>
  <si>
    <t xml:space="preserve">นาย พราม </t>
  </si>
  <si>
    <t xml:space="preserve">นางสาว แค็ทธรียา </t>
  </si>
  <si>
    <t xml:space="preserve">ระดาเสริฐ </t>
  </si>
  <si>
    <t>นาย อัครสิชฌ์</t>
  </si>
  <si>
    <t>มหาจิราศิริ</t>
  </si>
  <si>
    <t xml:space="preserve">นางสาว วรพรรณี </t>
  </si>
  <si>
    <t xml:space="preserve">เอี่ยมละออ </t>
  </si>
  <si>
    <t>ธรรมอุโมงค์</t>
  </si>
  <si>
    <t>นาย สถิต</t>
  </si>
  <si>
    <t>เขาถ้ำทอง</t>
  </si>
  <si>
    <t>หาญณรงค์</t>
  </si>
  <si>
    <t>นาย ฐิติศักดิ์</t>
  </si>
  <si>
    <t>หาญสำโรง</t>
  </si>
  <si>
    <t>ไชยอ่อน</t>
  </si>
  <si>
    <t>วงศ์เปี่ยม</t>
  </si>
  <si>
    <t>นาย หวัน</t>
  </si>
  <si>
    <t>เฉลิมพล</t>
  </si>
  <si>
    <t>จิ๋วหยี</t>
  </si>
  <si>
    <t>นาย กริชชา</t>
  </si>
  <si>
    <t>จึงเจริญ</t>
  </si>
  <si>
    <t>น้อยพานิช</t>
  </si>
  <si>
    <t>นาย พีรพจน์</t>
  </si>
  <si>
    <t>ขาวบุบผา</t>
  </si>
  <si>
    <t>นาย พา</t>
  </si>
  <si>
    <t xml:space="preserve">นาง จุฑามาศ </t>
  </si>
  <si>
    <t>สงวนแสง</t>
  </si>
  <si>
    <t xml:space="preserve">นางสาว วรรณา </t>
  </si>
  <si>
    <t xml:space="preserve">ปลื้มพวก </t>
  </si>
  <si>
    <t>วงศ์ภา</t>
  </si>
  <si>
    <t>สีนวลมาก</t>
  </si>
  <si>
    <t xml:space="preserve">นางสาว จิตตานันท์ </t>
  </si>
  <si>
    <t>นางสาว พินณพา</t>
  </si>
  <si>
    <t xml:space="preserve">บัวดวง </t>
  </si>
  <si>
    <t xml:space="preserve">นาย ภานุพงษ์ </t>
  </si>
  <si>
    <t xml:space="preserve">พวงมาลา </t>
  </si>
  <si>
    <t>ตันจ่าง</t>
  </si>
  <si>
    <t>นาย เอกรัก</t>
  </si>
  <si>
    <t>ถ้วนคำ</t>
  </si>
  <si>
    <t>แผลงฤทธิ์</t>
  </si>
  <si>
    <t>นาง เสริม</t>
  </si>
  <si>
    <t>สุขสอน</t>
  </si>
  <si>
    <t>สุขสวรรค์</t>
  </si>
  <si>
    <t>นาย สุขคำ</t>
  </si>
  <si>
    <t>สีเหมอะ</t>
  </si>
  <si>
    <t>นาย เจษฏา</t>
  </si>
  <si>
    <t>ชุมภูวัน</t>
  </si>
  <si>
    <t>นาง บุศรา</t>
  </si>
  <si>
    <t>บุญญา</t>
  </si>
  <si>
    <t xml:space="preserve">นางสาว พิมพิดา </t>
  </si>
  <si>
    <t>สุขวิญญา</t>
  </si>
  <si>
    <t xml:space="preserve">นาย สุบิน </t>
  </si>
  <si>
    <t>คงทรัพย์</t>
  </si>
  <si>
    <t xml:space="preserve">นาย สำเริง </t>
  </si>
  <si>
    <t xml:space="preserve">คู่ควร </t>
  </si>
  <si>
    <t>วัฒนาวงศ์</t>
  </si>
  <si>
    <t>นาย เชิงชน</t>
  </si>
  <si>
    <t xml:space="preserve">สีหะวงษ์ </t>
  </si>
  <si>
    <t xml:space="preserve">นางสาว พชรกร </t>
  </si>
  <si>
    <t>บุญเลี้ยง</t>
  </si>
  <si>
    <t>นางสาว ดวงจันทร์</t>
  </si>
  <si>
    <t>เกษบุตร</t>
  </si>
  <si>
    <t>ศรีละวรรณโณ</t>
  </si>
  <si>
    <t>นาง รุ่งรัตน์</t>
  </si>
  <si>
    <t>นาย พยงค์</t>
  </si>
  <si>
    <t>มุขดาร์</t>
  </si>
  <si>
    <t>นาย ชยุทธ์</t>
  </si>
  <si>
    <t>วงค์มี</t>
  </si>
  <si>
    <t>นาย ประศักดิ์</t>
  </si>
  <si>
    <t>เรียงพัฒน์</t>
  </si>
  <si>
    <t>โปรดเจริญ</t>
  </si>
  <si>
    <t>เพชรอาวุธ</t>
  </si>
  <si>
    <t>อัครธราดล</t>
  </si>
  <si>
    <t xml:space="preserve">นางสาว สาวิกา </t>
  </si>
  <si>
    <t xml:space="preserve">เพ็งจันทร์ </t>
  </si>
  <si>
    <t xml:space="preserve">นางสาว จรัญญา </t>
  </si>
  <si>
    <t>นาย ณิมิตร</t>
  </si>
  <si>
    <t xml:space="preserve">จินตบุตร </t>
  </si>
  <si>
    <t>ทองไชย</t>
  </si>
  <si>
    <t>นางสาว ปรมาภิ์</t>
  </si>
  <si>
    <t>นาง ผกามาส</t>
  </si>
  <si>
    <t xml:space="preserve">ทับทิมทอง </t>
  </si>
  <si>
    <t>เอียดช่วย</t>
  </si>
  <si>
    <t>ณ รังษร</t>
  </si>
  <si>
    <t>นาย พูนทวี</t>
  </si>
  <si>
    <t>แสงสมัคร</t>
  </si>
  <si>
    <t>นาย พรรษา</t>
  </si>
  <si>
    <t>แก้วทรายขาว</t>
  </si>
  <si>
    <t>บุญแนบ</t>
  </si>
  <si>
    <t>นางสาว ทฤฒมน</t>
  </si>
  <si>
    <t>เพชรนุ้ย</t>
  </si>
  <si>
    <t xml:space="preserve">นาย จรัญ </t>
  </si>
  <si>
    <t xml:space="preserve">นาง กัญญารัตน์ </t>
  </si>
  <si>
    <t xml:space="preserve">ราชปักษิณ </t>
  </si>
  <si>
    <t xml:space="preserve">นาย ศุภศักดิ์ </t>
  </si>
  <si>
    <t xml:space="preserve">หนูเจริญ </t>
  </si>
  <si>
    <t>นางสาว อาภากร</t>
  </si>
  <si>
    <t>จันทร์บาลใจ</t>
  </si>
  <si>
    <t xml:space="preserve">นาย วัชรพงศ์ </t>
  </si>
  <si>
    <t xml:space="preserve">วรรณวงศ์ </t>
  </si>
  <si>
    <t>ดุลสุข</t>
  </si>
  <si>
    <t xml:space="preserve">มาตราช </t>
  </si>
  <si>
    <t xml:space="preserve">นาย ฐาปนันดร์ </t>
  </si>
  <si>
    <t xml:space="preserve">เขียวสังข์ </t>
  </si>
  <si>
    <t xml:space="preserve">นางสาว นิตย์รดี </t>
  </si>
  <si>
    <t xml:space="preserve">นางสาว เยาวลักษณ์ </t>
  </si>
  <si>
    <t xml:space="preserve">กุลโท </t>
  </si>
  <si>
    <t>นาง ชมภูนุช</t>
  </si>
  <si>
    <t>นาย กนกนพ</t>
  </si>
  <si>
    <t>กลิ่นละออ</t>
  </si>
  <si>
    <t>นาง กรณิศ</t>
  </si>
  <si>
    <t>ตั้งคณาทรัพย์</t>
  </si>
  <si>
    <t>แดงเจริญ</t>
  </si>
  <si>
    <t>นางสาว ศิลาวัน</t>
  </si>
  <si>
    <t>จันทรบุตร</t>
  </si>
  <si>
    <t xml:space="preserve">นาย เศกสิทธิ์ </t>
  </si>
  <si>
    <t xml:space="preserve">อินเหมย </t>
  </si>
  <si>
    <t>นางสาว จารุวี</t>
  </si>
  <si>
    <t>อันเซตา</t>
  </si>
  <si>
    <t>พลโคต</t>
  </si>
  <si>
    <t xml:space="preserve">นางสาว มณฑิชา </t>
  </si>
  <si>
    <t xml:space="preserve">ถุงเงิน </t>
  </si>
  <si>
    <t>นาย พูลเศรษฐ์</t>
  </si>
  <si>
    <t xml:space="preserve">นุชท่าโพ </t>
  </si>
  <si>
    <t>นาย ชโลธร</t>
  </si>
  <si>
    <t>หลิมเจริญ</t>
  </si>
  <si>
    <t>จ.ท. จิรวุฒ</t>
  </si>
  <si>
    <t>ภาสดา</t>
  </si>
  <si>
    <t>จันทะนุด</t>
  </si>
  <si>
    <t xml:space="preserve">ทองพันธ์ </t>
  </si>
  <si>
    <t xml:space="preserve">นาย วิริยะ </t>
  </si>
  <si>
    <t>หริตวร</t>
  </si>
  <si>
    <t>นางสาว อาษิรญา</t>
  </si>
  <si>
    <t>นางสาว นันทิดา</t>
  </si>
  <si>
    <t>สินสายไทย</t>
  </si>
  <si>
    <t>สุวรรณเทศ</t>
  </si>
  <si>
    <t>จงเสริมตระกูล</t>
  </si>
  <si>
    <t>นาง ชนานาถ</t>
  </si>
  <si>
    <t>ชนะอักษร</t>
  </si>
  <si>
    <t>นาย อรชุณร์</t>
  </si>
  <si>
    <t>สารพินิจ</t>
  </si>
  <si>
    <t>นางสาว เจริญสุข</t>
  </si>
  <si>
    <t>นีละนิยม</t>
  </si>
  <si>
    <t>นางสาว จิตรา</t>
  </si>
  <si>
    <t xml:space="preserve">นาย พีรพล </t>
  </si>
  <si>
    <t xml:space="preserve">ม่วงงาม </t>
  </si>
  <si>
    <t xml:space="preserve">นางสาว ศริน </t>
  </si>
  <si>
    <t>อัตตะวิริยะสุข</t>
  </si>
  <si>
    <t xml:space="preserve">นางสาว มาสุฑล </t>
  </si>
  <si>
    <t>สัญพึ่ง</t>
  </si>
  <si>
    <t>เยาว์ดำ</t>
  </si>
  <si>
    <t xml:space="preserve">นางสาว กนกอร </t>
  </si>
  <si>
    <t xml:space="preserve">วุฒิวงศ์ </t>
  </si>
  <si>
    <t>แตรสังข์</t>
  </si>
  <si>
    <t xml:space="preserve">นางสาว อสมาภรณ์ </t>
  </si>
  <si>
    <t xml:space="preserve">จัตตุพรพงษ์ </t>
  </si>
  <si>
    <t>เหล็งบำรุง</t>
  </si>
  <si>
    <t>แย้มสาหร่าย</t>
  </si>
  <si>
    <t xml:space="preserve">ยานะโส </t>
  </si>
  <si>
    <t>นางสาว สาวรีย์</t>
  </si>
  <si>
    <t>นาง ชาริณี</t>
  </si>
  <si>
    <t>อุดมสรณ์</t>
  </si>
  <si>
    <t xml:space="preserve">นาง เกสินี </t>
  </si>
  <si>
    <t xml:space="preserve">ทบด้าน </t>
  </si>
  <si>
    <t>นาง ปรารถนา</t>
  </si>
  <si>
    <t xml:space="preserve">นางสาว ชณินพัฒน์ </t>
  </si>
  <si>
    <t xml:space="preserve">ทองรอด </t>
  </si>
  <si>
    <t>บุณยะกาญจน</t>
  </si>
  <si>
    <t>ไม่มาลงคะแนน</t>
  </si>
  <si>
    <t>ขุมสิน</t>
  </si>
  <si>
    <t>นาง วรรณดี</t>
  </si>
  <si>
    <t>ภวภิรมย์</t>
  </si>
  <si>
    <t>ลี้ตระกูล</t>
  </si>
  <si>
    <t>กล่อมวิเศษ</t>
  </si>
  <si>
    <t>นาง สุรีรัชต์</t>
  </si>
  <si>
    <t>ไตรสมสาตร์</t>
  </si>
  <si>
    <t>นาย ชุฬหเทพ</t>
  </si>
  <si>
    <t>พงศ์สร้อยเพชร</t>
  </si>
  <si>
    <t>พิมพ์อาภรณ์</t>
  </si>
  <si>
    <t>อนุสนธิ์</t>
  </si>
  <si>
    <t>ปลั่งศรีนนท์</t>
  </si>
  <si>
    <t>นาง สายสุรีย์</t>
  </si>
  <si>
    <t>ติงสมบัติยุทธ์</t>
  </si>
  <si>
    <t>รุจิจนากุล</t>
  </si>
  <si>
    <t>พูนสะผล</t>
  </si>
  <si>
    <t>นาย อัสดา</t>
  </si>
  <si>
    <t>เฟื่องอารมย์</t>
  </si>
  <si>
    <t>แสงประทุม</t>
  </si>
  <si>
    <t>ชะระวณิช</t>
  </si>
  <si>
    <t>นาย ประนอม</t>
  </si>
  <si>
    <t>ศรัยสวัสดิ์</t>
  </si>
  <si>
    <t>นาง จันทรจิรา</t>
  </si>
  <si>
    <t>สุนทรภัทร์</t>
  </si>
  <si>
    <t>นาง อัจนา</t>
  </si>
  <si>
    <t>ชำนาญศิลป์</t>
  </si>
  <si>
    <t>นาง อัมพา</t>
  </si>
  <si>
    <t>ว่องวิชชกร</t>
  </si>
  <si>
    <t>นาย บุญรัตน์</t>
  </si>
  <si>
    <t>กระดังงา</t>
  </si>
  <si>
    <t>นาง สิริยา</t>
  </si>
  <si>
    <t>นาย พันทวี</t>
  </si>
  <si>
    <t>นาง จันทร์นิภา</t>
  </si>
  <si>
    <t>เศวตมาลานนท์</t>
  </si>
  <si>
    <t>สมันตรัฐ</t>
  </si>
  <si>
    <t xml:space="preserve">นาย ชัยณรงค์ </t>
  </si>
  <si>
    <t xml:space="preserve">จันทโชติ </t>
  </si>
  <si>
    <t>นาย คณินชาญกิจ</t>
  </si>
  <si>
    <t xml:space="preserve">แย้มทิม </t>
  </si>
  <si>
    <t>นาง พิทธิ์พร</t>
  </si>
  <si>
    <t xml:space="preserve">ไชยนุวัติ </t>
  </si>
  <si>
    <t xml:space="preserve">องอาจ </t>
  </si>
  <si>
    <t xml:space="preserve">นาย พีรพร </t>
  </si>
  <si>
    <t xml:space="preserve">พร้อมเทพ </t>
  </si>
  <si>
    <t>นาง ธุวนันท์</t>
  </si>
  <si>
    <t>พานิชโยทัย</t>
  </si>
  <si>
    <t>ตีระรัตน์</t>
  </si>
  <si>
    <t>นาย อดุง</t>
  </si>
  <si>
    <t>แจ่มกระจ่าง</t>
  </si>
  <si>
    <t>นางสาว จรูญลักษณ์</t>
  </si>
  <si>
    <t>สังข์บุญลือ</t>
  </si>
  <si>
    <t>ประดิษฐสุวรรณ</t>
  </si>
  <si>
    <t>คงพารา</t>
  </si>
  <si>
    <t>พูลทรัพย์</t>
  </si>
  <si>
    <t>นางสาว บัญญัติ</t>
  </si>
  <si>
    <t>มงคลประสิทธิ์</t>
  </si>
  <si>
    <t>พัฒนพงศ์</t>
  </si>
  <si>
    <t xml:space="preserve">นางสาว ธนิภา </t>
  </si>
  <si>
    <t>คาสพารี</t>
  </si>
  <si>
    <t xml:space="preserve">นาย วรรธนันทน์ </t>
  </si>
  <si>
    <t xml:space="preserve">นาซีก </t>
  </si>
  <si>
    <t xml:space="preserve">นาง ณภัสสรณ์ </t>
  </si>
  <si>
    <t>เงางาม</t>
  </si>
  <si>
    <t>นาง อมรทิพย์</t>
  </si>
  <si>
    <t>ภิรมย์บูรณ์</t>
  </si>
  <si>
    <t>นาย เฟื่องเฉลย</t>
  </si>
  <si>
    <t xml:space="preserve">สมัยเทอดศักดิ์ </t>
  </si>
  <si>
    <t>นาง จิตนิภา</t>
  </si>
  <si>
    <t>แจ้งโพธิ์นาค</t>
  </si>
  <si>
    <t>สุภาไชยกิจ</t>
  </si>
  <si>
    <t xml:space="preserve">นางสาว กมลเนตร </t>
  </si>
  <si>
    <t>ยะไข่</t>
  </si>
  <si>
    <t>นาย อนุรัตน์</t>
  </si>
  <si>
    <t>เซียงเห็น</t>
  </si>
  <si>
    <t>นางสาว จิติรัตน์</t>
  </si>
  <si>
    <t>กันขำ</t>
  </si>
  <si>
    <t xml:space="preserve">นางสาว ปุญญิศา </t>
  </si>
  <si>
    <t xml:space="preserve">หันตรี </t>
  </si>
  <si>
    <t xml:space="preserve">นางสาว สุณีรัตน์ </t>
  </si>
  <si>
    <t>กัณหาวรรณ</t>
  </si>
  <si>
    <t>นาง เดือนณะภา</t>
  </si>
  <si>
    <t>ลอยเนื่อง</t>
  </si>
  <si>
    <t>คองภูเขียว</t>
  </si>
  <si>
    <t>ศรัยทอง</t>
  </si>
  <si>
    <t>นาง ภาระดี</t>
  </si>
  <si>
    <t>ชูเฉลิมพร</t>
  </si>
  <si>
    <t>พลบูรณ์</t>
  </si>
  <si>
    <t>ชมโคกกรวด</t>
  </si>
  <si>
    <t>นางสาว จารุภา</t>
  </si>
  <si>
    <t xml:space="preserve">ว่องไว </t>
  </si>
  <si>
    <t>นาง ทักษอร</t>
  </si>
  <si>
    <t>อินทุเศรษฐ</t>
  </si>
  <si>
    <t xml:space="preserve">นางสาว จิราพัชร </t>
  </si>
  <si>
    <t xml:space="preserve">แสงหล่อ </t>
  </si>
  <si>
    <t xml:space="preserve">นาย วิวัธน์ </t>
  </si>
  <si>
    <t xml:space="preserve">กนกมโนมัย </t>
  </si>
  <si>
    <t>เติมสายทอง</t>
  </si>
  <si>
    <t xml:space="preserve">นางสาว กฤษณา </t>
  </si>
  <si>
    <t>เพียรพึ่งตน</t>
  </si>
  <si>
    <t>บุญอำรุง</t>
  </si>
  <si>
    <t>พลอยประภา</t>
  </si>
  <si>
    <t>นาง ดาวพระศุกร์</t>
  </si>
  <si>
    <t>ปานจำรูญ</t>
  </si>
  <si>
    <t>นาย พนูน</t>
  </si>
  <si>
    <t xml:space="preserve">วานุนาม </t>
  </si>
  <si>
    <t xml:space="preserve">นางสาว มลฤดี </t>
  </si>
  <si>
    <t xml:space="preserve">ชัยเดช </t>
  </si>
  <si>
    <t>ไตรธรรม</t>
  </si>
  <si>
    <t>นางสาว วิภาวดี</t>
  </si>
  <si>
    <t>สายสุวรรณ</t>
  </si>
  <si>
    <t>นางสาว สุกัญยา</t>
  </si>
  <si>
    <t xml:space="preserve">แก้วขาว </t>
  </si>
  <si>
    <t>ลาเกลี้ยง</t>
  </si>
  <si>
    <t xml:space="preserve">เรืองอร่าม </t>
  </si>
  <si>
    <t xml:space="preserve">นาย ศิริธร </t>
  </si>
  <si>
    <t xml:space="preserve">จักรหวัด </t>
  </si>
  <si>
    <t>นาย บุญญเกียรติ</t>
  </si>
  <si>
    <t>พุ่มโกสุม</t>
  </si>
  <si>
    <t>ยิ่งเจริญสุขศิริ</t>
  </si>
  <si>
    <t>นาง จันทิมาภรณ์</t>
  </si>
  <si>
    <t>ศรีมงคล</t>
  </si>
  <si>
    <t>นางสาว แวววดี</t>
  </si>
  <si>
    <t>นาง พัชรมณฑ์</t>
  </si>
  <si>
    <t>ศิริเลิศวิมล</t>
  </si>
  <si>
    <t>นาง ปฏิมา</t>
  </si>
  <si>
    <t>คำอินทา</t>
  </si>
  <si>
    <t>ช้างเยาว์</t>
  </si>
  <si>
    <t>ทิพานุกะ</t>
  </si>
  <si>
    <t>นางสาว จุฬาภรณ์</t>
  </si>
  <si>
    <t>นกสกุล</t>
  </si>
  <si>
    <t xml:space="preserve">นางสาว สุณิสา </t>
  </si>
  <si>
    <t>ผิวรำไพ</t>
  </si>
  <si>
    <t>รอดเย็น</t>
  </si>
  <si>
    <t>นาง ศิรฎา</t>
  </si>
  <si>
    <t>ทิมประเสริฐ</t>
  </si>
  <si>
    <t>นาง ไพลินทร์</t>
  </si>
  <si>
    <t>ริยาพันธุ์</t>
  </si>
  <si>
    <t>หนองนา</t>
  </si>
  <si>
    <t>สิมาสฤษฎ์</t>
  </si>
  <si>
    <t>เข็มขาว</t>
  </si>
  <si>
    <t xml:space="preserve">นางสาว นิธิมา </t>
  </si>
  <si>
    <t xml:space="preserve">รัตติโชติ </t>
  </si>
  <si>
    <t>แซ่เฮ้ง</t>
  </si>
  <si>
    <t>ปรีวงษ์</t>
  </si>
  <si>
    <t>นาย บดีศร</t>
  </si>
  <si>
    <t xml:space="preserve">พุ่มรุ่งเรือง </t>
  </si>
  <si>
    <t xml:space="preserve">นางสาว ชมภู่ </t>
  </si>
  <si>
    <t xml:space="preserve">อิงบุญ </t>
  </si>
  <si>
    <t>แก้วคูณ</t>
  </si>
  <si>
    <t>ทองแจ้ง</t>
  </si>
  <si>
    <t>ธนาโสภณพาณิชย์</t>
  </si>
  <si>
    <t>ชัยประเดิมศักดิ์</t>
  </si>
  <si>
    <t>มูลแวง</t>
  </si>
  <si>
    <t>นางสาว บุษยา</t>
  </si>
  <si>
    <t xml:space="preserve">นาย ณัฐสิทธิ์ </t>
  </si>
  <si>
    <t xml:space="preserve">ปานลิตร </t>
  </si>
  <si>
    <t>ศรีสมพงษ์</t>
  </si>
  <si>
    <t xml:space="preserve">นางสาว สลิษา </t>
  </si>
  <si>
    <t xml:space="preserve">หนูจินดา </t>
  </si>
  <si>
    <t xml:space="preserve">นางสาว บุษยา </t>
  </si>
  <si>
    <t>มากงลาด</t>
  </si>
  <si>
    <t xml:space="preserve">บุ่งวิเศษ </t>
  </si>
  <si>
    <t xml:space="preserve">นางสาว เจิดนภางค์ </t>
  </si>
  <si>
    <t xml:space="preserve">ไชยเลิศ </t>
  </si>
  <si>
    <t>เกิดงาม</t>
  </si>
  <si>
    <t xml:space="preserve">นาง มนทิรา </t>
  </si>
  <si>
    <t xml:space="preserve">พรมบุรี </t>
  </si>
  <si>
    <t>นาง ใกล้รุ่ง</t>
  </si>
  <si>
    <t>เพราะทอง</t>
  </si>
  <si>
    <t>จันทสิงห์</t>
  </si>
  <si>
    <t xml:space="preserve">นาย ชัชรินทร์ </t>
  </si>
  <si>
    <t xml:space="preserve">นาย คณาวุฒิ </t>
  </si>
  <si>
    <t xml:space="preserve">พันธนะบุญ </t>
  </si>
  <si>
    <t>นางสาว สุพิศ</t>
  </si>
  <si>
    <t>เหล่าจตุรพิศ</t>
  </si>
  <si>
    <t>นาง ขวัญจิตต์</t>
  </si>
  <si>
    <t>เกตุกัน</t>
  </si>
  <si>
    <t>นางสาว นันทมาส</t>
  </si>
  <si>
    <t>ทองปลี</t>
  </si>
  <si>
    <t>สืบเจ๊ก</t>
  </si>
  <si>
    <t>ธาตุไพบูลย์</t>
  </si>
  <si>
    <t>นางสาว ขวัญใจ</t>
  </si>
  <si>
    <t>เส็งเอี่ยม</t>
  </si>
  <si>
    <t xml:space="preserve">นาย กฤชสร </t>
  </si>
  <si>
    <t xml:space="preserve">ธรรมจง </t>
  </si>
  <si>
    <t xml:space="preserve">นาย ติณณปรัชย์ </t>
  </si>
  <si>
    <t>วงศ์จิตธรรม</t>
  </si>
  <si>
    <t>นาง จันทร์ทิรา</t>
  </si>
  <si>
    <t>นพดล</t>
  </si>
  <si>
    <t>ภักดีพิพัฒน์</t>
  </si>
  <si>
    <t>ภาคย์ภิญโญ</t>
  </si>
  <si>
    <t>นาย ศุกล</t>
  </si>
  <si>
    <t>โฆษิตโภคิน</t>
  </si>
  <si>
    <t>นางสาว สุรางค์ศรี</t>
  </si>
  <si>
    <t>วาเพชร</t>
  </si>
  <si>
    <t>โลหะ</t>
  </si>
  <si>
    <t>นาย วุฒินัย</t>
  </si>
  <si>
    <t>นาง มนพิภา</t>
  </si>
  <si>
    <t>ชัยปรีชา</t>
  </si>
  <si>
    <t xml:space="preserve">นางสาว เชาวพรรณ </t>
  </si>
  <si>
    <t>อัครวิสิทธิ์กุล</t>
  </si>
  <si>
    <t xml:space="preserve">นาย จิรวิทย์ </t>
  </si>
  <si>
    <t xml:space="preserve">เฮงหิรัญญวงษ์ </t>
  </si>
  <si>
    <t>ปัญจินะ</t>
  </si>
  <si>
    <t>นาย ปริวัตร</t>
  </si>
  <si>
    <t xml:space="preserve">ไพรศรีจันทร์ </t>
  </si>
  <si>
    <t>นางสาว วัลภา</t>
  </si>
  <si>
    <t>ปันต๊ะ</t>
  </si>
  <si>
    <t>นาง ปดารณี</t>
  </si>
  <si>
    <t>ธรรมธร</t>
  </si>
  <si>
    <t>นางสาว มารศรี</t>
  </si>
  <si>
    <t>วงศ์อนันทรัพย์</t>
  </si>
  <si>
    <t>นาย พิรัฐ</t>
  </si>
  <si>
    <t>สุทธิโยค</t>
  </si>
  <si>
    <t>เนินคนา</t>
  </si>
  <si>
    <t xml:space="preserve">นาย ตราพฤกษ์ </t>
  </si>
  <si>
    <t xml:space="preserve">ธัญญเกษตร </t>
  </si>
  <si>
    <t>นางสาว สุวรรณ</t>
  </si>
  <si>
    <t xml:space="preserve">นางสาว เปรมฤทัย </t>
  </si>
  <si>
    <t xml:space="preserve">ภู่มุสิก </t>
  </si>
  <si>
    <t>นางสาว ภัทรมาศ</t>
  </si>
  <si>
    <t>พานพุ่ม</t>
  </si>
  <si>
    <t>นาย พยุห์</t>
  </si>
  <si>
    <t>นาง สาวอรุณ</t>
  </si>
  <si>
    <t>นาง ศิริภรณ์</t>
  </si>
  <si>
    <t>นางสาว เพ็ญระพี</t>
  </si>
  <si>
    <t>ทองอินทร์</t>
  </si>
  <si>
    <t>เริงธรรม</t>
  </si>
  <si>
    <t>ตันโสดเจริญ</t>
  </si>
  <si>
    <t>นาย นริศร์</t>
  </si>
  <si>
    <t>คงสมบุญ</t>
  </si>
  <si>
    <t>นาง ชลอ</t>
  </si>
  <si>
    <t>นางสาว นภากรณ์</t>
  </si>
  <si>
    <t>จันปัญญา</t>
  </si>
  <si>
    <t>นางสาว สุภัทธิรา</t>
  </si>
  <si>
    <t>โคตรศิลากูล</t>
  </si>
  <si>
    <t xml:space="preserve">นางสาว ธันย์ชนก </t>
  </si>
  <si>
    <t>โต๊ะถม</t>
  </si>
  <si>
    <t xml:space="preserve">แสนยะ </t>
  </si>
  <si>
    <t>อ้นสุดใจ</t>
  </si>
  <si>
    <t xml:space="preserve">ธนกุลเศรษฐ์ </t>
  </si>
  <si>
    <t>บุญศักดิ์</t>
  </si>
  <si>
    <t>จุลหิรัญ</t>
  </si>
  <si>
    <t>นาย รุ่งศิริ</t>
  </si>
  <si>
    <t>ประสงค์</t>
  </si>
  <si>
    <t>นางสาว นารีรัตน์</t>
  </si>
  <si>
    <t>นาง อนงค์นาฏ</t>
  </si>
  <si>
    <t>ศรีรัตนา</t>
  </si>
  <si>
    <t xml:space="preserve">นาย อุดมพงษ์ </t>
  </si>
  <si>
    <t xml:space="preserve">ตวงประยงค์ </t>
  </si>
  <si>
    <t xml:space="preserve">รินเพ็ง </t>
  </si>
  <si>
    <t xml:space="preserve">นาง พรรณาภา </t>
  </si>
  <si>
    <t>ปรัชญาศิริ</t>
  </si>
  <si>
    <t xml:space="preserve">อ้อยหวาน </t>
  </si>
  <si>
    <t>นางสาว มนัชญา</t>
  </si>
  <si>
    <t xml:space="preserve">นางสาว อุษณา </t>
  </si>
  <si>
    <t>หวาหาบ</t>
  </si>
  <si>
    <t>นาย ทองเอี่ยม</t>
  </si>
  <si>
    <t>พรมผล</t>
  </si>
  <si>
    <t xml:space="preserve">นางสาว ลักษณาวลัย </t>
  </si>
  <si>
    <t>สิงห์จันทร์</t>
  </si>
  <si>
    <t xml:space="preserve">นางสาว กนกพรรณ </t>
  </si>
  <si>
    <t>ศรีเม้ย</t>
  </si>
  <si>
    <t>นางสาว สรัญญา</t>
  </si>
  <si>
    <t>นางสาว สุรดา</t>
  </si>
  <si>
    <t xml:space="preserve">จึงแย้มปิ่น </t>
  </si>
  <si>
    <t>นาง พรรณิภา</t>
  </si>
  <si>
    <t xml:space="preserve">ไพทักษ์ศรี </t>
  </si>
  <si>
    <t>วะจิดี</t>
  </si>
  <si>
    <t>ทับไทร</t>
  </si>
  <si>
    <t>ใจมาแก้ว</t>
  </si>
  <si>
    <t>นางสาว ยุพรัตน์</t>
  </si>
  <si>
    <t>รักเกื้อ</t>
  </si>
  <si>
    <t>วณิชวัฒนกุล</t>
  </si>
  <si>
    <t>บุญนิยม</t>
  </si>
  <si>
    <t>นางสาว สุพา</t>
  </si>
  <si>
    <t>หมื่นรักษ์</t>
  </si>
  <si>
    <t>ดวงนามล</t>
  </si>
  <si>
    <t>นางสาว ชณิดา</t>
  </si>
  <si>
    <t>บริพันธุ์</t>
  </si>
  <si>
    <t xml:space="preserve">นางสาว มณฑิรา </t>
  </si>
  <si>
    <t xml:space="preserve">ผลบุญ </t>
  </si>
  <si>
    <t xml:space="preserve">เถาวันดี </t>
  </si>
  <si>
    <t xml:space="preserve">นางสาว ปาณิพันธ์ </t>
  </si>
  <si>
    <t xml:space="preserve">จันทร์ส่งแสง </t>
  </si>
  <si>
    <t>เดชพิชัย</t>
  </si>
  <si>
    <t xml:space="preserve">นางสาว เสริมศรี </t>
  </si>
  <si>
    <t>หวานแก้ว</t>
  </si>
  <si>
    <t>นาย เผด็จศึก</t>
  </si>
  <si>
    <t>สุพรรณรัตน์</t>
  </si>
  <si>
    <t>นางสาว ธีรนุช</t>
  </si>
  <si>
    <t>วุฒิยิ่งยง</t>
  </si>
  <si>
    <t>เทพบุรี</t>
  </si>
  <si>
    <t xml:space="preserve">นาง กชกร </t>
  </si>
  <si>
    <t xml:space="preserve">บุณยสุรักษ์ </t>
  </si>
  <si>
    <t>นกแก้ว</t>
  </si>
  <si>
    <t>ปานนิล</t>
  </si>
  <si>
    <t>ชนะสุวรรณ</t>
  </si>
  <si>
    <t>มณีดิษฐ์</t>
  </si>
  <si>
    <t>นาง กนกกุล</t>
  </si>
  <si>
    <t>ชาญเวช</t>
  </si>
  <si>
    <t>เนตรสว่าง</t>
  </si>
  <si>
    <t>นาย คณพศ</t>
  </si>
  <si>
    <t>เฉื่อยฉ่ำ</t>
  </si>
  <si>
    <t xml:space="preserve">ลีละผลิน </t>
  </si>
  <si>
    <t xml:space="preserve">นาง พรธิพา </t>
  </si>
  <si>
    <t xml:space="preserve">จันทลือชา </t>
  </si>
  <si>
    <t xml:space="preserve">นางสาว ยุพาภรณ์ </t>
  </si>
  <si>
    <t xml:space="preserve">ฤดีณัฐทรัพย์ </t>
  </si>
  <si>
    <t xml:space="preserve">นางสาว นันทภรณ์ </t>
  </si>
  <si>
    <t>แช่มตา</t>
  </si>
  <si>
    <t>ปานธรรม</t>
  </si>
  <si>
    <t xml:space="preserve">นางสาว พิยดา </t>
  </si>
  <si>
    <t>คุชกะ</t>
  </si>
  <si>
    <t>มิเดิง</t>
  </si>
  <si>
    <t xml:space="preserve">นางสาว มัสยา </t>
  </si>
  <si>
    <t xml:space="preserve">คันชั่ง </t>
  </si>
  <si>
    <t>นางสาว กนกภรณ์</t>
  </si>
  <si>
    <t>ดอนเจดีย์</t>
  </si>
  <si>
    <t xml:space="preserve">นางสาว ณัฏฐา </t>
  </si>
  <si>
    <t>สารีวงษ์</t>
  </si>
  <si>
    <t>มีแก้ว</t>
  </si>
  <si>
    <t>นางสาว วรรณภรณ์</t>
  </si>
  <si>
    <t>สง่ากชกร</t>
  </si>
  <si>
    <t>พันธ์สุข</t>
  </si>
  <si>
    <t xml:space="preserve">อยู่วัง </t>
  </si>
  <si>
    <t xml:space="preserve">นางสาว กัลยรัตน์ </t>
  </si>
  <si>
    <t>สอาดนัก</t>
  </si>
  <si>
    <t>นางสาว เอื้อมมาภา</t>
  </si>
  <si>
    <t>ประเสริฐวีธัช</t>
  </si>
  <si>
    <t>นาย ทิเดช</t>
  </si>
  <si>
    <t>ศรีใคร่นุ่น</t>
  </si>
  <si>
    <t>นาย นาวา</t>
  </si>
  <si>
    <t>ท่าไคร้กลาง</t>
  </si>
  <si>
    <t>ยลถวิล</t>
  </si>
  <si>
    <t>นางสาว สารภี</t>
  </si>
  <si>
    <t>ศรีมามาศ</t>
  </si>
  <si>
    <t>บัวลอย</t>
  </si>
  <si>
    <t>นาง พิมพ์พิศา</t>
  </si>
  <si>
    <t>กมลมิ่งมงคล</t>
  </si>
  <si>
    <t>ภูอินนา</t>
  </si>
  <si>
    <t>นาง วรรณพร</t>
  </si>
  <si>
    <t>บุญเพ็ง</t>
  </si>
  <si>
    <t>ดลแม้น</t>
  </si>
  <si>
    <t xml:space="preserve">นาง จุรีรัตน์ </t>
  </si>
  <si>
    <t xml:space="preserve">หนองสุธรรม </t>
  </si>
  <si>
    <t>บุญสุรี</t>
  </si>
  <si>
    <t>กมลเลิศ</t>
  </si>
  <si>
    <t xml:space="preserve">นางสาว จุฬารัตน์ </t>
  </si>
  <si>
    <t xml:space="preserve">ศิลปชาติ </t>
  </si>
  <si>
    <t>วิชาเงิน</t>
  </si>
  <si>
    <t>นาย วิกลม</t>
  </si>
  <si>
    <t>ไชยเวช</t>
  </si>
  <si>
    <t>นาย วัชสรรค์</t>
  </si>
  <si>
    <t>ดอนขันธ์</t>
  </si>
  <si>
    <t xml:space="preserve">นาย เอกมนต์ </t>
  </si>
  <si>
    <t xml:space="preserve">วรรณสวนหม่อน </t>
  </si>
  <si>
    <t>สาทองขาว</t>
  </si>
  <si>
    <t>อ้วนเลิง</t>
  </si>
  <si>
    <t>นางสาว วิชาภรณ์</t>
  </si>
  <si>
    <t>สวาทพงษ์</t>
  </si>
  <si>
    <t>นางสาว รุ่งนิรันดร</t>
  </si>
  <si>
    <t>อรุณแสงศรี</t>
  </si>
  <si>
    <t>นางสาว จุธาภรณ์</t>
  </si>
  <si>
    <t>ทองปน</t>
  </si>
  <si>
    <t>วรรณพาด</t>
  </si>
  <si>
    <t>นาง สุมามาลย์</t>
  </si>
  <si>
    <t>สายชมภู</t>
  </si>
  <si>
    <t>นาง โสภิต</t>
  </si>
  <si>
    <t>นาง ณัฐฐิญา</t>
  </si>
  <si>
    <t xml:space="preserve">กิตติวัชรพงษ์ </t>
  </si>
  <si>
    <t>นาง หนูนิตย์</t>
  </si>
  <si>
    <t>ฉายจรุง</t>
  </si>
  <si>
    <t>อรรคชัย</t>
  </si>
  <si>
    <t>สรรพชัย</t>
  </si>
  <si>
    <t>ชินคีรี</t>
  </si>
  <si>
    <t>มูลคำศรี</t>
  </si>
  <si>
    <t>กองวิเศษ</t>
  </si>
  <si>
    <t>ชิณโน</t>
  </si>
  <si>
    <t>นาง ปิยะนุช</t>
  </si>
  <si>
    <t>ไสยประกาศ</t>
  </si>
  <si>
    <t>ดำรงวิทย์</t>
  </si>
  <si>
    <t>ศรีพละธรรม</t>
  </si>
  <si>
    <t>นาย ชัยพิภพ</t>
  </si>
  <si>
    <t>โยธะชัย</t>
  </si>
  <si>
    <t>ภูตีกา</t>
  </si>
  <si>
    <t>นาย สิทธิพงค์</t>
  </si>
  <si>
    <t>ปัทมารัง</t>
  </si>
  <si>
    <t>นางสาว พัฒน์พิไล</t>
  </si>
  <si>
    <t>วุฒิสาวงค์</t>
  </si>
  <si>
    <t>นาง นุจรินทร์</t>
  </si>
  <si>
    <t>แสนเมือง</t>
  </si>
  <si>
    <t>ศรีสุราช</t>
  </si>
  <si>
    <t>อังคุลี</t>
  </si>
  <si>
    <t>กุลศรี</t>
  </si>
  <si>
    <t>ทองสาร</t>
  </si>
  <si>
    <t>แสนสุมา</t>
  </si>
  <si>
    <t>นาย ภัทรพล</t>
  </si>
  <si>
    <t>นนทสกุลวงศ์</t>
  </si>
  <si>
    <t>ภูมาตย์</t>
  </si>
  <si>
    <t>นางสาว วิลาวัลย์</t>
  </si>
  <si>
    <t>เวียนเตียง</t>
  </si>
  <si>
    <t xml:space="preserve">สร้อยเสนา </t>
  </si>
  <si>
    <t>นาง วัชรีกร</t>
  </si>
  <si>
    <t xml:space="preserve">เกียรติสุขุมพงศ์ </t>
  </si>
  <si>
    <t xml:space="preserve">แก้วพระพาน </t>
  </si>
  <si>
    <t xml:space="preserve">เทพาศิริ </t>
  </si>
  <si>
    <t>นางสาว อรัญญี</t>
  </si>
  <si>
    <t>แสนอุดม</t>
  </si>
  <si>
    <t xml:space="preserve">โยธาศรี </t>
  </si>
  <si>
    <t>พานสมภพ</t>
  </si>
  <si>
    <t xml:space="preserve">นาย อรรถเศรษฐ์ </t>
  </si>
  <si>
    <t>ธารสมบัติ</t>
  </si>
  <si>
    <t xml:space="preserve">นาย ปรัชญา </t>
  </si>
  <si>
    <t>พลับผล</t>
  </si>
  <si>
    <t xml:space="preserve">นาย กฤตภาส </t>
  </si>
  <si>
    <t xml:space="preserve">จันจินา </t>
  </si>
  <si>
    <t>นางสาว พิชญ์ทิพา</t>
  </si>
  <si>
    <t>ศุทธิธนาวัฒน์</t>
  </si>
  <si>
    <t xml:space="preserve">นางสาว จุไรพร </t>
  </si>
  <si>
    <t>เก่งสนาม</t>
  </si>
  <si>
    <t>นาง วิมาลา</t>
  </si>
  <si>
    <t>แก้ววงศ์</t>
  </si>
  <si>
    <t>เข็มคง</t>
  </si>
  <si>
    <t>คันธวัน</t>
  </si>
  <si>
    <t>ขัติทะเสมา</t>
  </si>
  <si>
    <t>บุษบงค์</t>
  </si>
  <si>
    <t>สมป่าสัก</t>
  </si>
  <si>
    <t>นาย ศักดิเดชน์</t>
  </si>
  <si>
    <t>แก้ววิเศษ</t>
  </si>
  <si>
    <t>นาง ดรรชนี</t>
  </si>
  <si>
    <t>เมธเศรษฐ</t>
  </si>
  <si>
    <t>เสนะวีระกุล</t>
  </si>
  <si>
    <t>นางสาว ชุลี</t>
  </si>
  <si>
    <t>เอี่ยมอ้น</t>
  </si>
  <si>
    <t>นาง มนต์ตา</t>
  </si>
  <si>
    <t>นาย จิรประวัติณ์</t>
  </si>
  <si>
    <t>ไทยประสิทธิ์</t>
  </si>
  <si>
    <t>บัวผัน</t>
  </si>
  <si>
    <t>นาง ปรียารัตน์</t>
  </si>
  <si>
    <t xml:space="preserve">จอมดวง </t>
  </si>
  <si>
    <t>นาย รัฐพล</t>
  </si>
  <si>
    <t>ปิ่นชัยมูล</t>
  </si>
  <si>
    <t>นาย ลภนพัทร</t>
  </si>
  <si>
    <t>โมกสุวรรณ</t>
  </si>
  <si>
    <t>อรรคละน้อย</t>
  </si>
  <si>
    <t>ชุนบุญมา</t>
  </si>
  <si>
    <t>นางสาว กอบกุล</t>
  </si>
  <si>
    <t>อนันตกุล</t>
  </si>
  <si>
    <t>นนทะคำจันทร์</t>
  </si>
  <si>
    <t>นาย อดิสรณ์</t>
  </si>
  <si>
    <t>ผาโคตร</t>
  </si>
  <si>
    <t>ขรรค์แก้ว</t>
  </si>
  <si>
    <t>โสเจยยะ</t>
  </si>
  <si>
    <t>นาร่อง</t>
  </si>
  <si>
    <t>นาย ณวพล</t>
  </si>
  <si>
    <t>ปราบ ณ ศักดิ์</t>
  </si>
  <si>
    <t>นาย วันที</t>
  </si>
  <si>
    <t>เนื่องชุมพล</t>
  </si>
  <si>
    <t>เชื้อสาวะถี</t>
  </si>
  <si>
    <t>ทีหัวช้าง</t>
  </si>
  <si>
    <t>ยามา</t>
  </si>
  <si>
    <t>ราศรี</t>
  </si>
  <si>
    <t>นาง วิลาวรรณ</t>
  </si>
  <si>
    <t>ศรีเคนขันธ์</t>
  </si>
  <si>
    <t>นาย ปภาวิน</t>
  </si>
  <si>
    <t>สิงห์เดช</t>
  </si>
  <si>
    <t>ศิริมุกดากุล</t>
  </si>
  <si>
    <t>นางสาว ศิวพร</t>
  </si>
  <si>
    <t>แสนสุทธวิจิตร</t>
  </si>
  <si>
    <t>นางสาว เอมอร</t>
  </si>
  <si>
    <t>จันทรสา</t>
  </si>
  <si>
    <t>นาย สุรฉัตร</t>
  </si>
  <si>
    <t>ศรีลับซ้าย</t>
  </si>
  <si>
    <t>นางสาว เทวา</t>
  </si>
  <si>
    <t>คำกลอง</t>
  </si>
  <si>
    <t>นางสาว เพ็ญศิริ</t>
  </si>
  <si>
    <t>พิพักษ์</t>
  </si>
  <si>
    <t xml:space="preserve">นางสาว ณัฐชานันท์ </t>
  </si>
  <si>
    <t>ฐานะวัน</t>
  </si>
  <si>
    <t xml:space="preserve">นาย เกรียงฤทธิ์ </t>
  </si>
  <si>
    <t xml:space="preserve">แก้วบ้านเหล่า </t>
  </si>
  <si>
    <t xml:space="preserve">นาง สุภัคชญา </t>
  </si>
  <si>
    <t>นางสาว คมขำ</t>
  </si>
  <si>
    <t>เจริญอินทร์</t>
  </si>
  <si>
    <t xml:space="preserve">นางสาว กฤษฎิ์ณิชา </t>
  </si>
  <si>
    <t xml:space="preserve">วรัตถ์ปวีร์กุล </t>
  </si>
  <si>
    <t xml:space="preserve">นาย ปุณณรัตน์ </t>
  </si>
  <si>
    <t xml:space="preserve">นางสาว เสาวภา </t>
  </si>
  <si>
    <t xml:space="preserve">หินวิเศษ </t>
  </si>
  <si>
    <t xml:space="preserve">นางสาว ณัฎฐนิชา </t>
  </si>
  <si>
    <t>มีสูงเนิน</t>
  </si>
  <si>
    <t xml:space="preserve">นางสาว เบญจมาภรณ์ </t>
  </si>
  <si>
    <t xml:space="preserve">พรพิพัฒน์ </t>
  </si>
  <si>
    <t xml:space="preserve">นาย จีรพงศ์ </t>
  </si>
  <si>
    <t xml:space="preserve">ตาแสง </t>
  </si>
  <si>
    <t xml:space="preserve">นางสาว ลัดดา </t>
  </si>
  <si>
    <t xml:space="preserve">กองหาโคตร </t>
  </si>
  <si>
    <t>หาญโงน</t>
  </si>
  <si>
    <t xml:space="preserve">นางสาว กัญญาภัทร </t>
  </si>
  <si>
    <t xml:space="preserve">โพธิ์มี </t>
  </si>
  <si>
    <t>นาสมชัย</t>
  </si>
  <si>
    <t>นางสาว อนงค์</t>
  </si>
  <si>
    <t>ก้านหมากกลาง</t>
  </si>
  <si>
    <t>นาย รุ่งชัย</t>
  </si>
  <si>
    <t>สีลากลาง</t>
  </si>
  <si>
    <t>นางสาว กฤติกา</t>
  </si>
  <si>
    <t xml:space="preserve">เทพามาตย์ </t>
  </si>
  <si>
    <t>พิลากรณ์</t>
  </si>
  <si>
    <t>นาง วิยะดา</t>
  </si>
  <si>
    <t xml:space="preserve">นารี </t>
  </si>
  <si>
    <t>นามโยธา</t>
  </si>
  <si>
    <t>วันติ</t>
  </si>
  <si>
    <t>กาจู</t>
  </si>
  <si>
    <t>บรรณาคำ</t>
  </si>
  <si>
    <t xml:space="preserve">แพงเพ็ง </t>
  </si>
  <si>
    <t>พวงสุวรรณ</t>
  </si>
  <si>
    <t xml:space="preserve">นางสาว ชบา </t>
  </si>
  <si>
    <t>ผดุงชาติ</t>
  </si>
  <si>
    <t>พุ่มคชา</t>
  </si>
  <si>
    <t>มานะศิริ</t>
  </si>
  <si>
    <t>นาย กิติเวช</t>
  </si>
  <si>
    <t>สายพัฒนะ</t>
  </si>
  <si>
    <t>สอนหินลาด</t>
  </si>
  <si>
    <t xml:space="preserve">รัตนา </t>
  </si>
  <si>
    <t xml:space="preserve">นางสาว ฦาทิตา </t>
  </si>
  <si>
    <t xml:space="preserve">ชัยไพบูลย์ </t>
  </si>
  <si>
    <t>บุญส่งเสริม</t>
  </si>
  <si>
    <t>นาง สายสุวรรณ</t>
  </si>
  <si>
    <t>สร้อยเกียว</t>
  </si>
  <si>
    <t xml:space="preserve">นางสาว วิลาสิณี </t>
  </si>
  <si>
    <t xml:space="preserve">สุนทรชัยกิจ </t>
  </si>
  <si>
    <t xml:space="preserve">นางสาว ปุญชิกา </t>
  </si>
  <si>
    <t xml:space="preserve">ภูล้นแก้ว </t>
  </si>
  <si>
    <t>สมตุ้ย</t>
  </si>
  <si>
    <t>นาง เพ็ญนภา</t>
  </si>
  <si>
    <t>อ่อนศรี</t>
  </si>
  <si>
    <t>นาง ลินจง</t>
  </si>
  <si>
    <t>นางสาว สวรส</t>
  </si>
  <si>
    <t>จันทร์เหลือง</t>
  </si>
  <si>
    <t>นาย พงศ์พันธ์</t>
  </si>
  <si>
    <t>เลขกาญจน์</t>
  </si>
  <si>
    <t>นาง ลำไพร</t>
  </si>
  <si>
    <t>ปรีชาโชติ</t>
  </si>
  <si>
    <t xml:space="preserve">เพ็ชรภิรมย์ </t>
  </si>
  <si>
    <t>นาย ไกรวุฒิ</t>
  </si>
  <si>
    <t>เสียงหาญ</t>
  </si>
  <si>
    <t>นาง วนภรณ์</t>
  </si>
  <si>
    <t>เจริญใจ</t>
  </si>
  <si>
    <t>นภวงศ์ ณ อยุธยา</t>
  </si>
  <si>
    <t>สระทองป้อม</t>
  </si>
  <si>
    <t>นาย พลภัทร</t>
  </si>
  <si>
    <t>คงจังหวัด</t>
  </si>
  <si>
    <t xml:space="preserve">นาย ชนายุส </t>
  </si>
  <si>
    <t xml:space="preserve">ฐิติอุดมรักษ์ </t>
  </si>
  <si>
    <t>ศรีสกุล</t>
  </si>
  <si>
    <t>นาง จันทรรัตน์</t>
  </si>
  <si>
    <t>ฉ่ำชื่นใจ</t>
  </si>
  <si>
    <t>นาย พัฒนศักดิ์</t>
  </si>
  <si>
    <t>พ่วงสมบัติ</t>
  </si>
  <si>
    <t xml:space="preserve">เรืองสวัสดิ์ </t>
  </si>
  <si>
    <t>สำแดงฤทธิ์</t>
  </si>
  <si>
    <t>ฮวดวิเศษ</t>
  </si>
  <si>
    <t xml:space="preserve">นาย จีรณัทย์ </t>
  </si>
  <si>
    <t xml:space="preserve">หงษ์จาตุรันต์ </t>
  </si>
  <si>
    <t xml:space="preserve">นาเมืองรักษ์ </t>
  </si>
  <si>
    <t>นาง สำเริง</t>
  </si>
  <si>
    <t>คงศักดิ์ไพบูลย์</t>
  </si>
  <si>
    <t xml:space="preserve">นาง สดศรี </t>
  </si>
  <si>
    <t>ทุมมาเกตุ</t>
  </si>
  <si>
    <t>ไชยชาติ</t>
  </si>
  <si>
    <t>นาย สุเมศร์</t>
  </si>
  <si>
    <t>แก่นจันทร์</t>
  </si>
  <si>
    <t>กอบประเสริฐศรี</t>
  </si>
  <si>
    <t>สุธาสี</t>
  </si>
  <si>
    <t>เนื้อแก้ว</t>
  </si>
  <si>
    <t>นาง เด่นดาว</t>
  </si>
  <si>
    <t>เชิดชูพงษ์</t>
  </si>
  <si>
    <t>ธุมาพันธ์</t>
  </si>
  <si>
    <t xml:space="preserve">นาย ณัฐชัยพงษ์ </t>
  </si>
  <si>
    <t>ช้อยชด</t>
  </si>
  <si>
    <t>โสภี</t>
  </si>
  <si>
    <t>นางสาว จรินทร์</t>
  </si>
  <si>
    <t>อินทอุดม</t>
  </si>
  <si>
    <t>นางสาว สุคนธ์ทิพย์</t>
  </si>
  <si>
    <t>ไถ่ประยูร</t>
  </si>
  <si>
    <t>นาย มนัสนันท์</t>
  </si>
  <si>
    <t>ชาญชลยุทธ</t>
  </si>
  <si>
    <t>นางสาว อรัญญาณีย์</t>
  </si>
  <si>
    <t>เพชรคีรี</t>
  </si>
  <si>
    <t>นาง กษิรา</t>
  </si>
  <si>
    <t>ธนเจริญวัชร</t>
  </si>
  <si>
    <t xml:space="preserve">นาย จำลอง </t>
  </si>
  <si>
    <t xml:space="preserve">พุฒซ้อน </t>
  </si>
  <si>
    <t>ทับขัน</t>
  </si>
  <si>
    <t>นาง ศกลวรรณ</t>
  </si>
  <si>
    <t>นาย หะพันธ์</t>
  </si>
  <si>
    <t>พลับพลาไชย</t>
  </si>
  <si>
    <t>นิสสัยพันธ์</t>
  </si>
  <si>
    <t>นาง นิษฐาเพ็ญ</t>
  </si>
  <si>
    <t>เนื่องจำนงค์</t>
  </si>
  <si>
    <t>บำรุงวัตร</t>
  </si>
  <si>
    <t>นาง วรวรรณ์</t>
  </si>
  <si>
    <t>ตันสุริวงค์</t>
  </si>
  <si>
    <t>นางสาว รักชนก</t>
  </si>
  <si>
    <t>จันทร์ชุ่ม</t>
  </si>
  <si>
    <t>เฮงไล้</t>
  </si>
  <si>
    <t>พวงนางแย้ม</t>
  </si>
  <si>
    <t>นางสาว ชลัยกร</t>
  </si>
  <si>
    <t>วิมลรัตน์</t>
  </si>
  <si>
    <t xml:space="preserve">นางสาว ปรางทอง </t>
  </si>
  <si>
    <t xml:space="preserve">วัฒนานนท์ </t>
  </si>
  <si>
    <t>นาง ชิดชนก</t>
  </si>
  <si>
    <t>ดีอ่อน</t>
  </si>
  <si>
    <t xml:space="preserve">เมฆศรีพงษ์ </t>
  </si>
  <si>
    <t>แสงไชย</t>
  </si>
  <si>
    <t>นาย ภูอภิสิทธิ์</t>
  </si>
  <si>
    <t>พุทริ้ว</t>
  </si>
  <si>
    <t>โยธาวงค์</t>
  </si>
  <si>
    <t>สุขจาด</t>
  </si>
  <si>
    <t>กลิ่นเทียน</t>
  </si>
  <si>
    <t>ขวัญเพ็ง</t>
  </si>
  <si>
    <t>จันสุก</t>
  </si>
  <si>
    <t>เหมือนนุ่ม</t>
  </si>
  <si>
    <t xml:space="preserve">นางสาว ทิตยา </t>
  </si>
  <si>
    <t xml:space="preserve">ประเสริฐกุล </t>
  </si>
  <si>
    <t xml:space="preserve">กิติรัตน์ </t>
  </si>
  <si>
    <t>นางสาว พิชชาภรณ์</t>
  </si>
  <si>
    <t xml:space="preserve">ถิ่นสุข </t>
  </si>
  <si>
    <t>เทียนขาว</t>
  </si>
  <si>
    <t>เพ็งสิงห์</t>
  </si>
  <si>
    <t>นาย เติม</t>
  </si>
  <si>
    <t>นาง อังศิมา</t>
  </si>
  <si>
    <t>มั่นอ่วม</t>
  </si>
  <si>
    <t>นาง ธารารัตน์</t>
  </si>
  <si>
    <t>ไล่กสิกรรม</t>
  </si>
  <si>
    <t>นาง วันวิภา</t>
  </si>
  <si>
    <t>พรมนาค</t>
  </si>
  <si>
    <t xml:space="preserve">นาย ชลิต </t>
  </si>
  <si>
    <t xml:space="preserve">กริมสวัสดิ์ </t>
  </si>
  <si>
    <t>แย้มนวน</t>
  </si>
  <si>
    <t>นางสาว ขวัญลาภ</t>
  </si>
  <si>
    <t>โรจน์วุฒิมงคล</t>
  </si>
  <si>
    <t>สุธา</t>
  </si>
  <si>
    <t>กมุทชาติ</t>
  </si>
  <si>
    <t>บุญมีรอด</t>
  </si>
  <si>
    <t>นางสาว กัสมา</t>
  </si>
  <si>
    <t xml:space="preserve">อินทร์อารักษ์ </t>
  </si>
  <si>
    <t xml:space="preserve">นางสาว สุชากาญจน์ </t>
  </si>
  <si>
    <t>เกิดสริ</t>
  </si>
  <si>
    <t>นางสาว นุชจรีย์</t>
  </si>
  <si>
    <t xml:space="preserve">เหล่าพงษ์ </t>
  </si>
  <si>
    <t xml:space="preserve">นางสาว ชวิกานต์ </t>
  </si>
  <si>
    <t xml:space="preserve">สวนพลาย </t>
  </si>
  <si>
    <t xml:space="preserve">จงศิริ </t>
  </si>
  <si>
    <t xml:space="preserve">นาย วชิราวุธ </t>
  </si>
  <si>
    <t xml:space="preserve">ชนะเคน </t>
  </si>
  <si>
    <t>ใยมณี</t>
  </si>
  <si>
    <t xml:space="preserve">พิสฐศาสน์ </t>
  </si>
  <si>
    <t>นาง ปติณญา</t>
  </si>
  <si>
    <t>กายแก้ว</t>
  </si>
  <si>
    <t>นาย ไพยล</t>
  </si>
  <si>
    <t>ภูมิโคกรักษ์</t>
  </si>
  <si>
    <t>นางสาว ยุภาพร</t>
  </si>
  <si>
    <t>วงศ์รัตนชัย</t>
  </si>
  <si>
    <t>ชีหรั่ง</t>
  </si>
  <si>
    <t>นาง ไพศรี</t>
  </si>
  <si>
    <t>ถนอมชีพ</t>
  </si>
  <si>
    <t>นาย อุดมเดช</t>
  </si>
  <si>
    <t>คนสมบูรณ์</t>
  </si>
  <si>
    <t>นางสาว สมปอง</t>
  </si>
  <si>
    <t>เชิญกลาง</t>
  </si>
  <si>
    <t>นางสาว พิรุฬห์ลักษณ์</t>
  </si>
  <si>
    <t>คล่องการ</t>
  </si>
  <si>
    <t>ประเสริฐไทย</t>
  </si>
  <si>
    <t>บำรุงบุรี</t>
  </si>
  <si>
    <t>นาง นาถ</t>
  </si>
  <si>
    <t>บำรุงราษฎร์</t>
  </si>
  <si>
    <t>สวงโท</t>
  </si>
  <si>
    <t>เริงชัยภูมิ</t>
  </si>
  <si>
    <t>ต่อติด</t>
  </si>
  <si>
    <t>นาง ชาวิณี</t>
  </si>
  <si>
    <t>ทีนะกุล</t>
  </si>
  <si>
    <t xml:space="preserve">ไตรไทยธีระ </t>
  </si>
  <si>
    <t>จันทร์นวน</t>
  </si>
  <si>
    <t>นาง อรอารี</t>
  </si>
  <si>
    <t>แต่งแดน</t>
  </si>
  <si>
    <t>นางสาว ดรุวรรณ</t>
  </si>
  <si>
    <t>เจริญขามป้อม</t>
  </si>
  <si>
    <t>ละดาขันธ์</t>
  </si>
  <si>
    <t xml:space="preserve">นาง ชัชฎาภรณ์ </t>
  </si>
  <si>
    <t>สุวรรณโชติ</t>
  </si>
  <si>
    <t xml:space="preserve">นางสาว ชิดชไม </t>
  </si>
  <si>
    <t xml:space="preserve">เต้ยภูเขียว </t>
  </si>
  <si>
    <t xml:space="preserve">นางสาว ปวิตรา </t>
  </si>
  <si>
    <t xml:space="preserve">อาจวิชิต </t>
  </si>
  <si>
    <t>กรแก้ว</t>
  </si>
  <si>
    <t>คมวิลาศ</t>
  </si>
  <si>
    <t>ประกอบบุญ</t>
  </si>
  <si>
    <t>แก้วชูใส</t>
  </si>
  <si>
    <t>นาสัก</t>
  </si>
  <si>
    <t>นาง นวลศรี</t>
  </si>
  <si>
    <t>ทองสวี</t>
  </si>
  <si>
    <t>นาย อรชุน</t>
  </si>
  <si>
    <t>รักชุมคง</t>
  </si>
  <si>
    <t>นาง สมยา</t>
  </si>
  <si>
    <t>เปล่งแสง</t>
  </si>
  <si>
    <t xml:space="preserve">นพคุณขจร </t>
  </si>
  <si>
    <t>นาย จารงค์</t>
  </si>
  <si>
    <t>ฤทธิโสม</t>
  </si>
  <si>
    <t>เกลี้ยงประดิษฐ์</t>
  </si>
  <si>
    <t>ศรีจิตร</t>
  </si>
  <si>
    <t>พุทธสิทธิ์</t>
  </si>
  <si>
    <t>นาย ไพสิฐ</t>
  </si>
  <si>
    <t>เกตุสถิตย์</t>
  </si>
  <si>
    <t>เย็นใจ</t>
  </si>
  <si>
    <t>นางสาว ศุภิดา</t>
  </si>
  <si>
    <t>บุญนุช</t>
  </si>
  <si>
    <t>ปิ่นแก้ว</t>
  </si>
  <si>
    <t xml:space="preserve">นางสาว อัญชนา </t>
  </si>
  <si>
    <t>อุ่นจิตร</t>
  </si>
  <si>
    <t>นาย ชาครีย์</t>
  </si>
  <si>
    <t>คชรินทร์</t>
  </si>
  <si>
    <t xml:space="preserve">นาย รังสรรค์ </t>
  </si>
  <si>
    <t xml:space="preserve">ริยาพันธ์ </t>
  </si>
  <si>
    <t>คงชาตรี</t>
  </si>
  <si>
    <t>เพชรพิศาล</t>
  </si>
  <si>
    <t>สุวรรณอาสน์</t>
  </si>
  <si>
    <t>ตั้งสมาธิกุล</t>
  </si>
  <si>
    <t>นาย เกียรติ</t>
  </si>
  <si>
    <t>ยั่วยวน</t>
  </si>
  <si>
    <t>โนหลักหมื่น</t>
  </si>
  <si>
    <t>นาย เลิศชัย</t>
  </si>
  <si>
    <t>ดอนชัย</t>
  </si>
  <si>
    <t>นาย ประเวศน์</t>
  </si>
  <si>
    <t>บุญเลา</t>
  </si>
  <si>
    <t>ปูกา</t>
  </si>
  <si>
    <t>กองไชย</t>
  </si>
  <si>
    <t>พินิจ</t>
  </si>
  <si>
    <t>นาง พวงเพ็ญ</t>
  </si>
  <si>
    <t>รุจิขจร</t>
  </si>
  <si>
    <t>สุขสอาด</t>
  </si>
  <si>
    <t>สุวรรณนิเวศน์</t>
  </si>
  <si>
    <t xml:space="preserve">นาย ต้นชัย </t>
  </si>
  <si>
    <t xml:space="preserve">ใจธิ </t>
  </si>
  <si>
    <t>นาง วไลลักษณ์</t>
  </si>
  <si>
    <t>รุ้งพราย</t>
  </si>
  <si>
    <t>สุวรรณดารักษ์</t>
  </si>
  <si>
    <t>ดวงฤทธิ์</t>
  </si>
  <si>
    <t>เรือนปิน</t>
  </si>
  <si>
    <t>เกิดสวัสดิ์</t>
  </si>
  <si>
    <t>นางสาว อรชา</t>
  </si>
  <si>
    <t>วงศาโรจน์</t>
  </si>
  <si>
    <t>นาย สงกราน</t>
  </si>
  <si>
    <t>สุยะราช</t>
  </si>
  <si>
    <t>นางสาว ญาณี</t>
  </si>
  <si>
    <t>โปธาดี</t>
  </si>
  <si>
    <t xml:space="preserve">นางสาว เปรมอร </t>
  </si>
  <si>
    <t>ธัมมะ</t>
  </si>
  <si>
    <t xml:space="preserve">นางสาว ณภาภัช </t>
  </si>
  <si>
    <t>เหล็กชุบ</t>
  </si>
  <si>
    <t xml:space="preserve">นาย สุขุม </t>
  </si>
  <si>
    <t>เครือปินใจ</t>
  </si>
  <si>
    <t xml:space="preserve">บุญวรเศรษฐ์ </t>
  </si>
  <si>
    <t xml:space="preserve">สัสดี </t>
  </si>
  <si>
    <t xml:space="preserve">ว่าที่ ร.ต. นพพล </t>
  </si>
  <si>
    <t xml:space="preserve">คำเขียว </t>
  </si>
  <si>
    <t xml:space="preserve">นางสาว ศิวิรุฬห์ </t>
  </si>
  <si>
    <t xml:space="preserve">พีระเชื้อ </t>
  </si>
  <si>
    <t>มหาวรรณ</t>
  </si>
  <si>
    <t>แปงใจ</t>
  </si>
  <si>
    <t>ไหวคิด</t>
  </si>
  <si>
    <t>ไชยยะ</t>
  </si>
  <si>
    <t>ใจปิน</t>
  </si>
  <si>
    <t>คันธะวงศ์</t>
  </si>
  <si>
    <t>นาย เดชาธร</t>
  </si>
  <si>
    <t>กาชัย</t>
  </si>
  <si>
    <t>วงค์สุภา</t>
  </si>
  <si>
    <t>นาย เอ็ม</t>
  </si>
  <si>
    <t>เรือนแก้ว</t>
  </si>
  <si>
    <t>ชุ่มอินทรจักร์</t>
  </si>
  <si>
    <t>น้อยหมอ</t>
  </si>
  <si>
    <t>พิชัยพรหม</t>
  </si>
  <si>
    <t>นาย กรกต</t>
  </si>
  <si>
    <t>เลิศปรีชารักษ์</t>
  </si>
  <si>
    <t>นาง จิณณ์ณิชา</t>
  </si>
  <si>
    <t>เรืองสวัสดิ์</t>
  </si>
  <si>
    <t>นาง ทักษิณา</t>
  </si>
  <si>
    <t>อุประ</t>
  </si>
  <si>
    <t>ชูศิลป์</t>
  </si>
  <si>
    <t>นางสาว ฐิชยา</t>
  </si>
  <si>
    <t>จุมปู</t>
  </si>
  <si>
    <t>นางสาว ทับทิม</t>
  </si>
  <si>
    <t>แสนมา</t>
  </si>
  <si>
    <t>เครืออินทร์</t>
  </si>
  <si>
    <t>เทพสถิตย์</t>
  </si>
  <si>
    <t>เย็นสุขศิริ</t>
  </si>
  <si>
    <t>บุญญาทวี</t>
  </si>
  <si>
    <t>อุ่นกันทา</t>
  </si>
  <si>
    <t>นางสาว กชกมล</t>
  </si>
  <si>
    <t>เถื่อนทับ</t>
  </si>
  <si>
    <t>นางสาว สุธาศินี</t>
  </si>
  <si>
    <t>นอมี</t>
  </si>
  <si>
    <t>ชัยแก่น</t>
  </si>
  <si>
    <t>พรอิทธิกิจ</t>
  </si>
  <si>
    <t xml:space="preserve">นางสาว อรปรียา </t>
  </si>
  <si>
    <t xml:space="preserve">สุริคำ </t>
  </si>
  <si>
    <t xml:space="preserve">นาย ธนญชัย </t>
  </si>
  <si>
    <t xml:space="preserve">สมจิตต์ </t>
  </si>
  <si>
    <t xml:space="preserve">ชีวะเจริญ </t>
  </si>
  <si>
    <t xml:space="preserve">ศรีสองสม </t>
  </si>
  <si>
    <t xml:space="preserve">นางสาว ศรัณญา </t>
  </si>
  <si>
    <t xml:space="preserve">ทับทิม </t>
  </si>
  <si>
    <t>นางสาว ชูศรี</t>
  </si>
  <si>
    <t>บุญโยม</t>
  </si>
  <si>
    <t>ทองพินิจ</t>
  </si>
  <si>
    <t>แท่นงาม</t>
  </si>
  <si>
    <t>นาย วัชรา</t>
  </si>
  <si>
    <t>มาโสด</t>
  </si>
  <si>
    <t>ปันคำ</t>
  </si>
  <si>
    <t>นาง ภาษิตา</t>
  </si>
  <si>
    <t>แก้วเลื่อมใส</t>
  </si>
  <si>
    <t>เทพธานี</t>
  </si>
  <si>
    <t>จอมเมือง</t>
  </si>
  <si>
    <t>เอี่ยนเสง</t>
  </si>
  <si>
    <t>นาย บุญเทียน</t>
  </si>
  <si>
    <t>แหลงคำ</t>
  </si>
  <si>
    <t>นาง วัทนารีณ์</t>
  </si>
  <si>
    <t>ทาปลูก</t>
  </si>
  <si>
    <t>ปิงกุล</t>
  </si>
  <si>
    <t>นาย พิสิฐศักดิ์</t>
  </si>
  <si>
    <t>นาย วุฒิฉัตร</t>
  </si>
  <si>
    <t>เสนีวงศ์ ณ อยุธยา</t>
  </si>
  <si>
    <t>การุณพักตร์</t>
  </si>
  <si>
    <t>นางสาว รจนรินทร์</t>
  </si>
  <si>
    <t>ดำรงรัตน์</t>
  </si>
  <si>
    <t>นาย เอกธนัช</t>
  </si>
  <si>
    <t>บุสสยา</t>
  </si>
  <si>
    <t>พนมมิตร</t>
  </si>
  <si>
    <t>นาย พนิต</t>
  </si>
  <si>
    <t>เจริญบูรณ์</t>
  </si>
  <si>
    <t>นาง นิชกานต์</t>
  </si>
  <si>
    <t>โตเขียว</t>
  </si>
  <si>
    <t>นางสาว ไพรวัลย์</t>
  </si>
  <si>
    <t>บุษราคัม</t>
  </si>
  <si>
    <t>ผลิวรรธนะ</t>
  </si>
  <si>
    <t>นาง กานต์รวี</t>
  </si>
  <si>
    <t xml:space="preserve">ขาวผ่อง </t>
  </si>
  <si>
    <t>พุ่มพวง</t>
  </si>
  <si>
    <t xml:space="preserve">กรรณิการ์ </t>
  </si>
  <si>
    <t>นาง บัวลอย</t>
  </si>
  <si>
    <t>นาย สมถวิล</t>
  </si>
  <si>
    <t>ขัดสาร</t>
  </si>
  <si>
    <t>นาย ดวงต๋า</t>
  </si>
  <si>
    <t>ฤทธิ์เรืองโรจน์</t>
  </si>
  <si>
    <t>เพ็ญเต็มดวง</t>
  </si>
  <si>
    <t>กันทะอุโมงค์</t>
  </si>
  <si>
    <t>นาย กู้ชาติ</t>
  </si>
  <si>
    <t>ภสินี</t>
  </si>
  <si>
    <t xml:space="preserve">นางสาว นีรนุช </t>
  </si>
  <si>
    <t xml:space="preserve">วรรณภิระ </t>
  </si>
  <si>
    <t>ไววรกิจ</t>
  </si>
  <si>
    <t>นางสาว จันทร์เพชร</t>
  </si>
  <si>
    <t>คำธัญ</t>
  </si>
  <si>
    <t>วรรณฤทธิ์</t>
  </si>
  <si>
    <t>นางสาว พีรดี</t>
  </si>
  <si>
    <t>เหมวิรัช</t>
  </si>
  <si>
    <t xml:space="preserve">นาง กัลยกร </t>
  </si>
  <si>
    <t>สมโน</t>
  </si>
  <si>
    <t>นาง วรินทร</t>
  </si>
  <si>
    <t>มั่งมูลอู</t>
  </si>
  <si>
    <t xml:space="preserve">นาย สิทธิพันธุ์  </t>
  </si>
  <si>
    <t>คันธฬิกา</t>
  </si>
  <si>
    <t>นาง สุมาลา</t>
  </si>
  <si>
    <t>นาง วจีกาญจน์</t>
  </si>
  <si>
    <t>มงคลผลาวัฒน์</t>
  </si>
  <si>
    <t>นาง บัวจันทร์</t>
  </si>
  <si>
    <t>วงศ์สวย</t>
  </si>
  <si>
    <t>นาย เสริมพงษ์</t>
  </si>
  <si>
    <t>พงษ์พิกุล</t>
  </si>
  <si>
    <t>ถาคำติ๊บ</t>
  </si>
  <si>
    <t>นาย สุทธิวิทย์</t>
  </si>
  <si>
    <t>พยัคฆัยหพล</t>
  </si>
  <si>
    <t>นางสาว จตุรพร</t>
  </si>
  <si>
    <t>จิตตปัญญา</t>
  </si>
  <si>
    <t>หอมนารี</t>
  </si>
  <si>
    <t>กาวีต๊ะ</t>
  </si>
  <si>
    <t>ลาภพระแก้ว</t>
  </si>
  <si>
    <t>นาง รมณา</t>
  </si>
  <si>
    <t>นางสาว ปัทมาพร</t>
  </si>
  <si>
    <t>ใคร้วานิช</t>
  </si>
  <si>
    <t xml:space="preserve">นาง จรัสศรี </t>
  </si>
  <si>
    <t xml:space="preserve">นาง นงค์เยาว์ </t>
  </si>
  <si>
    <t>บุญยศ</t>
  </si>
  <si>
    <t xml:space="preserve">นาง นภาภรณ์ </t>
  </si>
  <si>
    <t xml:space="preserve">คำมูล </t>
  </si>
  <si>
    <t xml:space="preserve">นาย สัญชัย </t>
  </si>
  <si>
    <t xml:space="preserve">ปัญจะเรือง </t>
  </si>
  <si>
    <t xml:space="preserve">นางสาว เกล็ดแก้ว </t>
  </si>
  <si>
    <t xml:space="preserve">วรรณมณี </t>
  </si>
  <si>
    <t>นางสาว เปลวเทียน</t>
  </si>
  <si>
    <t>ไชยวงค์</t>
  </si>
  <si>
    <t xml:space="preserve">ตระกูลวรปัญญา </t>
  </si>
  <si>
    <t xml:space="preserve">นาง วรรณภัสสรณ์ </t>
  </si>
  <si>
    <t xml:space="preserve">วัยวัฒน์ </t>
  </si>
  <si>
    <t xml:space="preserve">มหาวงค์ </t>
  </si>
  <si>
    <t xml:space="preserve">นาง รวิสรา </t>
  </si>
  <si>
    <t xml:space="preserve">สุภา </t>
  </si>
  <si>
    <t xml:space="preserve">นาง พัชรา </t>
  </si>
  <si>
    <t xml:space="preserve">อุ่นคำ </t>
  </si>
  <si>
    <t xml:space="preserve">คำรินทร์ </t>
  </si>
  <si>
    <t>ญามณี</t>
  </si>
  <si>
    <t>ว่าที่ ร.ต. ภานุพงศ์</t>
  </si>
  <si>
    <t>ชมฤทธิ์</t>
  </si>
  <si>
    <t>สันใจ</t>
  </si>
  <si>
    <t>ปันชู</t>
  </si>
  <si>
    <t xml:space="preserve">ตาละกา </t>
  </si>
  <si>
    <t xml:space="preserve">นาย รังสิมันตุ์ </t>
  </si>
  <si>
    <t>หวั่นนะ</t>
  </si>
  <si>
    <t xml:space="preserve">นาง เกศรินทร์ </t>
  </si>
  <si>
    <t xml:space="preserve">ต่ายแต้มทอง </t>
  </si>
  <si>
    <t xml:space="preserve">นาย อนุชา </t>
  </si>
  <si>
    <t>ก๋าใจ</t>
  </si>
  <si>
    <t xml:space="preserve">นาง ไพรินทร์ </t>
  </si>
  <si>
    <t xml:space="preserve">วงศ์กันทะ </t>
  </si>
  <si>
    <t xml:space="preserve">ทรายมูล </t>
  </si>
  <si>
    <t xml:space="preserve">พิทาคำ </t>
  </si>
  <si>
    <t>นาย ประพันธ์พงษ์</t>
  </si>
  <si>
    <t>ใหม่เฟย</t>
  </si>
  <si>
    <t>นาง เกศราภรณ์</t>
  </si>
  <si>
    <t>สีเงิน</t>
  </si>
  <si>
    <t>นางสาว พัชร์ธีรัตน์</t>
  </si>
  <si>
    <t>สุทธาวรรณ์</t>
  </si>
  <si>
    <t xml:space="preserve">ยุปาระมี </t>
  </si>
  <si>
    <t>นาง กัณญภัทร</t>
  </si>
  <si>
    <t>ส้มป่อย</t>
  </si>
  <si>
    <t>นาง ธนปพร</t>
  </si>
  <si>
    <t>นาย รัตณ์</t>
  </si>
  <si>
    <t>ผุสดี</t>
  </si>
  <si>
    <t>หนูจิตต์</t>
  </si>
  <si>
    <t xml:space="preserve">นาง ศลิตา </t>
  </si>
  <si>
    <t xml:space="preserve">นาย นิรันดร์ </t>
  </si>
  <si>
    <t xml:space="preserve">ใจจิตร </t>
  </si>
  <si>
    <t>นาย กฤษดา</t>
  </si>
  <si>
    <t>นางสาว พศวีร์</t>
  </si>
  <si>
    <t>ฉิมสุข</t>
  </si>
  <si>
    <t xml:space="preserve">ว่าที่ ร.ต. ชวลิต </t>
  </si>
  <si>
    <t xml:space="preserve">สอดส่อง </t>
  </si>
  <si>
    <t>นาย นวนิตย์</t>
  </si>
  <si>
    <t>พลเคน</t>
  </si>
  <si>
    <t>นาง สุคณทิพย์</t>
  </si>
  <si>
    <t>นางสาว มะลิ</t>
  </si>
  <si>
    <t>อิ่มเอี่ยม</t>
  </si>
  <si>
    <t>สุพรรณทัศน์</t>
  </si>
  <si>
    <t>นางสาว ศศิเมษ</t>
  </si>
  <si>
    <t>ฟองสา</t>
  </si>
  <si>
    <t xml:space="preserve">นาย รัตนชัย </t>
  </si>
  <si>
    <t xml:space="preserve">รัตนชัยประสิทธิ์ </t>
  </si>
  <si>
    <t>แสงบุญเรือง</t>
  </si>
  <si>
    <t>ภู่ชัย</t>
  </si>
  <si>
    <t>นางสาว ลำยอง</t>
  </si>
  <si>
    <t>ครีบผา</t>
  </si>
  <si>
    <t xml:space="preserve">ลีลาทรัพย์เลิศ </t>
  </si>
  <si>
    <t xml:space="preserve">นาง รัชกาญจน์ </t>
  </si>
  <si>
    <t>สาธุธรรม</t>
  </si>
  <si>
    <t>นางสาว วรรณนิภา</t>
  </si>
  <si>
    <t>วีระวงศ์</t>
  </si>
  <si>
    <t>นาย แสงอาทิตย์</t>
  </si>
  <si>
    <t>พันธ์ยิ้ม</t>
  </si>
  <si>
    <t>นาย เหม</t>
  </si>
  <si>
    <t>นาย เนติกร</t>
  </si>
  <si>
    <t>กำเงิน</t>
  </si>
  <si>
    <t>นาย วีรวุฒิ</t>
  </si>
  <si>
    <t>วุ่นอภัย</t>
  </si>
  <si>
    <t>สุรินต๊ะ</t>
  </si>
  <si>
    <t>นางสาว เรืองระวี</t>
  </si>
  <si>
    <t>เรืองกิจธนาวงษ์</t>
  </si>
  <si>
    <t>นางสาว ชนินทร</t>
  </si>
  <si>
    <t xml:space="preserve">ตียวรุณกรณ์ </t>
  </si>
  <si>
    <t>วังอินต๊ะ</t>
  </si>
  <si>
    <t xml:space="preserve">นาย สุรยุทธ </t>
  </si>
  <si>
    <t>สุขแจ่ม</t>
  </si>
  <si>
    <t>สังวาลย์</t>
  </si>
  <si>
    <t>หยงสตาร์</t>
  </si>
  <si>
    <t>นาย ทวีโชค</t>
  </si>
  <si>
    <t>นางสาว บรรจง</t>
  </si>
  <si>
    <t>โคกตรัง</t>
  </si>
  <si>
    <t>นาย สุภักดิ์</t>
  </si>
  <si>
    <t>ปานทองมาก</t>
  </si>
  <si>
    <t>คันฉ่อง</t>
  </si>
  <si>
    <t>นางสาว สุมาลย์</t>
  </si>
  <si>
    <t>จันษร</t>
  </si>
  <si>
    <t>บุญกราน</t>
  </si>
  <si>
    <t>นาย สินาด</t>
  </si>
  <si>
    <t>อำนักมณี</t>
  </si>
  <si>
    <t>นาง สุภัชญา</t>
  </si>
  <si>
    <t>จันทร์เกิด</t>
  </si>
  <si>
    <t>กิจศิลป</t>
  </si>
  <si>
    <t>นาง ละมิต</t>
  </si>
  <si>
    <t>นาย การัณย์</t>
  </si>
  <si>
    <t>บุญยรัตน์</t>
  </si>
  <si>
    <t>นาย อำนวยพร</t>
  </si>
  <si>
    <t>ทินประภา</t>
  </si>
  <si>
    <t>นาย ประทุม</t>
  </si>
  <si>
    <t>หวังจันทร์</t>
  </si>
  <si>
    <t>สินอนันต์</t>
  </si>
  <si>
    <t>นาย พิพัฒ</t>
  </si>
  <si>
    <t>ธรรมโชติ</t>
  </si>
  <si>
    <t>นาย กัมปนาท</t>
  </si>
  <si>
    <t>ปิยจันทร์</t>
  </si>
  <si>
    <t xml:space="preserve">ชนะไพริน </t>
  </si>
  <si>
    <t>นาย ศดิศ</t>
  </si>
  <si>
    <t>โชคบัณฑิต</t>
  </si>
  <si>
    <t xml:space="preserve">นางสาว อลิตา </t>
  </si>
  <si>
    <t xml:space="preserve">เบี้ยขาว </t>
  </si>
  <si>
    <t>นาย ประทิ่น</t>
  </si>
  <si>
    <t>วรรณงาม</t>
  </si>
  <si>
    <t>แสงภักดี</t>
  </si>
  <si>
    <t>ว่องทั่ง</t>
  </si>
  <si>
    <t>ชิดเชื้อ</t>
  </si>
  <si>
    <t>นางสาว วรรณธิดา</t>
  </si>
  <si>
    <t>เบญจกุล</t>
  </si>
  <si>
    <t>นาย วิทพงศ์</t>
  </si>
  <si>
    <t xml:space="preserve">ขำวิชา </t>
  </si>
  <si>
    <t>นางสาว อภิวันทน์</t>
  </si>
  <si>
    <t xml:space="preserve">ปานแก้ว </t>
  </si>
  <si>
    <t xml:space="preserve">นางสาว นนิดา </t>
  </si>
  <si>
    <t xml:space="preserve">คุปต์กาญจนากุล </t>
  </si>
  <si>
    <t xml:space="preserve">นางสาว ณัฎฐิยา </t>
  </si>
  <si>
    <t xml:space="preserve">วุฒิ </t>
  </si>
  <si>
    <t xml:space="preserve">นางสาว บุญถม </t>
  </si>
  <si>
    <t>บุญพลวัน</t>
  </si>
  <si>
    <t xml:space="preserve">นางสาว ณัฐกฤตา </t>
  </si>
  <si>
    <t xml:space="preserve">แก้วคำ </t>
  </si>
  <si>
    <t>อิ่มเอิบ</t>
  </si>
  <si>
    <t>คำประกอบ</t>
  </si>
  <si>
    <t xml:space="preserve">นางสาว นภธร </t>
  </si>
  <si>
    <t xml:space="preserve">แพงคำฮัก </t>
  </si>
  <si>
    <t xml:space="preserve">ขุนทอง </t>
  </si>
  <si>
    <t xml:space="preserve">นางสาว สุภาวรรณ </t>
  </si>
  <si>
    <t xml:space="preserve">สว่างเวียง </t>
  </si>
  <si>
    <t xml:space="preserve">นาย รัฐเชษฐ์ </t>
  </si>
  <si>
    <t xml:space="preserve">ทองนพ </t>
  </si>
  <si>
    <t>นางสาว ดาวผกา</t>
  </si>
  <si>
    <t>ตุลาเดชารักษ์</t>
  </si>
  <si>
    <t>นาย ศิลาวุฒิ</t>
  </si>
  <si>
    <t>วังทอง</t>
  </si>
  <si>
    <t>ชลรัตน์</t>
  </si>
  <si>
    <t>นาย จีระพันธ์</t>
  </si>
  <si>
    <t>โมระมัติ</t>
  </si>
  <si>
    <t>นางสาว บุญรวย</t>
  </si>
  <si>
    <t>ศรประดิษฐ์</t>
  </si>
  <si>
    <t>บุญญาธนานุรัตน์</t>
  </si>
  <si>
    <t>นุชสาย</t>
  </si>
  <si>
    <t>เพลินจิตต์</t>
  </si>
  <si>
    <t>ขยัน</t>
  </si>
  <si>
    <t>นาย สุนารถ</t>
  </si>
  <si>
    <t>เชี่ยวเวช</t>
  </si>
  <si>
    <t>แก้วเจริญ</t>
  </si>
  <si>
    <t>ทรัพย์พลับ</t>
  </si>
  <si>
    <t xml:space="preserve">นาง เก็จขวัญ </t>
  </si>
  <si>
    <t xml:space="preserve">เพชรแอน </t>
  </si>
  <si>
    <t>สุขขีวงษ์</t>
  </si>
  <si>
    <t xml:space="preserve">นาย บุญเลี้ยง </t>
  </si>
  <si>
    <t xml:space="preserve">ข่ายม่าน </t>
  </si>
  <si>
    <t>นางสาว ธัญญรัศม์</t>
  </si>
  <si>
    <t>ตันเจริญวัฒน์</t>
  </si>
  <si>
    <t xml:space="preserve">นาย สันติชัย </t>
  </si>
  <si>
    <t xml:space="preserve">นารานิทัศน์ </t>
  </si>
  <si>
    <t>เครือวิเสน</t>
  </si>
  <si>
    <t xml:space="preserve">เกอะประสิทธิ์ </t>
  </si>
  <si>
    <t>นาย ธนาเศรษฐ์</t>
  </si>
  <si>
    <t>ไพฑูรย์ธนธาดา</t>
  </si>
  <si>
    <t>เปจิตตัง</t>
  </si>
  <si>
    <t>โพชะโน</t>
  </si>
  <si>
    <t>นาง รุ่งจิตย์</t>
  </si>
  <si>
    <t>สินมงคลทรัพย์</t>
  </si>
  <si>
    <t>นาย ขบวน</t>
  </si>
  <si>
    <t>คำบุญมี</t>
  </si>
  <si>
    <t>สิทธิมา</t>
  </si>
  <si>
    <t>ท้าวนาง</t>
  </si>
  <si>
    <t>นาย ศุภโรจน์</t>
  </si>
  <si>
    <t>บุตรสิงขรณ์</t>
  </si>
  <si>
    <t>หิรัญโรจน์</t>
  </si>
  <si>
    <t>กีกาศ</t>
  </si>
  <si>
    <t xml:space="preserve">นางสาว ศิรประภา </t>
  </si>
  <si>
    <t xml:space="preserve">ไชยฤกษ์ </t>
  </si>
  <si>
    <t>ศุกลพงศ์</t>
  </si>
  <si>
    <t>วิศลดิลกพันธ์</t>
  </si>
  <si>
    <t>เจาวัฒนา</t>
  </si>
  <si>
    <t>ประภาวิชา</t>
  </si>
  <si>
    <t>นาย ประเสริฐสิทธิ์</t>
  </si>
  <si>
    <t>วงษาสันต์</t>
  </si>
  <si>
    <t>นาย สุรักษ์</t>
  </si>
  <si>
    <t>คชลัย</t>
  </si>
  <si>
    <t>วีรนิชพงศ์</t>
  </si>
  <si>
    <t>ลิ้มวัฒนา</t>
  </si>
  <si>
    <t>ศรีบุโฮม</t>
  </si>
  <si>
    <t>หอมวิเศษวงศา</t>
  </si>
  <si>
    <t>เลื่อนสูงเนิน</t>
  </si>
  <si>
    <t>นาง ยุพวัลย์</t>
  </si>
  <si>
    <t>ชมชื่นดี</t>
  </si>
  <si>
    <t>นางสาว สิรินาฏ</t>
  </si>
  <si>
    <t>ปลอดโคกสูง</t>
  </si>
  <si>
    <t>วัฒนประคัลภ์</t>
  </si>
  <si>
    <t>นาย สหรัฐ</t>
  </si>
  <si>
    <t>นิรันตสุข</t>
  </si>
  <si>
    <t>พึ่งเกษม</t>
  </si>
  <si>
    <t>สุขสงวน</t>
  </si>
  <si>
    <t>ปิ่นมงคลกุล</t>
  </si>
  <si>
    <t>อาภรณ์วิชานพ</t>
  </si>
  <si>
    <t>โทไธสง</t>
  </si>
  <si>
    <t>นาง ทองหยิบ</t>
  </si>
  <si>
    <t>นาย กำธร</t>
  </si>
  <si>
    <t>ทองอิสาณ</t>
  </si>
  <si>
    <t>นาย แผ่</t>
  </si>
  <si>
    <t>ตระการพินิตพงศ์</t>
  </si>
  <si>
    <t>รักษ์ณรงค์</t>
  </si>
  <si>
    <t>นาง เจษฎาวัลย์</t>
  </si>
  <si>
    <t>อุษานาภาเดช</t>
  </si>
  <si>
    <t>วัฒนกสิการ</t>
  </si>
  <si>
    <t>วาดโคกสูง</t>
  </si>
  <si>
    <t>นาง สมพิส</t>
  </si>
  <si>
    <t>ทองดีนอก</t>
  </si>
  <si>
    <t>นาย กษิดิ์เดช</t>
  </si>
  <si>
    <t>อิ่มเต็ม</t>
  </si>
  <si>
    <t>ภูมะธน</t>
  </si>
  <si>
    <t>ประสมทรัพย์</t>
  </si>
  <si>
    <t>ชุ่มกิ่ง</t>
  </si>
  <si>
    <t>ถิรประภัสสร</t>
  </si>
  <si>
    <t>สมัชชัย</t>
  </si>
  <si>
    <t>หมีทอง</t>
  </si>
  <si>
    <t>ชัยจันทึก</t>
  </si>
  <si>
    <t>สิทธิไชย</t>
  </si>
  <si>
    <t>เครื่องกลาง</t>
  </si>
  <si>
    <t>นาย สรคุปต์</t>
  </si>
  <si>
    <t>สินธุวานิช</t>
  </si>
  <si>
    <t>เพราะขุนทด</t>
  </si>
  <si>
    <t>นาง มธุรดา</t>
  </si>
  <si>
    <t>นิคงรัมย์</t>
  </si>
  <si>
    <t>นางสาว พีรยา</t>
  </si>
  <si>
    <t>บกหมื่นไวย</t>
  </si>
  <si>
    <t xml:space="preserve">นาง ภิรดา </t>
  </si>
  <si>
    <t xml:space="preserve">ชายกลาง </t>
  </si>
  <si>
    <t>ตรวจงูเหลือม</t>
  </si>
  <si>
    <t>ศรีไกรเพ็ชร์</t>
  </si>
  <si>
    <t>นาย ณัฐนาท</t>
  </si>
  <si>
    <t>สันทัดพร้อม</t>
  </si>
  <si>
    <t>นาย จารพัฒน์</t>
  </si>
  <si>
    <t>ไตรพัฒนจันทร์</t>
  </si>
  <si>
    <t xml:space="preserve">นาย ชัยพิพัฒน์ </t>
  </si>
  <si>
    <t>มหัทธนวรกุล</t>
  </si>
  <si>
    <t xml:space="preserve">กันตะวงศ์ </t>
  </si>
  <si>
    <t>นาง พิชญาณัฎฐ์</t>
  </si>
  <si>
    <t>ไขโพธิ์</t>
  </si>
  <si>
    <t xml:space="preserve">นางสาว เขมจิรา </t>
  </si>
  <si>
    <t xml:space="preserve">สุทธิ </t>
  </si>
  <si>
    <t xml:space="preserve">นางสาว บุษยพรรณ </t>
  </si>
  <si>
    <t xml:space="preserve">จันทร์เสมารัตน์ </t>
  </si>
  <si>
    <t xml:space="preserve">นาย มหิธร </t>
  </si>
  <si>
    <t xml:space="preserve">สมบัติสวัสดิ์ </t>
  </si>
  <si>
    <t xml:space="preserve">นางสาว วไลพร </t>
  </si>
  <si>
    <t>ยึดพวก</t>
  </si>
  <si>
    <t xml:space="preserve">นางสาว ธนิตา </t>
  </si>
  <si>
    <t>ห่อมกระโทก</t>
  </si>
  <si>
    <t>โปธายะ</t>
  </si>
  <si>
    <t>มุ่งเอื้อมกลาง</t>
  </si>
  <si>
    <t>ทวีเดชกุล</t>
  </si>
  <si>
    <t>นางสาว เบญญาภา</t>
  </si>
  <si>
    <t>ทวีทรัพย์</t>
  </si>
  <si>
    <t>กุลทวี</t>
  </si>
  <si>
    <t>พ.จ.ต. ศุภกิจ</t>
  </si>
  <si>
    <t>จัติกุล</t>
  </si>
  <si>
    <t>สุขเนาวรัตน์</t>
  </si>
  <si>
    <t>สมบัติชัย</t>
  </si>
  <si>
    <t>ยอดไสว</t>
  </si>
  <si>
    <t>จิตรจง</t>
  </si>
  <si>
    <t>ยีระเหม</t>
  </si>
  <si>
    <t>เหมมณี</t>
  </si>
  <si>
    <t>นาย สดชื่น</t>
  </si>
  <si>
    <t>เพชรา</t>
  </si>
  <si>
    <t>กาญจนคลอด</t>
  </si>
  <si>
    <t>ยอดระบำ</t>
  </si>
  <si>
    <t>นาย วรรณไชย</t>
  </si>
  <si>
    <t>มากทอง</t>
  </si>
  <si>
    <t>นาง นิจศรี</t>
  </si>
  <si>
    <t>ฉวีภักดิ์</t>
  </si>
  <si>
    <t>แสนเสนา</t>
  </si>
  <si>
    <t>นาย โกเวศ</t>
  </si>
  <si>
    <t>วัชรจิตตานนท์</t>
  </si>
  <si>
    <t>สุขศรีนวล</t>
  </si>
  <si>
    <t>ขวัญเพชร</t>
  </si>
  <si>
    <t>เล่นทัศน์</t>
  </si>
  <si>
    <t>นาย ปิยสิษฐ์</t>
  </si>
  <si>
    <t>นาย รวมพรรค</t>
  </si>
  <si>
    <t>ภิญโญ</t>
  </si>
  <si>
    <t>จิระขจรวงศ์</t>
  </si>
  <si>
    <t>คงทวัน</t>
  </si>
  <si>
    <t>นาย ฐชาติ</t>
  </si>
  <si>
    <t>ทองเลี่ยมนาค</t>
  </si>
  <si>
    <t>พลายชุม</t>
  </si>
  <si>
    <t>นาง เพ็ญนิตย์</t>
  </si>
  <si>
    <t>นาย พิสนธ์</t>
  </si>
  <si>
    <t>นาง เจียมจิตต์</t>
  </si>
  <si>
    <t>นาย ราเชนทร์</t>
  </si>
  <si>
    <t>ก้งวัตร</t>
  </si>
  <si>
    <t>นาย นารายณ์</t>
  </si>
  <si>
    <t>สุทธินนท์</t>
  </si>
  <si>
    <t>อินทรบุตร</t>
  </si>
  <si>
    <t>จันทร์ช่วย</t>
  </si>
  <si>
    <t xml:space="preserve">นาง อัมพร </t>
  </si>
  <si>
    <t>สุชาติพงษ์</t>
  </si>
  <si>
    <t>นาย โชติพันธุ์</t>
  </si>
  <si>
    <t>พันธรักษ์</t>
  </si>
  <si>
    <t>ตลึงจิตร</t>
  </si>
  <si>
    <t>ตำเมือง</t>
  </si>
  <si>
    <t>พานทอง</t>
  </si>
  <si>
    <t>ราชเสน</t>
  </si>
  <si>
    <t>แซ่จิว</t>
  </si>
  <si>
    <t>นาย ล้ำเลิศ</t>
  </si>
  <si>
    <t>กิ่งรัตน์</t>
  </si>
  <si>
    <t>จุลทอง</t>
  </si>
  <si>
    <t>นาย ธนินทร์</t>
  </si>
  <si>
    <t>ตุลาธร</t>
  </si>
  <si>
    <t>นาง จำนง</t>
  </si>
  <si>
    <t>นนทผล</t>
  </si>
  <si>
    <t>เมืองจีน</t>
  </si>
  <si>
    <t>นาง กันยา</t>
  </si>
  <si>
    <t>สุทธิรักษ์</t>
  </si>
  <si>
    <t>เจษฎาพงศ์</t>
  </si>
  <si>
    <t>นาย แย้ม</t>
  </si>
  <si>
    <t>ดำป่านรัตน์</t>
  </si>
  <si>
    <t>ทองคำดี</t>
  </si>
  <si>
    <t>วรรณุรักษ์</t>
  </si>
  <si>
    <t>ปานชู</t>
  </si>
  <si>
    <t>นางสาว พานิตา</t>
  </si>
  <si>
    <t>ตันติศักดิ์</t>
  </si>
  <si>
    <t>เจริญหงษ์ทอง</t>
  </si>
  <si>
    <t xml:space="preserve">เจ้าแก้ว </t>
  </si>
  <si>
    <t>นางสาว บุญเจือ</t>
  </si>
  <si>
    <t>สมจิตร</t>
  </si>
  <si>
    <t>นางสาว อุบล</t>
  </si>
  <si>
    <t>คงอินทร์</t>
  </si>
  <si>
    <t>เสนาะกรรณ</t>
  </si>
  <si>
    <t>นาง สวาท</t>
  </si>
  <si>
    <t>กรรมแต่ง</t>
  </si>
  <si>
    <t xml:space="preserve">นาย พิเชษ </t>
  </si>
  <si>
    <t>เชาว์ช่างเหล็ก</t>
  </si>
  <si>
    <t xml:space="preserve">นางสาว วิกัณตา </t>
  </si>
  <si>
    <t xml:space="preserve">บุญราช </t>
  </si>
  <si>
    <t>หนูนุ้ย</t>
  </si>
  <si>
    <t xml:space="preserve">นาย คมสัน </t>
  </si>
  <si>
    <t xml:space="preserve">สุวรรณเลิศ </t>
  </si>
  <si>
    <t>สว่างลาภ</t>
  </si>
  <si>
    <t>หมื่นขำ</t>
  </si>
  <si>
    <t>เชาวลิต</t>
  </si>
  <si>
    <t>แม้นสุรางค์</t>
  </si>
  <si>
    <t>มาศจด</t>
  </si>
  <si>
    <t>สุดสาย</t>
  </si>
  <si>
    <t>ดิษฐศรี</t>
  </si>
  <si>
    <t>นาง สมบุญ</t>
  </si>
  <si>
    <t>โชติเชย</t>
  </si>
  <si>
    <t>ลั่นซ้าย</t>
  </si>
  <si>
    <t>นาย อนุภัทร</t>
  </si>
  <si>
    <t>จันตราชู</t>
  </si>
  <si>
    <t>นาย พาวุธ</t>
  </si>
  <si>
    <t>เฉลิมศรี</t>
  </si>
  <si>
    <t>นางสาว รัชนีพร</t>
  </si>
  <si>
    <t>แนมจันทร์</t>
  </si>
  <si>
    <t>นาง สุภร</t>
  </si>
  <si>
    <t>ตรีสวัสดิ์วงษ์</t>
  </si>
  <si>
    <t>เพ็งแพ่ง</t>
  </si>
  <si>
    <t>สุวรรณนิตย์</t>
  </si>
  <si>
    <t>สุทธิพิทักษ์</t>
  </si>
  <si>
    <t xml:space="preserve">นาย ไชยพงค์ </t>
  </si>
  <si>
    <t xml:space="preserve">ทะนันชัย </t>
  </si>
  <si>
    <t>ขุนดำ</t>
  </si>
  <si>
    <t xml:space="preserve">นางสาว พรศรี </t>
  </si>
  <si>
    <t>ขาวเรือง</t>
  </si>
  <si>
    <t xml:space="preserve">รัศมีผกาย </t>
  </si>
  <si>
    <t xml:space="preserve">ลิ่มพันธ์ </t>
  </si>
  <si>
    <t xml:space="preserve">นาย ปกป้อง </t>
  </si>
  <si>
    <t xml:space="preserve">ยะกัณฐะ </t>
  </si>
  <si>
    <t xml:space="preserve">ทองมิตร </t>
  </si>
  <si>
    <t xml:space="preserve">นาย บุญเลิศ </t>
  </si>
  <si>
    <t>หาญนิวัติกุล</t>
  </si>
  <si>
    <t>นางสาว นิศาชล</t>
  </si>
  <si>
    <t>คำแหง</t>
  </si>
  <si>
    <t xml:space="preserve">นางสาว ชญาณ์พิมพ์ </t>
  </si>
  <si>
    <t xml:space="preserve">พรหมจันทร์ </t>
  </si>
  <si>
    <t>นาง กิ่งกาญจน</t>
  </si>
  <si>
    <t xml:space="preserve">หนูคง </t>
  </si>
  <si>
    <t>พรุเพชรแก้ว</t>
  </si>
  <si>
    <t xml:space="preserve">นางสาว ณิชาภา </t>
  </si>
  <si>
    <t xml:space="preserve">บางพงษ์ </t>
  </si>
  <si>
    <t xml:space="preserve">นาย ทวีศักดิ์ </t>
  </si>
  <si>
    <t xml:space="preserve">จิตรโสภา </t>
  </si>
  <si>
    <t>นางสาว วิสาพร</t>
  </si>
  <si>
    <t>เจริญวงศ์</t>
  </si>
  <si>
    <t>หลังปูเต๊ะ</t>
  </si>
  <si>
    <t>นางสาว พวงทิพย์</t>
  </si>
  <si>
    <t>นาย ภูวเดช</t>
  </si>
  <si>
    <t>วุฒิวงศ์วัฒ</t>
  </si>
  <si>
    <t>นาง บวรนันท์</t>
  </si>
  <si>
    <t>มโนธรรม</t>
  </si>
  <si>
    <t>นาคเขียว</t>
  </si>
  <si>
    <t>ใจอิ่มสิน</t>
  </si>
  <si>
    <t>นาง รัมภา</t>
  </si>
  <si>
    <t>นาง ณัฏฐรินทร์</t>
  </si>
  <si>
    <t>มาตุภูมานนท์</t>
  </si>
  <si>
    <t>ภู่ประเสริฐ</t>
  </si>
  <si>
    <t>บุษบรรณ</t>
  </si>
  <si>
    <t>กาญจนะพังคะ</t>
  </si>
  <si>
    <t>งามถ้อย</t>
  </si>
  <si>
    <t>นาง พจนารถ</t>
  </si>
  <si>
    <t>จันทร์เสวก</t>
  </si>
  <si>
    <t>นาง อุษาวดี</t>
  </si>
  <si>
    <t>งามทวีรัตน์</t>
  </si>
  <si>
    <t>กันศิริ</t>
  </si>
  <si>
    <t>สุขมงคล</t>
  </si>
  <si>
    <t>วัฒนกูล</t>
  </si>
  <si>
    <t>นาง จิระนันท์</t>
  </si>
  <si>
    <t>สุพิมล</t>
  </si>
  <si>
    <t>นาง ปราณีต</t>
  </si>
  <si>
    <t>เขียววิจิตร</t>
  </si>
  <si>
    <t>นาง คำเพชร</t>
  </si>
  <si>
    <t>นาย พิรพล</t>
  </si>
  <si>
    <t>หัสดิเสวี</t>
  </si>
  <si>
    <t>เอี่ยมทัต</t>
  </si>
  <si>
    <t>นาง จิตติมณฑน์</t>
  </si>
  <si>
    <t>แจ่มฟ้า</t>
  </si>
  <si>
    <t>ขันธิโชติ</t>
  </si>
  <si>
    <t>นาย บุญให้</t>
  </si>
  <si>
    <t>เตชะศีลพิทักษ์</t>
  </si>
  <si>
    <t>นาย พิลินทร์</t>
  </si>
  <si>
    <t>ผดุงชีวิตร์</t>
  </si>
  <si>
    <t>จันทโรจวงศ์</t>
  </si>
  <si>
    <t>นาง ภัสรา</t>
  </si>
  <si>
    <t>ชวประดิษฐ์</t>
  </si>
  <si>
    <t>เดชารัตน์</t>
  </si>
  <si>
    <t>นาย วันณรงค์</t>
  </si>
  <si>
    <t>เหล่าประดิษฐ์</t>
  </si>
  <si>
    <t>นาย สืบพงษ์</t>
  </si>
  <si>
    <t>จิตวิมลนิมิต</t>
  </si>
  <si>
    <t>เขียวชุ่ม</t>
  </si>
  <si>
    <t>เดชพิทักษ์</t>
  </si>
  <si>
    <t>นาง อรณี</t>
  </si>
  <si>
    <t>มั่นดี</t>
  </si>
  <si>
    <t>นางสาว ชมัยภรณ์</t>
  </si>
  <si>
    <t>ถนอมศรีเดชชัย</t>
  </si>
  <si>
    <t>นวลประเสริฐสุข</t>
  </si>
  <si>
    <t xml:space="preserve">นางสาว สุชีรา </t>
  </si>
  <si>
    <t xml:space="preserve">ดำรงนาฏกุล </t>
  </si>
  <si>
    <t>จันทร์แปลง</t>
  </si>
  <si>
    <t>นางสาว ภาวนา</t>
  </si>
  <si>
    <t>มลิทอง</t>
  </si>
  <si>
    <t xml:space="preserve">นางสาว รักมล </t>
  </si>
  <si>
    <t xml:space="preserve">หนูวรรณ </t>
  </si>
  <si>
    <t>นางสาว พรนิภา</t>
  </si>
  <si>
    <t>จิกแหล่ม</t>
  </si>
  <si>
    <t xml:space="preserve">นางสาว ฐิติพรรณ </t>
  </si>
  <si>
    <t xml:space="preserve">วิรุฬห์ภูติ </t>
  </si>
  <si>
    <t xml:space="preserve">นางสาว สิริพร </t>
  </si>
  <si>
    <t>หมานสกุล</t>
  </si>
  <si>
    <t>ถวิลการ</t>
  </si>
  <si>
    <t>ทรัพย์ขจรสุข</t>
  </si>
  <si>
    <t xml:space="preserve">นางสาว ธรรญชนก </t>
  </si>
  <si>
    <t>ผดุงพรรมิตา</t>
  </si>
  <si>
    <t>นาง พัชนี</t>
  </si>
  <si>
    <t>ยมาภัย</t>
  </si>
  <si>
    <t>นาง วิชุนี</t>
  </si>
  <si>
    <t>ทองม่วง</t>
  </si>
  <si>
    <t>เกิดแสง</t>
  </si>
  <si>
    <t>สุระณี</t>
  </si>
  <si>
    <t>บุญมาทอง</t>
  </si>
  <si>
    <t>นพศิริ</t>
  </si>
  <si>
    <t>นาย พลกฤต</t>
  </si>
  <si>
    <t>แสนแปง</t>
  </si>
  <si>
    <t>นาย วันโชค</t>
  </si>
  <si>
    <t>วงษ์มี</t>
  </si>
  <si>
    <t>นาย ประฑุมษ์</t>
  </si>
  <si>
    <t>ชุ่มมั่น</t>
  </si>
  <si>
    <t>ประสงค์วัฒนา</t>
  </si>
  <si>
    <t>ช้างนก</t>
  </si>
  <si>
    <t>แสนสีระ</t>
  </si>
  <si>
    <t>ศรีสุขอัยกา</t>
  </si>
  <si>
    <t>นาง ทิพยา</t>
  </si>
  <si>
    <t>นาย ศักดิ์ณรงค์</t>
  </si>
  <si>
    <t>พิมโส</t>
  </si>
  <si>
    <t>นาง ธนัตถ์ภรณ์</t>
  </si>
  <si>
    <t>ปัญณพัสธนสร</t>
  </si>
  <si>
    <t xml:space="preserve">นาย อุทร </t>
  </si>
  <si>
    <t>สุนทรวิภาต</t>
  </si>
  <si>
    <t xml:space="preserve">นาย นรินทร์ </t>
  </si>
  <si>
    <t xml:space="preserve">สงวนสุข </t>
  </si>
  <si>
    <t>นาย สังข์ศิลป์ชัย</t>
  </si>
  <si>
    <t>เฉยพันธ์</t>
  </si>
  <si>
    <t>นาย ถม</t>
  </si>
  <si>
    <t>ขำบ้านหลวง</t>
  </si>
  <si>
    <t xml:space="preserve">นาย สุเมธ </t>
  </si>
  <si>
    <t xml:space="preserve">อนุสี </t>
  </si>
  <si>
    <t>นาง พิมลรัตน์</t>
  </si>
  <si>
    <t>นาย คนอง</t>
  </si>
  <si>
    <t>ศรีสิทธิ์</t>
  </si>
  <si>
    <t>นาย ดำเนิน</t>
  </si>
  <si>
    <t>ไผ่เทศ</t>
  </si>
  <si>
    <t>สมแก้ว</t>
  </si>
  <si>
    <t>นาย มาพบ</t>
  </si>
  <si>
    <t xml:space="preserve">เล็กวัฒนะ </t>
  </si>
  <si>
    <t>เล้าสมบูรณ์</t>
  </si>
  <si>
    <t xml:space="preserve">นางสาว โฉมยา </t>
  </si>
  <si>
    <t xml:space="preserve">เผือกกล่อม </t>
  </si>
  <si>
    <t>กามนต์</t>
  </si>
  <si>
    <t>ใจเฉพาะ</t>
  </si>
  <si>
    <t>นาง รพีพร</t>
  </si>
  <si>
    <t>นาง วรรณิภา</t>
  </si>
  <si>
    <t>ขันทะยศ</t>
  </si>
  <si>
    <t>นาง ผิวพรรณ</t>
  </si>
  <si>
    <t>โพจา</t>
  </si>
  <si>
    <t>นาย สิทธิ์</t>
  </si>
  <si>
    <t>สังวิริยะบุตร</t>
  </si>
  <si>
    <t>เจดีย์วุฒิ</t>
  </si>
  <si>
    <t>นาง กิ่งกาญจน์</t>
  </si>
  <si>
    <t>กุลวงศ์</t>
  </si>
  <si>
    <t>นางสาว จิตตานันทิ์</t>
  </si>
  <si>
    <t>กิจวรสวัสดิ์</t>
  </si>
  <si>
    <t>นาย กิตติกุล</t>
  </si>
  <si>
    <t>มะโนราช</t>
  </si>
  <si>
    <t>อุทธิยา</t>
  </si>
  <si>
    <t>นาง เพลินจิต</t>
  </si>
  <si>
    <t>เบอร์ผัด</t>
  </si>
  <si>
    <t>รุ่งเช้า</t>
  </si>
  <si>
    <t>นาง รุ่งอรุณ</t>
  </si>
  <si>
    <t>เอื้อจิตอารีย์</t>
  </si>
  <si>
    <t>สุกใส</t>
  </si>
  <si>
    <t>นาย พีรพงษ์</t>
  </si>
  <si>
    <t>บุญวิริยะศักดิ์</t>
  </si>
  <si>
    <t>ปัญญาวงศ์</t>
  </si>
  <si>
    <t>แก้วอินัง</t>
  </si>
  <si>
    <t>มะโนจิต</t>
  </si>
  <si>
    <t>ไชยเพียร</t>
  </si>
  <si>
    <t>นันทวาศ</t>
  </si>
  <si>
    <t>มงคลพิบูลย์</t>
  </si>
  <si>
    <t>ช่อผกา</t>
  </si>
  <si>
    <t>ขันทะสอน</t>
  </si>
  <si>
    <t>นาย เลื่อน</t>
  </si>
  <si>
    <t>ทะแสง</t>
  </si>
  <si>
    <t>นางสาว อิม</t>
  </si>
  <si>
    <t>เตชา</t>
  </si>
  <si>
    <t>หาญสงคราม</t>
  </si>
  <si>
    <t xml:space="preserve">ปณฤทธิ์ </t>
  </si>
  <si>
    <t>นาง ภัทรภร</t>
  </si>
  <si>
    <t>นาย กฤษณายุทธ</t>
  </si>
  <si>
    <t>นาง นิญาภัทร</t>
  </si>
  <si>
    <t xml:space="preserve">นาง ธนพร </t>
  </si>
  <si>
    <t>ดีอุด</t>
  </si>
  <si>
    <t xml:space="preserve">นาง อัญชลีพร </t>
  </si>
  <si>
    <t xml:space="preserve">กิวัฒนา </t>
  </si>
  <si>
    <t>ธิขาว</t>
  </si>
  <si>
    <t xml:space="preserve">นางสาว นคร </t>
  </si>
  <si>
    <t xml:space="preserve">สุริยศ </t>
  </si>
  <si>
    <t xml:space="preserve">นาง ชญานี </t>
  </si>
  <si>
    <t xml:space="preserve">ใบยา </t>
  </si>
  <si>
    <t>ดำดง</t>
  </si>
  <si>
    <t xml:space="preserve">เขื่อนเพชร </t>
  </si>
  <si>
    <t>นางสาว เปมิกา</t>
  </si>
  <si>
    <t>รัตนอินทร์</t>
  </si>
  <si>
    <t>สุทธการ</t>
  </si>
  <si>
    <t>อำพร</t>
  </si>
  <si>
    <t>นาย ชญาภา</t>
  </si>
  <si>
    <t>พัฒนะพรหม</t>
  </si>
  <si>
    <t xml:space="preserve">นาย ดำรงค์ศักดิ์ </t>
  </si>
  <si>
    <t>สุธรรมจา</t>
  </si>
  <si>
    <t>คำรศ</t>
  </si>
  <si>
    <t>มะณี</t>
  </si>
  <si>
    <t xml:space="preserve">นางสาว สกุลนุช </t>
  </si>
  <si>
    <t xml:space="preserve">แก้วเทพ </t>
  </si>
  <si>
    <t>คำก๋อง</t>
  </si>
  <si>
    <t>นางสาว เขมิสรา</t>
  </si>
  <si>
    <t>ลีลารัตนกุล</t>
  </si>
  <si>
    <t>เมืองคำ</t>
  </si>
  <si>
    <t>คงสวัสดิ์</t>
  </si>
  <si>
    <t>นาย วิรุฬ</t>
  </si>
  <si>
    <t>นาง กิตติวรรณ</t>
  </si>
  <si>
    <t xml:space="preserve">มะโนภักดิ์ </t>
  </si>
  <si>
    <t xml:space="preserve">นาง ฝนทิพย์ </t>
  </si>
  <si>
    <t xml:space="preserve">วระพิน </t>
  </si>
  <si>
    <t>นาง จิรัชยา</t>
  </si>
  <si>
    <t xml:space="preserve">นางสาว ศุภวรรณ </t>
  </si>
  <si>
    <t xml:space="preserve">บุญรอด </t>
  </si>
  <si>
    <t>นางสาว ฟูซียะห์</t>
  </si>
  <si>
    <t>กือสะ</t>
  </si>
  <si>
    <t>แก้วชะฎา</t>
  </si>
  <si>
    <t>นาง ซัลวา</t>
  </si>
  <si>
    <t>หะยีเจะหลง</t>
  </si>
  <si>
    <t>จุลเทพ</t>
  </si>
  <si>
    <t xml:space="preserve">นางสาว จีรพันธ์ </t>
  </si>
  <si>
    <t xml:space="preserve">สวนพิบูลย์ </t>
  </si>
  <si>
    <t>นาง รำพรรณ์</t>
  </si>
  <si>
    <t>โล่ห์นารายณ์</t>
  </si>
  <si>
    <t>มะลารัมย์</t>
  </si>
  <si>
    <t>นางสาว ภาลิณี</t>
  </si>
  <si>
    <t>ชนะนา</t>
  </si>
  <si>
    <t>นาง ธันยาภัทร์</t>
  </si>
  <si>
    <t>จดไว้</t>
  </si>
  <si>
    <t>นาย สวรรค์</t>
  </si>
  <si>
    <t>ศรีเมืองแก้ว</t>
  </si>
  <si>
    <t>นาง สุจิต</t>
  </si>
  <si>
    <t>แหลมไธสง</t>
  </si>
  <si>
    <t>นาย อัครพงค์</t>
  </si>
  <si>
    <t>ชินวงษ์</t>
  </si>
  <si>
    <t>นาย ชนะชัย</t>
  </si>
  <si>
    <t>ทินนะกร</t>
  </si>
  <si>
    <t>เสาวกุล</t>
  </si>
  <si>
    <t>ฉัตรทอง</t>
  </si>
  <si>
    <t>ศรีธนสุธา</t>
  </si>
  <si>
    <t>สายสร้อย</t>
  </si>
  <si>
    <t>โสพิศวง</t>
  </si>
  <si>
    <t>นางสาว อภิรนุช</t>
  </si>
  <si>
    <t>รักไทย</t>
  </si>
  <si>
    <t>ชะลุนรัมย์</t>
  </si>
  <si>
    <t>นาง ทิพย์วารี</t>
  </si>
  <si>
    <t xml:space="preserve">นาย พินัย </t>
  </si>
  <si>
    <t xml:space="preserve">ผลเกิด </t>
  </si>
  <si>
    <t>นาย ศักดิ์สม</t>
  </si>
  <si>
    <t>นาย กำทวน</t>
  </si>
  <si>
    <t>สินธู</t>
  </si>
  <si>
    <t xml:space="preserve">นางสาว กันติชา </t>
  </si>
  <si>
    <t>ชัยชะนะ</t>
  </si>
  <si>
    <t>นาง อรณัส</t>
  </si>
  <si>
    <t>ชุนเกาะ</t>
  </si>
  <si>
    <t xml:space="preserve">นางสาว ลิ้นจี่ </t>
  </si>
  <si>
    <t xml:space="preserve">เพ็ชรนิล </t>
  </si>
  <si>
    <t xml:space="preserve">เชษฐสิงห์ </t>
  </si>
  <si>
    <t>นาย จิราเมศร์</t>
  </si>
  <si>
    <t>ลีนามวงษ์ธนัน</t>
  </si>
  <si>
    <t>พฤกษา</t>
  </si>
  <si>
    <t>มุละสีวะ</t>
  </si>
  <si>
    <t xml:space="preserve">ชึขุนทด </t>
  </si>
  <si>
    <t xml:space="preserve">นางสาว ปิยฉัตร </t>
  </si>
  <si>
    <t xml:space="preserve">เลิศไชยภัณฑ์ </t>
  </si>
  <si>
    <t xml:space="preserve">นางสาว ชนิตร์นันท์ </t>
  </si>
  <si>
    <t xml:space="preserve">พันธุ์สำโรง </t>
  </si>
  <si>
    <t>นาย เกษตรชัย</t>
  </si>
  <si>
    <t>แปลนดี</t>
  </si>
  <si>
    <t>นาย จักรา</t>
  </si>
  <si>
    <t>ไชยจักร์</t>
  </si>
  <si>
    <t>สิงห์นารายณ์</t>
  </si>
  <si>
    <t>นาย พลวัฒน์</t>
  </si>
  <si>
    <t>โพเทพา</t>
  </si>
  <si>
    <t>นาย ขจรศักดิ์</t>
  </si>
  <si>
    <t>พนานุสรณ์</t>
  </si>
  <si>
    <t>กาวไธสง</t>
  </si>
  <si>
    <t>ปัญญารัมย์</t>
  </si>
  <si>
    <t xml:space="preserve">ประโลมรัมย์ </t>
  </si>
  <si>
    <t xml:space="preserve">นางสาว ชลดา </t>
  </si>
  <si>
    <t xml:space="preserve">บำรุงธรรม </t>
  </si>
  <si>
    <t xml:space="preserve">นางสาว จันทนา </t>
  </si>
  <si>
    <t xml:space="preserve">หมั่นประโคน </t>
  </si>
  <si>
    <t>ประทุมคำ</t>
  </si>
  <si>
    <t>นาย พลาดร</t>
  </si>
  <si>
    <t xml:space="preserve">นางสาว กมลนิตย์ </t>
  </si>
  <si>
    <t xml:space="preserve">พิมพ์นนท์ </t>
  </si>
  <si>
    <t xml:space="preserve">อารีย์ </t>
  </si>
  <si>
    <t xml:space="preserve">นาง อุษณีย์ </t>
  </si>
  <si>
    <t xml:space="preserve">ตนัยพุฒิ </t>
  </si>
  <si>
    <t>นางสาว มณฑยา</t>
  </si>
  <si>
    <t xml:space="preserve">นาย บุญญฤทธิ์ </t>
  </si>
  <si>
    <t xml:space="preserve">กรานประโคน </t>
  </si>
  <si>
    <t xml:space="preserve">นาย ปวริศ </t>
  </si>
  <si>
    <t xml:space="preserve">แดนกระโทก </t>
  </si>
  <si>
    <t xml:space="preserve">พรมรุกชาติ </t>
  </si>
  <si>
    <t xml:space="preserve">วนกลาง </t>
  </si>
  <si>
    <t xml:space="preserve">นางสาว อารีย์ </t>
  </si>
  <si>
    <t xml:space="preserve">กองแตน </t>
  </si>
  <si>
    <t>กมลมุนีโชติ</t>
  </si>
  <si>
    <t xml:space="preserve">ศรีดี </t>
  </si>
  <si>
    <t>ดวงมั่น</t>
  </si>
  <si>
    <t>เกลาพิมาย</t>
  </si>
  <si>
    <t>นางสาว สุชานันท์</t>
  </si>
  <si>
    <t>ลาไธสงค์</t>
  </si>
  <si>
    <t>นาย ประเชิญ</t>
  </si>
  <si>
    <t>นาง เต็มดวง</t>
  </si>
  <si>
    <t>เวฬุวันใน</t>
  </si>
  <si>
    <t>นามท้าว</t>
  </si>
  <si>
    <t>นาย เทิดศักดิ์</t>
  </si>
  <si>
    <t xml:space="preserve">นาย ชาติชาย </t>
  </si>
  <si>
    <t>คีรีพันธ์</t>
  </si>
  <si>
    <t xml:space="preserve">นางสาว ปิยะมาศ </t>
  </si>
  <si>
    <t xml:space="preserve">โพธิวัฒน์ </t>
  </si>
  <si>
    <t>ยู</t>
  </si>
  <si>
    <t>นางสาว วรกร</t>
  </si>
  <si>
    <t>อินคง</t>
  </si>
  <si>
    <t xml:space="preserve">นาย กัญญา </t>
  </si>
  <si>
    <t xml:space="preserve">แดงโสภา </t>
  </si>
  <si>
    <t>นาย วัฒนศักดิ์</t>
  </si>
  <si>
    <t>โพธิ์บาย</t>
  </si>
  <si>
    <t>แท่นสุนทร</t>
  </si>
  <si>
    <t xml:space="preserve">นาย พงษ์ศิลป์ </t>
  </si>
  <si>
    <t>เหง้าละคร</t>
  </si>
  <si>
    <t>ชัยวงค์</t>
  </si>
  <si>
    <t xml:space="preserve">นางสาว อัญชลีพร </t>
  </si>
  <si>
    <t xml:space="preserve">ใจสิทธิ์ </t>
  </si>
  <si>
    <t>ปัญดี</t>
  </si>
  <si>
    <t>รักกมล</t>
  </si>
  <si>
    <t>สาธารณะ</t>
  </si>
  <si>
    <t>นาง ปุริ้ม</t>
  </si>
  <si>
    <t xml:space="preserve">ธรรมมา </t>
  </si>
  <si>
    <t xml:space="preserve">นาง ฐิติมาพร </t>
  </si>
  <si>
    <t>อาจจำปา</t>
  </si>
  <si>
    <t xml:space="preserve">นางสาว วลุน </t>
  </si>
  <si>
    <t xml:space="preserve">พงศ์ศรี </t>
  </si>
  <si>
    <t xml:space="preserve">ปิ่นเมือง </t>
  </si>
  <si>
    <t>นาย นิติศักดิ์</t>
  </si>
  <si>
    <t>พรมตา</t>
  </si>
  <si>
    <t xml:space="preserve">สมภูงา </t>
  </si>
  <si>
    <t xml:space="preserve">นาง จริญญา </t>
  </si>
  <si>
    <t xml:space="preserve">ผงพิลา </t>
  </si>
  <si>
    <t xml:space="preserve">นาย สัมรวย </t>
  </si>
  <si>
    <t xml:space="preserve">มีจินดา </t>
  </si>
  <si>
    <t>นางสาว เมษา</t>
  </si>
  <si>
    <t xml:space="preserve">ลาโพธิ์ </t>
  </si>
  <si>
    <t xml:space="preserve">นาย ณัฐกร </t>
  </si>
  <si>
    <t xml:space="preserve">คำอ้ายบุตร </t>
  </si>
  <si>
    <t>นกพลับ</t>
  </si>
  <si>
    <t>นาง สังขิณี</t>
  </si>
  <si>
    <t>ศรีคล้าย</t>
  </si>
  <si>
    <t xml:space="preserve">นาง วิภาพร </t>
  </si>
  <si>
    <t>สงวนดี</t>
  </si>
  <si>
    <t xml:space="preserve">นางสาว วิชุดา </t>
  </si>
  <si>
    <t xml:space="preserve">นางสาว อร่ามศรี </t>
  </si>
  <si>
    <t>สุวัตถิกุล</t>
  </si>
  <si>
    <t>ปาละสิริ</t>
  </si>
  <si>
    <t>คงกะพันธุ์</t>
  </si>
  <si>
    <t xml:space="preserve">นาย ชวน </t>
  </si>
  <si>
    <t>ทิพย์อุดร</t>
  </si>
  <si>
    <t xml:space="preserve">นางสาว เกตุกาญจน์ </t>
  </si>
  <si>
    <t xml:space="preserve">สงวนมิตร </t>
  </si>
  <si>
    <t>วงศ์นาม</t>
  </si>
  <si>
    <t>สุขประสงค์</t>
  </si>
  <si>
    <t>รักดีแข</t>
  </si>
  <si>
    <t>นพประพันธ์</t>
  </si>
  <si>
    <t>นาย ชนะไพรินทร์</t>
  </si>
  <si>
    <t>ภักดีเสมอ</t>
  </si>
  <si>
    <t>นาง สุภิณยา</t>
  </si>
  <si>
    <t>นางสาว จิฬาภรณ์</t>
  </si>
  <si>
    <t>สุขกล่ำ</t>
  </si>
  <si>
    <t>นางสาว ณัฐวดี</t>
  </si>
  <si>
    <t>แก้วเกิด</t>
  </si>
  <si>
    <t>นาย คล่อง</t>
  </si>
  <si>
    <t>ศิริสมบัติ</t>
  </si>
  <si>
    <t>อมรรมย์</t>
  </si>
  <si>
    <t>รื่นบรรเทิง</t>
  </si>
  <si>
    <t>นางสาว กรรักษ์</t>
  </si>
  <si>
    <t>แซ่แต้</t>
  </si>
  <si>
    <t>สุขจิตต์</t>
  </si>
  <si>
    <t>นาย ป้อม</t>
  </si>
  <si>
    <t>คีรีศรี</t>
  </si>
  <si>
    <t>นางสาว จันทร์ติรา</t>
  </si>
  <si>
    <t xml:space="preserve">พ่วงเจริญ </t>
  </si>
  <si>
    <t xml:space="preserve">นางสาว ปารณีย์ </t>
  </si>
  <si>
    <t xml:space="preserve">มีจิตร </t>
  </si>
  <si>
    <t xml:space="preserve">หังสเนตร </t>
  </si>
  <si>
    <t xml:space="preserve">นางสาว สุทาทิพย์ </t>
  </si>
  <si>
    <t xml:space="preserve">ชมอินทร์ </t>
  </si>
  <si>
    <t>อินทร์แก้ว</t>
  </si>
  <si>
    <t>สมานพันธุ์</t>
  </si>
  <si>
    <t>นาย สุรแสง</t>
  </si>
  <si>
    <t>นาย พยัพ</t>
  </si>
  <si>
    <t>สินสวาท</t>
  </si>
  <si>
    <t>นางสาว ลัดดาภร</t>
  </si>
  <si>
    <t>แต้โหงว</t>
  </si>
  <si>
    <t xml:space="preserve">นาง ปราณี </t>
  </si>
  <si>
    <t>ฟุ้งสุข</t>
  </si>
  <si>
    <t>งามวงษ์</t>
  </si>
  <si>
    <t xml:space="preserve">เหรียญทอง </t>
  </si>
  <si>
    <t xml:space="preserve">นางสาว เอื้ออาภรณ์ </t>
  </si>
  <si>
    <t>กุลพันธุ์</t>
  </si>
  <si>
    <t xml:space="preserve">นาย ปัฐถากร </t>
  </si>
  <si>
    <t xml:space="preserve">สร้อยสูงเนิน </t>
  </si>
  <si>
    <t>นาย ศุภวิชญ์</t>
  </si>
  <si>
    <t>สาสะเดาะห์</t>
  </si>
  <si>
    <t>นางสาว เกศราภรณ์</t>
  </si>
  <si>
    <t>วัฒนสิน</t>
  </si>
  <si>
    <t>นาย ประยุทธ์</t>
  </si>
  <si>
    <t>รักษานาค</t>
  </si>
  <si>
    <t>นาง อรพินท์</t>
  </si>
  <si>
    <t>บุญผ่องศรี</t>
  </si>
  <si>
    <t>เอื้อละพันธ์</t>
  </si>
  <si>
    <t>นางสาว ปาตีเมาะ</t>
  </si>
  <si>
    <t>คาเร็ง</t>
  </si>
  <si>
    <t>นางสาว โรสนานี</t>
  </si>
  <si>
    <t>แวมามะ</t>
  </si>
  <si>
    <t>นางสาว ไซนะ</t>
  </si>
  <si>
    <t>สาอิ</t>
  </si>
  <si>
    <t xml:space="preserve">นาย ไพบูลย์ </t>
  </si>
  <si>
    <t xml:space="preserve">สาลีโท </t>
  </si>
  <si>
    <t>นางสาว ฟาตีมะฮ์</t>
  </si>
  <si>
    <t>มะซาลี</t>
  </si>
  <si>
    <t>นางสาว สุคนธ์</t>
  </si>
  <si>
    <t>แซ่แจ่น</t>
  </si>
  <si>
    <t xml:space="preserve">นาง นพวรรณ </t>
  </si>
  <si>
    <t xml:space="preserve">นาย อุสมาน </t>
  </si>
  <si>
    <t xml:space="preserve">อีปง </t>
  </si>
  <si>
    <t>พรมจุล</t>
  </si>
  <si>
    <t>จันทน์มาลา</t>
  </si>
  <si>
    <t>นิลเขตร์</t>
  </si>
  <si>
    <t>สอาดพงษ์</t>
  </si>
  <si>
    <t>หาพิพัฒน์</t>
  </si>
  <si>
    <t>นาย ทวีเกียรติ</t>
  </si>
  <si>
    <t>สุนทรดี</t>
  </si>
  <si>
    <t>วัฒนวงค์</t>
  </si>
  <si>
    <t>ศรีวรวิทย์</t>
  </si>
  <si>
    <t>สัญญโชติ</t>
  </si>
  <si>
    <t>นาย นารถชาย</t>
  </si>
  <si>
    <t>สุขขำ</t>
  </si>
  <si>
    <t>นาง สุนิทรา</t>
  </si>
  <si>
    <t>เกรียงเดชาชัย</t>
  </si>
  <si>
    <t>อิ่มสุวรรณ</t>
  </si>
  <si>
    <t>นาง สายพิณ</t>
  </si>
  <si>
    <t>นรพัลลภ</t>
  </si>
  <si>
    <t>แก่นไชย</t>
  </si>
  <si>
    <t>นาย สุมล</t>
  </si>
  <si>
    <t>นางสาว กัญญาภัทร</t>
  </si>
  <si>
    <t>พันธุ์ภักดี</t>
  </si>
  <si>
    <t>นาย รังสี</t>
  </si>
  <si>
    <t>ห่านนันทาพิทักษ์</t>
  </si>
  <si>
    <t>เพ็ชนี</t>
  </si>
  <si>
    <t>นาง สกุลณีย์</t>
  </si>
  <si>
    <t>อุบลวัตร์</t>
  </si>
  <si>
    <t>เสือรอด</t>
  </si>
  <si>
    <t>เที่ยงทัต</t>
  </si>
  <si>
    <t>นาย ประวี</t>
  </si>
  <si>
    <t>เนียมโภคะ</t>
  </si>
  <si>
    <t>เนียมมณี</t>
  </si>
  <si>
    <t>นาย อิทธิพร</t>
  </si>
  <si>
    <t>ลาเทศ</t>
  </si>
  <si>
    <t>นาง วรรธนา</t>
  </si>
  <si>
    <t>ร่วมวงศ์</t>
  </si>
  <si>
    <t>เรือนทอง</t>
  </si>
  <si>
    <t>โต๊ะมุข</t>
  </si>
  <si>
    <t xml:space="preserve">นาย นนท์ </t>
  </si>
  <si>
    <t xml:space="preserve">สมานหมู่ </t>
  </si>
  <si>
    <t>จันท้าว</t>
  </si>
  <si>
    <t xml:space="preserve">นางสาว ณิชาดา </t>
  </si>
  <si>
    <t>นาย ณัฐวรรธน์</t>
  </si>
  <si>
    <t>จารุทรรศน์พิมล</t>
  </si>
  <si>
    <t>ท้าวฤทธิ์</t>
  </si>
  <si>
    <t>ติวเถาว์</t>
  </si>
  <si>
    <t xml:space="preserve">ว่าที่ ร.ต.หญิง ฐิติมา </t>
  </si>
  <si>
    <t>ทองอนุ</t>
  </si>
  <si>
    <t>ภัทรธาดา</t>
  </si>
  <si>
    <t>จิตรแสวง</t>
  </si>
  <si>
    <t xml:space="preserve">นางสาว เพชรดา </t>
  </si>
  <si>
    <t xml:space="preserve">เพ็งตา </t>
  </si>
  <si>
    <t xml:space="preserve">พานิกร </t>
  </si>
  <si>
    <t>นาง รธิดา</t>
  </si>
  <si>
    <t>ผดุงทรัพย์</t>
  </si>
  <si>
    <t>วิทา</t>
  </si>
  <si>
    <t>รักษาแก้ว</t>
  </si>
  <si>
    <t>นาง อ่อนนวน</t>
  </si>
  <si>
    <t>หลีเกียรติ์อนันต์</t>
  </si>
  <si>
    <t>นาง อุบลศรี</t>
  </si>
  <si>
    <t>คงเกื้อ</t>
  </si>
  <si>
    <t>โฆษานุภาพ</t>
  </si>
  <si>
    <t xml:space="preserve">ศุภศรี </t>
  </si>
  <si>
    <t xml:space="preserve">นางสาว ดุษฏี </t>
  </si>
  <si>
    <t>เขน็ดพืช</t>
  </si>
  <si>
    <t xml:space="preserve">นางสาว นิติภรณ์ </t>
  </si>
  <si>
    <t xml:space="preserve">เกตุแก้ว </t>
  </si>
  <si>
    <t xml:space="preserve">ทองไชย </t>
  </si>
  <si>
    <t>คุ้มภัย</t>
  </si>
  <si>
    <t xml:space="preserve">นาย ณรงค์ทรรศน์ </t>
  </si>
  <si>
    <t xml:space="preserve">กลิ่นเกษร </t>
  </si>
  <si>
    <t xml:space="preserve">วรรณจิตร์ </t>
  </si>
  <si>
    <t>หาญสุวรรณ</t>
  </si>
  <si>
    <t xml:space="preserve">ชูชีพ </t>
  </si>
  <si>
    <t xml:space="preserve">นาย ธีรวัช </t>
  </si>
  <si>
    <t xml:space="preserve">พยัฆยุทธิ์ </t>
  </si>
  <si>
    <t xml:space="preserve">สุกด้วง </t>
  </si>
  <si>
    <t>หนูนอง</t>
  </si>
  <si>
    <t>นาย ชวัลวิทย์</t>
  </si>
  <si>
    <t>เขียดหนู</t>
  </si>
  <si>
    <t>นาย วรา</t>
  </si>
  <si>
    <t>ศรีวรรธนชาติ</t>
  </si>
  <si>
    <t>พุ่มพัว</t>
  </si>
  <si>
    <t>นาง ธิรานันท์</t>
  </si>
  <si>
    <t>นาง จารุพรรณ</t>
  </si>
  <si>
    <t>คชสิงห์</t>
  </si>
  <si>
    <t>ยิ่งดำนุ่น</t>
  </si>
  <si>
    <t>นางสาว ดอกเอื้อง</t>
  </si>
  <si>
    <t xml:space="preserve">วรศรี </t>
  </si>
  <si>
    <t>เตชนราวงศ์</t>
  </si>
  <si>
    <t>อนุรัตน์</t>
  </si>
  <si>
    <t>เภาอ่อน</t>
  </si>
  <si>
    <t>นาย ชิน</t>
  </si>
  <si>
    <t>ศรีนาราง</t>
  </si>
  <si>
    <t>นางสาว กมลนัช</t>
  </si>
  <si>
    <t>ปันสุพฤกษ์</t>
  </si>
  <si>
    <t>เดชบุญ</t>
  </si>
  <si>
    <t xml:space="preserve">นางสาว สร้อยเพชร  </t>
  </si>
  <si>
    <t xml:space="preserve">นิ่มทอง </t>
  </si>
  <si>
    <t xml:space="preserve">จันทรมณี </t>
  </si>
  <si>
    <t xml:space="preserve">นาย บัญชารัตน์ </t>
  </si>
  <si>
    <t>กล่อมจิตร</t>
  </si>
  <si>
    <t>บุญทั่ง</t>
  </si>
  <si>
    <t>สุดยอด</t>
  </si>
  <si>
    <t xml:space="preserve">นางสาว มาลี </t>
  </si>
  <si>
    <t xml:space="preserve">ป้อมปัง </t>
  </si>
  <si>
    <t>นางสาว ปริฉัตร</t>
  </si>
  <si>
    <t>พฤกษะวัน</t>
  </si>
  <si>
    <t>เอี่ยมราคิน</t>
  </si>
  <si>
    <t>อินเรือง</t>
  </si>
  <si>
    <t>ว่าที่ ร.ต.หญิง นันทพร</t>
  </si>
  <si>
    <t>ปานปิ่น</t>
  </si>
  <si>
    <t xml:space="preserve">นาย เผ่าพงษ์ </t>
  </si>
  <si>
    <t xml:space="preserve">กิ่งกาหลง </t>
  </si>
  <si>
    <t>แก้วสอาด</t>
  </si>
  <si>
    <t>นาย คมศักดิ์</t>
  </si>
  <si>
    <t>อิ่มชม</t>
  </si>
  <si>
    <t>นาย ประเวชน์</t>
  </si>
  <si>
    <t>วรรณภิระ</t>
  </si>
  <si>
    <t>ฉิมหัวร้อง</t>
  </si>
  <si>
    <t>ปานเกิดผล</t>
  </si>
  <si>
    <t>รักษ์วิศิษฏ์กุล</t>
  </si>
  <si>
    <t>นาย ฤทธิ์</t>
  </si>
  <si>
    <t>นาย หลวน</t>
  </si>
  <si>
    <t>ช่วงโชติ</t>
  </si>
  <si>
    <t xml:space="preserve">สนจูมภะ </t>
  </si>
  <si>
    <t>ชิดบุรี</t>
  </si>
  <si>
    <t>นาง มณีรัตน์</t>
  </si>
  <si>
    <t>มณฑนะพิศุทธิ์</t>
  </si>
  <si>
    <t>นาย แมนสรวง</t>
  </si>
  <si>
    <t xml:space="preserve">ปุญญฤทธิ์ </t>
  </si>
  <si>
    <t>นาง ปราณเพชร</t>
  </si>
  <si>
    <t>ยิ้มแย้ม</t>
  </si>
  <si>
    <t>นางสาว พีรดา</t>
  </si>
  <si>
    <t>จันทร์เกษร</t>
  </si>
  <si>
    <t>นาง วิบูลย์ลักษณ์</t>
  </si>
  <si>
    <t>คุ้มแสง</t>
  </si>
  <si>
    <t xml:space="preserve">สีอ่อน </t>
  </si>
  <si>
    <t xml:space="preserve">นาย ขจรศักดิ์ </t>
  </si>
  <si>
    <t>สีบุญมี</t>
  </si>
  <si>
    <t>นาง อัจฉราวรรณ</t>
  </si>
  <si>
    <t>สว่างเมฆ</t>
  </si>
  <si>
    <t>แก้วดวงเล็ก</t>
  </si>
  <si>
    <t xml:space="preserve">เจียไพบูลย์ </t>
  </si>
  <si>
    <t xml:space="preserve">รักษ์ธรรม </t>
  </si>
  <si>
    <t>นาย ณัฏฐ์</t>
  </si>
  <si>
    <t>ชื่นสวัสดิ์</t>
  </si>
  <si>
    <t xml:space="preserve">นางสาว ยุพา </t>
  </si>
  <si>
    <t xml:space="preserve">สิทธิไกรพงษ์ </t>
  </si>
  <si>
    <t>นางสาว มญชุ์พาณี</t>
  </si>
  <si>
    <t>น้อยใจมั่น</t>
  </si>
  <si>
    <t>นาง คนึง</t>
  </si>
  <si>
    <t>สมบุญมี</t>
  </si>
  <si>
    <t>นางสาว โศรยา</t>
  </si>
  <si>
    <t>อิ่มทอง</t>
  </si>
  <si>
    <t>นาย จีรวัฒน์</t>
  </si>
  <si>
    <t>ขำม่วง</t>
  </si>
  <si>
    <t>สว่างมณีเจริญ</t>
  </si>
  <si>
    <t>นางสาว วัชรา</t>
  </si>
  <si>
    <t xml:space="preserve">ขันธนิยม </t>
  </si>
  <si>
    <t xml:space="preserve">นางสาว จันทร์ทิพย์ </t>
  </si>
  <si>
    <t xml:space="preserve">อิ่มเพ็ง </t>
  </si>
  <si>
    <t xml:space="preserve">นาง พิมญาดา </t>
  </si>
  <si>
    <t xml:space="preserve">บัวสี </t>
  </si>
  <si>
    <t>นางสาว วารีญา</t>
  </si>
  <si>
    <t>น้อยเทพ</t>
  </si>
  <si>
    <t xml:space="preserve">นางสาว มธุรส </t>
  </si>
  <si>
    <t>มีประไพ</t>
  </si>
  <si>
    <t xml:space="preserve">นาย เอกนรินทร์ </t>
  </si>
  <si>
    <t xml:space="preserve">วิชชาธร </t>
  </si>
  <si>
    <t>นางสาว แคทรียา</t>
  </si>
  <si>
    <t xml:space="preserve">มั่นกำเหนิด </t>
  </si>
  <si>
    <t>นาย จเรวัชร</t>
  </si>
  <si>
    <t>ปลาลาศ</t>
  </si>
  <si>
    <t xml:space="preserve">นางสาว กิติยา </t>
  </si>
  <si>
    <t xml:space="preserve">นวลหิน </t>
  </si>
  <si>
    <t>นาย ธรรมธวัช</t>
  </si>
  <si>
    <t>นาย เลอสิทธิ์</t>
  </si>
  <si>
    <t>สายแก้วมา</t>
  </si>
  <si>
    <t>สิงหกำ</t>
  </si>
  <si>
    <t>นาง สุดาทิพย์</t>
  </si>
  <si>
    <t>ทิพวรรณ</t>
  </si>
  <si>
    <t>สินเจิมศิริ</t>
  </si>
  <si>
    <t>นาย ทองเพชร</t>
  </si>
  <si>
    <t>ดิเรกศิลป์</t>
  </si>
  <si>
    <t>นาง ศินาถ</t>
  </si>
  <si>
    <t>จันเฟย</t>
  </si>
  <si>
    <t>นาย ศริ</t>
  </si>
  <si>
    <t>มีวันเนือง</t>
  </si>
  <si>
    <t>หาภา</t>
  </si>
  <si>
    <t>ด้วงฉุน</t>
  </si>
  <si>
    <t>นาย รักษ์ชัย</t>
  </si>
  <si>
    <t>วดีศิริศักดิ์</t>
  </si>
  <si>
    <t>นาย เชาวน์ฤกษ์</t>
  </si>
  <si>
    <t>ชีพธรรม</t>
  </si>
  <si>
    <t>นาย สุริทธ์</t>
  </si>
  <si>
    <t>ยมจันทร์</t>
  </si>
  <si>
    <t>ปิติสม</t>
  </si>
  <si>
    <t>แซมสีม่วง</t>
  </si>
  <si>
    <t>นาง ยุภาพรรณ</t>
  </si>
  <si>
    <t>นาง ปานหทัย</t>
  </si>
  <si>
    <t>จารุลักษณ์</t>
  </si>
  <si>
    <t xml:space="preserve">นาง สายสมร </t>
  </si>
  <si>
    <t xml:space="preserve">อุ่นเรือน </t>
  </si>
  <si>
    <t xml:space="preserve">นาย สุรพงษ์ </t>
  </si>
  <si>
    <t xml:space="preserve">โรจนกุล </t>
  </si>
  <si>
    <t>ยอดดี</t>
  </si>
  <si>
    <t>นาง ชีวัน</t>
  </si>
  <si>
    <t>ว่าที่ ร.ต. สมใจ</t>
  </si>
  <si>
    <t>กลิ่นสูงเนิน</t>
  </si>
  <si>
    <t>นาย สามาตร</t>
  </si>
  <si>
    <t>บุญก่อน</t>
  </si>
  <si>
    <t>นาย สายกุล</t>
  </si>
  <si>
    <t>หวังแลกลาง</t>
  </si>
  <si>
    <t xml:space="preserve">นางสาว ดวงสมร </t>
  </si>
  <si>
    <t>แพงทอง</t>
  </si>
  <si>
    <t>มาโยม</t>
  </si>
  <si>
    <t>วงศ์กูล</t>
  </si>
  <si>
    <t>นาง วัชรินทร์</t>
  </si>
  <si>
    <t>แผ่แผ่นทอง</t>
  </si>
  <si>
    <t>รัตนคาม</t>
  </si>
  <si>
    <t>พหุพันธ์</t>
  </si>
  <si>
    <t>พูลเพิ่ม</t>
  </si>
  <si>
    <t>นาย พันวิทย์</t>
  </si>
  <si>
    <t>จอมเพชร</t>
  </si>
  <si>
    <t>สำแดงเดช</t>
  </si>
  <si>
    <t>ทองแดง</t>
  </si>
  <si>
    <t>นางสาว ปาณิดล</t>
  </si>
  <si>
    <t>นิยมค้า</t>
  </si>
  <si>
    <t>นาย วิโมกษ์</t>
  </si>
  <si>
    <t>นางสาว สุรีย์รัตน์</t>
  </si>
  <si>
    <t>บุญขำ</t>
  </si>
  <si>
    <t>นาย ประชุม</t>
  </si>
  <si>
    <t>ชูเนียม</t>
  </si>
  <si>
    <t>นางสาว ธนันรดา</t>
  </si>
  <si>
    <t>นาย ไพร</t>
  </si>
  <si>
    <t>สว่างรุ่ง</t>
  </si>
  <si>
    <t>ปานคง</t>
  </si>
  <si>
    <t>นางสาว แสงนภา</t>
  </si>
  <si>
    <t>เกิดรอด</t>
  </si>
  <si>
    <t>แม่นยำ</t>
  </si>
  <si>
    <t>ปินกันทา</t>
  </si>
  <si>
    <t>บุญทร</t>
  </si>
  <si>
    <t>ใบบัว</t>
  </si>
  <si>
    <t>ประเทือง</t>
  </si>
  <si>
    <t xml:space="preserve">นาง สิริลักษณ์ </t>
  </si>
  <si>
    <t xml:space="preserve">วงศ์ประทานชัย </t>
  </si>
  <si>
    <t>นางสาว รุ่งฤทัย</t>
  </si>
  <si>
    <t xml:space="preserve">ว่าที่ ร.ต.หญิง พันธุ์เครือ </t>
  </si>
  <si>
    <t>ทิพย์โสด</t>
  </si>
  <si>
    <t xml:space="preserve">นางสาว จีรนันท์ </t>
  </si>
  <si>
    <t xml:space="preserve">ตันหล้า </t>
  </si>
  <si>
    <t>นาย อัศธพรรษ</t>
  </si>
  <si>
    <t>นางสาว สุธีรา</t>
  </si>
  <si>
    <t>สถาปัตย์</t>
  </si>
  <si>
    <t>แว่นติ๊บ</t>
  </si>
  <si>
    <t xml:space="preserve">นางสาว นนทกานต์ </t>
  </si>
  <si>
    <t xml:space="preserve">อุ่นลื้อ </t>
  </si>
  <si>
    <t>ปัทม์ธรรม</t>
  </si>
  <si>
    <t>นาย เรืองกิตติ์</t>
  </si>
  <si>
    <t>พันธุ์เลิศเมธี</t>
  </si>
  <si>
    <t>นาง แววตา</t>
  </si>
  <si>
    <t>โสภารัตนากูล</t>
  </si>
  <si>
    <t>นาย ภูเบศ</t>
  </si>
  <si>
    <t>สิริธราพงศ์</t>
  </si>
  <si>
    <t>วงค์แปลง</t>
  </si>
  <si>
    <t>นาย เคียงศิริ</t>
  </si>
  <si>
    <t>สำลีราช</t>
  </si>
  <si>
    <t xml:space="preserve">ผลเงิน </t>
  </si>
  <si>
    <t>นาง หนึ่งฤทัย</t>
  </si>
  <si>
    <t>กองนำ</t>
  </si>
  <si>
    <t xml:space="preserve">นาง ขวัญณภัทร </t>
  </si>
  <si>
    <t>กาศวิเศษ</t>
  </si>
  <si>
    <t>นาง จรรฎา</t>
  </si>
  <si>
    <t>ดีปาละ</t>
  </si>
  <si>
    <t>พรวญหาญ</t>
  </si>
  <si>
    <t>ศิริพันธุ์</t>
  </si>
  <si>
    <t>นาย รุติวสันต์</t>
  </si>
  <si>
    <t>ส่างสวัสดิ์</t>
  </si>
  <si>
    <t>ใสแจ่ม</t>
  </si>
  <si>
    <t xml:space="preserve">พลอยแดง </t>
  </si>
  <si>
    <t xml:space="preserve">ชุ่มดวง </t>
  </si>
  <si>
    <t xml:space="preserve">นาย สุธีร์ </t>
  </si>
  <si>
    <t xml:space="preserve">ภูมินทร์ </t>
  </si>
  <si>
    <t xml:space="preserve">นางสาว ศิรินันท์ </t>
  </si>
  <si>
    <t>จตุนาม</t>
  </si>
  <si>
    <t>เขื่อนแก้ว</t>
  </si>
  <si>
    <t>นาย มหิดล</t>
  </si>
  <si>
    <t>รอดโกมิล</t>
  </si>
  <si>
    <t>ไชยเหล็ก</t>
  </si>
  <si>
    <t>นาย จีระพงษ์</t>
  </si>
  <si>
    <t>จิระกังวาน</t>
  </si>
  <si>
    <t>กัปกัลป์</t>
  </si>
  <si>
    <t>นาย ชัยณฤทธิ์</t>
  </si>
  <si>
    <t>เทพอำนวย</t>
  </si>
  <si>
    <t>ลาภมาก</t>
  </si>
  <si>
    <t>ผลงาม</t>
  </si>
  <si>
    <t>นาง จงจิตต์</t>
  </si>
  <si>
    <t>มาเทพ</t>
  </si>
  <si>
    <t>สิตะรุโณ</t>
  </si>
  <si>
    <t>นาย พฤษ</t>
  </si>
  <si>
    <t>ฟุ้งเหียน</t>
  </si>
  <si>
    <t>สมาน</t>
  </si>
  <si>
    <t>มุกดา</t>
  </si>
  <si>
    <t xml:space="preserve">นาย รัฐกรณ์ </t>
  </si>
  <si>
    <t xml:space="preserve">ธรรมปรีชา </t>
  </si>
  <si>
    <t xml:space="preserve">นาย ภิมลชัย </t>
  </si>
  <si>
    <t xml:space="preserve">ณ  ตะกั่วทุ่ง </t>
  </si>
  <si>
    <t>นาย ชัยยุทธ์</t>
  </si>
  <si>
    <t>ทองชัย</t>
  </si>
  <si>
    <t>ดับพันธ์</t>
  </si>
  <si>
    <t>ฮาตระวัง</t>
  </si>
  <si>
    <t>สิมศิริวัฒน์</t>
  </si>
  <si>
    <t>อ่อนละออ</t>
  </si>
  <si>
    <t>ปะหะกิจ</t>
  </si>
  <si>
    <t>นาง ประทุมมาลย์</t>
  </si>
  <si>
    <t>เกยุระ</t>
  </si>
  <si>
    <t>อันศิริรังกูล</t>
  </si>
  <si>
    <t>ภูสีฤทธิ์</t>
  </si>
  <si>
    <t>นาง สิริกาญจน์</t>
  </si>
  <si>
    <t>ยางธิสาร</t>
  </si>
  <si>
    <t>นาง จันทร์ศรี</t>
  </si>
  <si>
    <t>นาง สิรินยา</t>
  </si>
  <si>
    <t>เกษาวงษ์</t>
  </si>
  <si>
    <t>พรมโชติ</t>
  </si>
  <si>
    <t>โนอุโมงค์</t>
  </si>
  <si>
    <t>ศุภเสถียร</t>
  </si>
  <si>
    <t>นาย จักรเพชร</t>
  </si>
  <si>
    <t>เพชรพิมาย</t>
  </si>
  <si>
    <t>มาคิน</t>
  </si>
  <si>
    <t>นาย ชิดชัย</t>
  </si>
  <si>
    <t>ฆารสมบูรณ์</t>
  </si>
  <si>
    <t>แพงตาวงศ์</t>
  </si>
  <si>
    <t>นาง ชนัญญา</t>
  </si>
  <si>
    <t>พลอนันต์</t>
  </si>
  <si>
    <t>เหล่าสมบัติ</t>
  </si>
  <si>
    <t>นางสาว วิชญ์ชยาพา</t>
  </si>
  <si>
    <t>ผดุงพัฒน์</t>
  </si>
  <si>
    <t>กลิ่นวิชัย</t>
  </si>
  <si>
    <t xml:space="preserve">นางสาว นาถฤดี </t>
  </si>
  <si>
    <t xml:space="preserve">กัณหาจันทร์ </t>
  </si>
  <si>
    <t>นาย ปรียะ</t>
  </si>
  <si>
    <t>แก้วสี</t>
  </si>
  <si>
    <t>โล่ห์วันทา</t>
  </si>
  <si>
    <t>พงษ์ยิ้ม</t>
  </si>
  <si>
    <t>นาง ดรุณีย์</t>
  </si>
  <si>
    <t xml:space="preserve">อินทา </t>
  </si>
  <si>
    <t>จันทรุญ</t>
  </si>
  <si>
    <t>นาง ประนอม</t>
  </si>
  <si>
    <t>สุวรรณมิตร</t>
  </si>
  <si>
    <t>นาย เวทิน</t>
  </si>
  <si>
    <t xml:space="preserve">รักษาพล </t>
  </si>
  <si>
    <t xml:space="preserve">นางสาว สุนิชชา </t>
  </si>
  <si>
    <t>ประบัวบาน</t>
  </si>
  <si>
    <t xml:space="preserve">นาง สิริรัตน์ </t>
  </si>
  <si>
    <t>ประทุมชู</t>
  </si>
  <si>
    <t xml:space="preserve">พรสีมา </t>
  </si>
  <si>
    <t>วัฒนวาทิตกุล</t>
  </si>
  <si>
    <t>นางสาว สุณิสา</t>
  </si>
  <si>
    <t>วงค์แดง</t>
  </si>
  <si>
    <t xml:space="preserve">นาย นวกร </t>
  </si>
  <si>
    <t xml:space="preserve">แป้นบูชา </t>
  </si>
  <si>
    <t>นาย โชคประสิทธิ์</t>
  </si>
  <si>
    <t>อภิรมยานนท์</t>
  </si>
  <si>
    <t>นาย อนุทัย</t>
  </si>
  <si>
    <t>นุตตะละ</t>
  </si>
  <si>
    <t>ลองคำ</t>
  </si>
  <si>
    <t>กิจภัทรภาคิน</t>
  </si>
  <si>
    <t>นางสาว ภัทราพร</t>
  </si>
  <si>
    <t xml:space="preserve">ธินวล </t>
  </si>
  <si>
    <t>นางสาว พรรณพิไลย</t>
  </si>
  <si>
    <t>สารประสิทธิ์</t>
  </si>
  <si>
    <t>สุสกุลโชคดี</t>
  </si>
  <si>
    <t xml:space="preserve">นางสาว ทิพญ์สุคนธ์ </t>
  </si>
  <si>
    <t xml:space="preserve">แก้วกัญญา </t>
  </si>
  <si>
    <t xml:space="preserve">นางสาว อามีนา </t>
  </si>
  <si>
    <t xml:space="preserve">เส็นแอ </t>
  </si>
  <si>
    <t>อ่อนอุระ</t>
  </si>
  <si>
    <t>ชูธรรมเจริญ</t>
  </si>
  <si>
    <t>เหมะธุลิน</t>
  </si>
  <si>
    <t>นาย บุญทัพ</t>
  </si>
  <si>
    <t>นาย รณชิต</t>
  </si>
  <si>
    <t>นาย ถวิลชัย</t>
  </si>
  <si>
    <t>ศรีประสงค์</t>
  </si>
  <si>
    <t>ทินกร ณ อยุธยา</t>
  </si>
  <si>
    <t>นาย สังการ</t>
  </si>
  <si>
    <t xml:space="preserve">นางสาว ภารตี </t>
  </si>
  <si>
    <t xml:space="preserve">ศรีลาศักดิ์ </t>
  </si>
  <si>
    <t>เหล่าเรือน</t>
  </si>
  <si>
    <t xml:space="preserve">นางสาว ปวีณ์สุดา </t>
  </si>
  <si>
    <t xml:space="preserve">คนไว </t>
  </si>
  <si>
    <t>ปิยัง</t>
  </si>
  <si>
    <t>นาง มาวิกา</t>
  </si>
  <si>
    <t>พัฒนปรีชาเสถียร</t>
  </si>
  <si>
    <t xml:space="preserve">นางสาว จุไรรัตน์ </t>
  </si>
  <si>
    <t xml:space="preserve">ไสยศาสตร์ </t>
  </si>
  <si>
    <t>เพชรอนันต์</t>
  </si>
  <si>
    <t xml:space="preserve">ทิพย์ชิต </t>
  </si>
  <si>
    <t>น่วมประวัติ</t>
  </si>
  <si>
    <t>นางสาว ฐานิยา</t>
  </si>
  <si>
    <t>อะยัน</t>
  </si>
  <si>
    <t>นาย อารีฟ</t>
  </si>
  <si>
    <t>มหัศนียนนท์</t>
  </si>
  <si>
    <t>นางสาว ณพัทร์</t>
  </si>
  <si>
    <t xml:space="preserve">อาจหาญณรงค์ </t>
  </si>
  <si>
    <t xml:space="preserve">นาย อับดุลญาลีล </t>
  </si>
  <si>
    <t xml:space="preserve">บูระพา </t>
  </si>
  <si>
    <t xml:space="preserve">นาย บรรชากิจ </t>
  </si>
  <si>
    <t>นาย ฮูซัน</t>
  </si>
  <si>
    <t>นาง จิรพันธ์</t>
  </si>
  <si>
    <t>แก้วพูล</t>
  </si>
  <si>
    <t>บุญทิก</t>
  </si>
  <si>
    <t>ฉัตรเทียนชัย</t>
  </si>
  <si>
    <t>นาย วันพิชิต</t>
  </si>
  <si>
    <t>นางสาว อาซีย๊ะ</t>
  </si>
  <si>
    <t>สะมะอิ</t>
  </si>
  <si>
    <t>จันทร์สืบ</t>
  </si>
  <si>
    <t>นางสาว อาทิตา</t>
  </si>
  <si>
    <t>เมืองประชา</t>
  </si>
  <si>
    <t>นาย บุญอุ่ม</t>
  </si>
  <si>
    <t>นาย วิลาส</t>
  </si>
  <si>
    <t>อนันตภูมิ</t>
  </si>
  <si>
    <t xml:space="preserve">นางสาว นริษรา </t>
  </si>
  <si>
    <t xml:space="preserve">โสมณวัตร์ </t>
  </si>
  <si>
    <t>สิทธิเชนทร์</t>
  </si>
  <si>
    <t>แต่สกุล</t>
  </si>
  <si>
    <t>อิสโร</t>
  </si>
  <si>
    <t>นาย สุเชษฐ์</t>
  </si>
  <si>
    <t>เพชรอินทร์</t>
  </si>
  <si>
    <t>นาย ขุนศรี</t>
  </si>
  <si>
    <t>ธนบัตร</t>
  </si>
  <si>
    <t>ช่วยฉ่ำ</t>
  </si>
  <si>
    <t>นางสาว ศรีนัดดา</t>
  </si>
  <si>
    <t>บำเพ็ญผล</t>
  </si>
  <si>
    <t>ประดิษฐ์สาร</t>
  </si>
  <si>
    <t>นาง เนตรพรรณี</t>
  </si>
  <si>
    <t>นาง ศิริทิพย์</t>
  </si>
  <si>
    <t>แก้วกระจ่าง</t>
  </si>
  <si>
    <t>ภู่มาลี</t>
  </si>
  <si>
    <t xml:space="preserve">นางสาว รัชติกาล </t>
  </si>
  <si>
    <t>เขียวสด</t>
  </si>
  <si>
    <t>นางสาว มาลีรัตน์</t>
  </si>
  <si>
    <t>โสะอ้น</t>
  </si>
  <si>
    <t>นาย บุญชัย</t>
  </si>
  <si>
    <t xml:space="preserve">สินสัจธรรม </t>
  </si>
  <si>
    <t>นางสาว รัชฎา</t>
  </si>
  <si>
    <t>อารีกูล</t>
  </si>
  <si>
    <t>นางสาว ทิพาวรรณ</t>
  </si>
  <si>
    <t>ทวีไชย</t>
  </si>
  <si>
    <t>จั่นเจริญ</t>
  </si>
  <si>
    <t>นาย นันทศักดิ์</t>
  </si>
  <si>
    <t>นาย พงษ์พราหมณ์</t>
  </si>
  <si>
    <t>พราหมทัศ</t>
  </si>
  <si>
    <t xml:space="preserve">นางสาว ดาริน </t>
  </si>
  <si>
    <t xml:space="preserve">สุขหงษ์ </t>
  </si>
  <si>
    <t>หุนตระณี</t>
  </si>
  <si>
    <t xml:space="preserve">นางสาว วรรณวิศา </t>
  </si>
  <si>
    <t xml:space="preserve">ขอเยี่ยมกลาง </t>
  </si>
  <si>
    <t>นาง มาริน</t>
  </si>
  <si>
    <t>สมคิด</t>
  </si>
  <si>
    <t>นางสาว มุทิตา</t>
  </si>
  <si>
    <t>กอเซ็ม</t>
  </si>
  <si>
    <t>นางสาว ชุรีรัตน์</t>
  </si>
  <si>
    <t>สาเสาร์</t>
  </si>
  <si>
    <t>สุขเทศน์</t>
  </si>
  <si>
    <t>บุญจันทร์</t>
  </si>
  <si>
    <t>เทตะรัตน์</t>
  </si>
  <si>
    <t xml:space="preserve">นางสาว เทวิณี </t>
  </si>
  <si>
    <t xml:space="preserve">พันธ์สิทธิ์ </t>
  </si>
  <si>
    <t>มากอง</t>
  </si>
  <si>
    <t>ล่วงพ้น</t>
  </si>
  <si>
    <t>ลิมป์สุคนธ์</t>
  </si>
  <si>
    <t>นางสาว นคร</t>
  </si>
  <si>
    <t>คมกล้า</t>
  </si>
  <si>
    <t>นางสาว ภัทรชนก</t>
  </si>
  <si>
    <t xml:space="preserve">ฉันท์สำราญ </t>
  </si>
  <si>
    <t xml:space="preserve">นางสาว ธันยดา </t>
  </si>
  <si>
    <t xml:space="preserve">ทันสมัย </t>
  </si>
  <si>
    <t>นางสาว เกษรา</t>
  </si>
  <si>
    <t>ลีลาทรัพย์เลิศ</t>
  </si>
  <si>
    <t>วรรณชารี</t>
  </si>
  <si>
    <t>เชาว์ตระกูล</t>
  </si>
  <si>
    <t>ปัตตานี</t>
  </si>
  <si>
    <t>นาย ชัยศักดิ์</t>
  </si>
  <si>
    <t>สวนสีดา</t>
  </si>
  <si>
    <t>ชำนาญยนต์</t>
  </si>
  <si>
    <t>นาง อัมรา</t>
  </si>
  <si>
    <t>กุลน้อย</t>
  </si>
  <si>
    <t>ทับทิมดี</t>
  </si>
  <si>
    <t>นาง วิไลศรี</t>
  </si>
  <si>
    <t>วงษ์ราษฎร์</t>
  </si>
  <si>
    <t>พละชัย</t>
  </si>
  <si>
    <t>นาง ท่อนจันทร์</t>
  </si>
  <si>
    <t>วงศ์พรหม</t>
  </si>
  <si>
    <t>นาย พลาน</t>
  </si>
  <si>
    <t>สุรเสน</t>
  </si>
  <si>
    <t>วรรณทองสุก</t>
  </si>
  <si>
    <t>เวียงใต้</t>
  </si>
  <si>
    <t>นาง นาฏศิลป์</t>
  </si>
  <si>
    <t>นาย ประชวน</t>
  </si>
  <si>
    <t>ศุภดล</t>
  </si>
  <si>
    <t>นาย สีทวน</t>
  </si>
  <si>
    <t>คำงาม</t>
  </si>
  <si>
    <t>พลสาเดช</t>
  </si>
  <si>
    <t>สีลาดเลา</t>
  </si>
  <si>
    <t>พรมโนนศรี</t>
  </si>
  <si>
    <t>นาย พรประเสริฐ</t>
  </si>
  <si>
    <t>ภาสว่าง</t>
  </si>
  <si>
    <t>แดงน้อย</t>
  </si>
  <si>
    <t>มงคลมะไฟ</t>
  </si>
  <si>
    <t>นาย สมทรัพย์</t>
  </si>
  <si>
    <t>ศรีหนองจิก</t>
  </si>
  <si>
    <t>ปักสังข์เณ</t>
  </si>
  <si>
    <t>อันทรินทร์</t>
  </si>
  <si>
    <t>นาย ฉัตรมงคลชัย</t>
  </si>
  <si>
    <t>แก้วจิตต์</t>
  </si>
  <si>
    <t>คำทวี</t>
  </si>
  <si>
    <t>ทาสระคู</t>
  </si>
  <si>
    <t>นาย สราญ</t>
  </si>
  <si>
    <t>รัตนบุตรา</t>
  </si>
  <si>
    <t>นาย ชุมชัย</t>
  </si>
  <si>
    <t>วงษ์สีดาแก้ว</t>
  </si>
  <si>
    <t>ปะรินสารัมย์</t>
  </si>
  <si>
    <t>ทิพย์พิลา</t>
  </si>
  <si>
    <t>สุขมะโน</t>
  </si>
  <si>
    <t>โคตรบุญมี</t>
  </si>
  <si>
    <t>นาง ศรีชญาธร</t>
  </si>
  <si>
    <t>ศรีประทุม</t>
  </si>
  <si>
    <t>แก้วกาหลง</t>
  </si>
  <si>
    <t>นาย บุญเริ่ม</t>
  </si>
  <si>
    <t>จิตรเที่ยง</t>
  </si>
  <si>
    <t xml:space="preserve">นาย อรรถพล </t>
  </si>
  <si>
    <t xml:space="preserve">แสงใส </t>
  </si>
  <si>
    <t xml:space="preserve">นางสาว นุชรีย์ </t>
  </si>
  <si>
    <t>ยี่หวา</t>
  </si>
  <si>
    <t xml:space="preserve">คำภาส </t>
  </si>
  <si>
    <t>นาย ภาณุมาส</t>
  </si>
  <si>
    <t>ประมูลจักโก</t>
  </si>
  <si>
    <t>แสนประดิษฐ์</t>
  </si>
  <si>
    <t>เพ็งศรี</t>
  </si>
  <si>
    <t>นางสาว นัยนา</t>
  </si>
  <si>
    <t xml:space="preserve">นางสาว กุลปริยา </t>
  </si>
  <si>
    <t>ป้องเขต</t>
  </si>
  <si>
    <t>ว่าที่ ร.ต.หญิง วิพาพัฒ</t>
  </si>
  <si>
    <t>โลเกตุ</t>
  </si>
  <si>
    <t>บุตรวาระ</t>
  </si>
  <si>
    <t xml:space="preserve">นาย ประภาษณ์ </t>
  </si>
  <si>
    <t xml:space="preserve">นาย เพชร </t>
  </si>
  <si>
    <t>พันพละ</t>
  </si>
  <si>
    <t xml:space="preserve">นาย ภูวเดช </t>
  </si>
  <si>
    <t xml:space="preserve">วิบูลย์กุล </t>
  </si>
  <si>
    <t>แสงปาก</t>
  </si>
  <si>
    <t xml:space="preserve">นางสาว ภูริสา </t>
  </si>
  <si>
    <t xml:space="preserve">สวัสดิพละ </t>
  </si>
  <si>
    <t>เมืองพรม</t>
  </si>
  <si>
    <t xml:space="preserve">นางสาว อัญชิสา </t>
  </si>
  <si>
    <t>แซ่กอ</t>
  </si>
  <si>
    <t>นางสาว พรชนิตว์</t>
  </si>
  <si>
    <t>ตั้งสุวรรณโสภิณ</t>
  </si>
  <si>
    <t>นางสาว ฉัตรมณี</t>
  </si>
  <si>
    <t>พังไธสง</t>
  </si>
  <si>
    <t>ถนอมสิทธิ์</t>
  </si>
  <si>
    <t>นาย พัชรินทร์</t>
  </si>
  <si>
    <t>เปานาเรียง</t>
  </si>
  <si>
    <t xml:space="preserve">นาย นิติธร </t>
  </si>
  <si>
    <t>กายขุนทด</t>
  </si>
  <si>
    <t>มาลัย</t>
  </si>
  <si>
    <t>นางสาว อภินันท์</t>
  </si>
  <si>
    <t>วังเหนือ</t>
  </si>
  <si>
    <t xml:space="preserve">เกตบุตตา </t>
  </si>
  <si>
    <t xml:space="preserve">นาย ชญานนท์ </t>
  </si>
  <si>
    <t xml:space="preserve">โชคเฉลิม </t>
  </si>
  <si>
    <t>กลิ่นทองหลาง</t>
  </si>
  <si>
    <t>นิยมสุจริต</t>
  </si>
  <si>
    <t>ศานติธรรม</t>
  </si>
  <si>
    <t>บุญเสา</t>
  </si>
  <si>
    <t>ภูศรี</t>
  </si>
  <si>
    <t>พสุธาพิทักษ์</t>
  </si>
  <si>
    <t>ศิลานิล</t>
  </si>
  <si>
    <t>วงศ์จันทร์เจริญ</t>
  </si>
  <si>
    <t>กาญจนปัญโญ</t>
  </si>
  <si>
    <t>นาง นิตษา</t>
  </si>
  <si>
    <t>นางสาว ปรานอม</t>
  </si>
  <si>
    <t>คงคาหลวง</t>
  </si>
  <si>
    <t>นาง บุญสม</t>
  </si>
  <si>
    <t>งามเนตร</t>
  </si>
  <si>
    <t>นางสาว เตือนใจ</t>
  </si>
  <si>
    <t>มาศศิริทรัพย์</t>
  </si>
  <si>
    <t>นางสาว อัชนีย์</t>
  </si>
  <si>
    <t>อยู่ประเสริฐ</t>
  </si>
  <si>
    <t>สุวรรณลาภเจริญ</t>
  </si>
  <si>
    <t>พงษ์แผ่นสี</t>
  </si>
  <si>
    <t>สีสะอาด</t>
  </si>
  <si>
    <t>ราชประดิษฐ์</t>
  </si>
  <si>
    <t>นาง วรรณี</t>
  </si>
  <si>
    <t>วนภูมิ</t>
  </si>
  <si>
    <t>ยงภูมิพุทธา</t>
  </si>
  <si>
    <t>คูหารุ่งเกียรติ์</t>
  </si>
  <si>
    <t>อ้วนเกลี้ยง</t>
  </si>
  <si>
    <t>นาง ดวงสมร</t>
  </si>
  <si>
    <t xml:space="preserve">นางสาว นันทวัน </t>
  </si>
  <si>
    <t xml:space="preserve">อาจองค์ </t>
  </si>
  <si>
    <t xml:space="preserve">เฮงชัยโย </t>
  </si>
  <si>
    <t>อารีรัตน์</t>
  </si>
  <si>
    <t xml:space="preserve">นางสาว สมเนตร </t>
  </si>
  <si>
    <t xml:space="preserve">จันทวิชชประภา </t>
  </si>
  <si>
    <t xml:space="preserve">นาคปฐม </t>
  </si>
  <si>
    <t>ตรุยานนท์</t>
  </si>
  <si>
    <t>นางสาว ฉันทิดา</t>
  </si>
  <si>
    <t>กระทุ่มแก้ว</t>
  </si>
  <si>
    <t>นางสาว วชิรญา</t>
  </si>
  <si>
    <t xml:space="preserve">เขียนด้วง </t>
  </si>
  <si>
    <t>นาย ชัยกิจ</t>
  </si>
  <si>
    <t>บุญสรรค์สร้าง</t>
  </si>
  <si>
    <t>นางสาว พรจิตรา</t>
  </si>
  <si>
    <t xml:space="preserve">นาย ประภัตร </t>
  </si>
  <si>
    <t xml:space="preserve">นางสาว ชาลิสา </t>
  </si>
  <si>
    <t xml:space="preserve">ดีพาย </t>
  </si>
  <si>
    <t xml:space="preserve">นางสาว ประจุพร </t>
  </si>
  <si>
    <t>นาควิมล</t>
  </si>
  <si>
    <t>นางสาว ปัญจภรณ์</t>
  </si>
  <si>
    <t>พุฒอินทร์</t>
  </si>
  <si>
    <t>นาง ชาทิพย์</t>
  </si>
  <si>
    <t>เริ่มดำริห์</t>
  </si>
  <si>
    <t>นาย ฤทธิรงค์</t>
  </si>
  <si>
    <t>นาง ชนนิกานต์</t>
  </si>
  <si>
    <t>จูฑะสุวรรณ์</t>
  </si>
  <si>
    <t>นาย วุฒศิษฐ์</t>
  </si>
  <si>
    <t>วงษ์เนตร</t>
  </si>
  <si>
    <t>นาย ไตรภพ</t>
  </si>
  <si>
    <t>สานันท์</t>
  </si>
  <si>
    <t>กลางแผง</t>
  </si>
  <si>
    <t>นาย โกมุท</t>
  </si>
  <si>
    <t>ใจเย็น</t>
  </si>
  <si>
    <t>วงษ์ท้าว</t>
  </si>
  <si>
    <t>แนบเนียร</t>
  </si>
  <si>
    <t>นาง กุลนันท์</t>
  </si>
  <si>
    <t xml:space="preserve">วะศินรัตน์ </t>
  </si>
  <si>
    <t>ชาลี</t>
  </si>
  <si>
    <t>นางสาว นันธิดา</t>
  </si>
  <si>
    <t>ไผ่ตะคุ</t>
  </si>
  <si>
    <t>นางสาว แอนอุมา</t>
  </si>
  <si>
    <t>ปานผา</t>
  </si>
  <si>
    <t>พิมพ์ขาล</t>
  </si>
  <si>
    <t>เกียรติวินัยสกุล</t>
  </si>
  <si>
    <t>กว๊ะ</t>
  </si>
  <si>
    <t xml:space="preserve">นาย ภูวิชญ์ </t>
  </si>
  <si>
    <t xml:space="preserve">ยิ่งเจริญ </t>
  </si>
  <si>
    <t>บัวไพร</t>
  </si>
  <si>
    <t>พางาม</t>
  </si>
  <si>
    <t>ภัทราวุธสมบูรณ์</t>
  </si>
  <si>
    <t>สอนใจ</t>
  </si>
  <si>
    <t>นางสาว สลักจิต</t>
  </si>
  <si>
    <t>จันทร์ปล้อง</t>
  </si>
  <si>
    <t>นางสาว สำรี</t>
  </si>
  <si>
    <t>ผสม</t>
  </si>
  <si>
    <t>นาย เตชินทร์</t>
  </si>
  <si>
    <t>ศรีเหนี่ยง</t>
  </si>
  <si>
    <t xml:space="preserve">สุพันธรัตน์ </t>
  </si>
  <si>
    <t xml:space="preserve">นางสาว สุฑารัตน์ </t>
  </si>
  <si>
    <t xml:space="preserve">เป้าประจำเมือง </t>
  </si>
  <si>
    <t xml:space="preserve">ไชยวรรณ </t>
  </si>
  <si>
    <t>นาย นักปราชญ</t>
  </si>
  <si>
    <t>ขลิบปั้น</t>
  </si>
  <si>
    <t>นางสาว ปิยะธิดา</t>
  </si>
  <si>
    <t>อรรคเนตร์</t>
  </si>
  <si>
    <t>นางสาว ปฐมา</t>
  </si>
  <si>
    <t>บุญรักษ์</t>
  </si>
  <si>
    <t>โพดเฟื่อง</t>
  </si>
  <si>
    <t>นางสาว พัชรีภรณ์</t>
  </si>
  <si>
    <t>นางสาว บุญรัตน์</t>
  </si>
  <si>
    <t>มณีมูล</t>
  </si>
  <si>
    <t>สีคง</t>
  </si>
  <si>
    <t>ศิริ</t>
  </si>
  <si>
    <t>นาย พิศิษฐ์</t>
  </si>
  <si>
    <t>เมืองสุวรรณ</t>
  </si>
  <si>
    <t>นาย กมลสินธุ์</t>
  </si>
  <si>
    <t>คันธวะ</t>
  </si>
  <si>
    <t>แหลมคม</t>
  </si>
  <si>
    <t>รูปงาม</t>
  </si>
  <si>
    <t>หล่อวิไลกุล</t>
  </si>
  <si>
    <t>อุปะโยคิน</t>
  </si>
  <si>
    <t>นาง นภารัตน์</t>
  </si>
  <si>
    <t>จองสุรียภาส</t>
  </si>
  <si>
    <t xml:space="preserve">สลีวงศ์ </t>
  </si>
  <si>
    <t>วาสนา</t>
  </si>
  <si>
    <t>นางสาว สุบิน</t>
  </si>
  <si>
    <t>แก้วเต็ม</t>
  </si>
  <si>
    <t>นาย ยุทธการณ์</t>
  </si>
  <si>
    <t>ไทยลา</t>
  </si>
  <si>
    <t xml:space="preserve">เตชะสาย </t>
  </si>
  <si>
    <t xml:space="preserve">นางสาว นันท์นภัส </t>
  </si>
  <si>
    <t>วงศ์ภักดีสุข</t>
  </si>
  <si>
    <t>ว่าที่ ร.ต. จริยา</t>
  </si>
  <si>
    <t>เรือนน้อย</t>
  </si>
  <si>
    <t>นางสาว สิรีธร</t>
  </si>
  <si>
    <t>ศิริวงศ์</t>
  </si>
  <si>
    <t xml:space="preserve">เจริญวงศ์ </t>
  </si>
  <si>
    <t>สิทธิวีระกุล</t>
  </si>
  <si>
    <t>นางสาว จันทร์ศรี</t>
  </si>
  <si>
    <t>จอมอิ่น</t>
  </si>
  <si>
    <t>หลวงมูล</t>
  </si>
  <si>
    <t>กาสุริยะ</t>
  </si>
  <si>
    <t>อาคะโรจน์</t>
  </si>
  <si>
    <t>สิทธิธรรม</t>
  </si>
  <si>
    <t>นาย อภิรัฐ</t>
  </si>
  <si>
    <t xml:space="preserve">ชูศรีพัฒน์ </t>
  </si>
  <si>
    <t>โพธิพฤกษ์</t>
  </si>
  <si>
    <t>นาง นันทริยา</t>
  </si>
  <si>
    <t>สุวรรณล้อม</t>
  </si>
  <si>
    <t>แสนมณี</t>
  </si>
  <si>
    <t xml:space="preserve">นางสาว จันทร์ทิวา </t>
  </si>
  <si>
    <t xml:space="preserve">อินตา </t>
  </si>
  <si>
    <t xml:space="preserve">นางสาว สายสุนีย์ </t>
  </si>
  <si>
    <t xml:space="preserve">สายวังกิจ </t>
  </si>
  <si>
    <t>สุนันตา</t>
  </si>
  <si>
    <t>ขอดเฝือ</t>
  </si>
  <si>
    <t xml:space="preserve">นาย ชาญศิลป์ </t>
  </si>
  <si>
    <t xml:space="preserve">ชาวยอง </t>
  </si>
  <si>
    <t xml:space="preserve">นางสาว สุธิรา </t>
  </si>
  <si>
    <t xml:space="preserve">แน่นอุดร </t>
  </si>
  <si>
    <t xml:space="preserve">นาง ชญานิษฐ์ </t>
  </si>
  <si>
    <t xml:space="preserve">แสนราชา </t>
  </si>
  <si>
    <t>วงษ์สง่า</t>
  </si>
  <si>
    <t>ชัยยศ</t>
  </si>
  <si>
    <t>ชำนาญอาสา</t>
  </si>
  <si>
    <t>นางสาว ประหยัด</t>
  </si>
  <si>
    <t>มะโนพะเส้า</t>
  </si>
  <si>
    <t>นางสาว เริงขวัญ</t>
  </si>
  <si>
    <t>สุริยะปัน</t>
  </si>
  <si>
    <t>ตะนาวศรี</t>
  </si>
  <si>
    <t>นาย อายุมงคล</t>
  </si>
  <si>
    <t>แสนปัญญา</t>
  </si>
  <si>
    <t xml:space="preserve">นางสาว ศศกร </t>
  </si>
  <si>
    <t>สุวรรณกาศ</t>
  </si>
  <si>
    <t>นางสาว ปรัชญา</t>
  </si>
  <si>
    <t>นุชสุวรรณ</t>
  </si>
  <si>
    <t>นางสาว ดารณี</t>
  </si>
  <si>
    <t xml:space="preserve">นาย เสฏฐวุฒิ </t>
  </si>
  <si>
    <t>มิ่งมงคลศศิธร</t>
  </si>
  <si>
    <t xml:space="preserve">นาย เนตรดุลย์ </t>
  </si>
  <si>
    <t xml:space="preserve">บุญทวีศักดิ์ </t>
  </si>
  <si>
    <t>นางสาว นุชนาถ</t>
  </si>
  <si>
    <t>จิตโสภา</t>
  </si>
  <si>
    <t>นาย จักริน</t>
  </si>
  <si>
    <t>ราชพรหมมา</t>
  </si>
  <si>
    <t>นาย ปิติพล</t>
  </si>
  <si>
    <t>สินธ์ชัย</t>
  </si>
  <si>
    <t>นาย ชานนท์</t>
  </si>
  <si>
    <t>เพียรสบาย</t>
  </si>
  <si>
    <t>สารพิมพา</t>
  </si>
  <si>
    <t>นาย เธียรธวัช</t>
  </si>
  <si>
    <t>ช่วยศิริ</t>
  </si>
  <si>
    <t>นาย ชญาศักดิ์</t>
  </si>
  <si>
    <t>ธรรมจินโณ</t>
  </si>
  <si>
    <t>นาง อาฒยา</t>
  </si>
  <si>
    <t>พลซา</t>
  </si>
  <si>
    <t>จูชัง</t>
  </si>
  <si>
    <t>นาย ชายแดน</t>
  </si>
  <si>
    <t>ภาวะโคตร</t>
  </si>
  <si>
    <t xml:space="preserve">นาย ศักดิ์สิทธิ์ </t>
  </si>
  <si>
    <t xml:space="preserve">กลางพงษ์ </t>
  </si>
  <si>
    <t>ลำคำ</t>
  </si>
  <si>
    <t xml:space="preserve">ไชยอาษา </t>
  </si>
  <si>
    <t xml:space="preserve">นางสาว รัสรินทร์ </t>
  </si>
  <si>
    <t>อธิอารยะพงศ์</t>
  </si>
  <si>
    <t>เมฆทัพ</t>
  </si>
  <si>
    <t xml:space="preserve">รักน้ำเที่ยง </t>
  </si>
  <si>
    <t>นางสาว นฤชล</t>
  </si>
  <si>
    <t>สีดี</t>
  </si>
  <si>
    <t>จังเลิศคณาพงศ์</t>
  </si>
  <si>
    <t>พุดทรา</t>
  </si>
  <si>
    <t>ริมไธสง</t>
  </si>
  <si>
    <t>นาย วัฒนลักษณ์</t>
  </si>
  <si>
    <t>ไกรทอง</t>
  </si>
  <si>
    <t>นางสาว พัชรียา</t>
  </si>
  <si>
    <t>ดารบุษป์กุล</t>
  </si>
  <si>
    <t>นางสาว กิติยา</t>
  </si>
  <si>
    <t>จันทร์ละออ</t>
  </si>
  <si>
    <t>นาย บุญฤกษ์</t>
  </si>
  <si>
    <t>สุขชีพ</t>
  </si>
  <si>
    <t>นาย สุรศรี</t>
  </si>
  <si>
    <t>มั่นทองพิทักษ์</t>
  </si>
  <si>
    <t>โสมกลาง</t>
  </si>
  <si>
    <t>นาย ศรชัย</t>
  </si>
  <si>
    <t>งามแสง</t>
  </si>
  <si>
    <t>คล่องจริง</t>
  </si>
  <si>
    <t>นาง ธัญญธร</t>
  </si>
  <si>
    <t>นาย ดำริห์</t>
  </si>
  <si>
    <t>สนิท</t>
  </si>
  <si>
    <t>นาย สมยนต์</t>
  </si>
  <si>
    <t>บุญลี</t>
  </si>
  <si>
    <t>นาย บุญสุข</t>
  </si>
  <si>
    <t>ว่าที่ ร.ต. จักรี</t>
  </si>
  <si>
    <t>วันโสภา</t>
  </si>
  <si>
    <t>นาย วิรวัฒน์</t>
  </si>
  <si>
    <t>ภูวงษ์</t>
  </si>
  <si>
    <t>คำแผง</t>
  </si>
  <si>
    <t>นนทศิลา</t>
  </si>
  <si>
    <t>นาย ชัยนันทน์</t>
  </si>
  <si>
    <t>มั่นสาคร</t>
  </si>
  <si>
    <t xml:space="preserve">นาย ชนวัชร์ </t>
  </si>
  <si>
    <t xml:space="preserve">อุดมพันธ์ </t>
  </si>
  <si>
    <t>ชูชี</t>
  </si>
  <si>
    <t>ขุนพรหม</t>
  </si>
  <si>
    <t>นาง ศิวิไล</t>
  </si>
  <si>
    <t>นาย สุพัฒนชัย</t>
  </si>
  <si>
    <t>นาดี</t>
  </si>
  <si>
    <t>นาง สาลินี</t>
  </si>
  <si>
    <t>ไชยปัญญา</t>
  </si>
  <si>
    <t xml:space="preserve">สุวรรณวงค์ </t>
  </si>
  <si>
    <t xml:space="preserve">วงศ์สหวิวัฒน์ </t>
  </si>
  <si>
    <t xml:space="preserve">นาง ชัชชญา </t>
  </si>
  <si>
    <t xml:space="preserve">จันทะกรณ์ </t>
  </si>
  <si>
    <t>นางสาว วรรณี</t>
  </si>
  <si>
    <t>ศรีภักดิ์</t>
  </si>
  <si>
    <t>ศรีลาชัย</t>
  </si>
  <si>
    <t>นางสาว มะลิสา</t>
  </si>
  <si>
    <t>ระงับภัย</t>
  </si>
  <si>
    <t>ศรีสุรักษ์</t>
  </si>
  <si>
    <t>นาย เอกวิทย์</t>
  </si>
  <si>
    <t>ศรีรมย์</t>
  </si>
  <si>
    <t xml:space="preserve">นาย นพอนัณต์ </t>
  </si>
  <si>
    <t xml:space="preserve">ชุมมวลกิตติธัช </t>
  </si>
  <si>
    <t>ศิลาคำ</t>
  </si>
  <si>
    <t xml:space="preserve">นาย ทำนอง </t>
  </si>
  <si>
    <t xml:space="preserve">แก้วกันหา </t>
  </si>
  <si>
    <t xml:space="preserve">อุ่นแก้ว </t>
  </si>
  <si>
    <t xml:space="preserve">กำไมล์ </t>
  </si>
  <si>
    <t xml:space="preserve">ผิวพรรณ </t>
  </si>
  <si>
    <t xml:space="preserve">นาย ภิชาติ </t>
  </si>
  <si>
    <t xml:space="preserve">เพชรนาม </t>
  </si>
  <si>
    <t xml:space="preserve">นาย ปิยะวัฒน์ </t>
  </si>
  <si>
    <t xml:space="preserve">สุวะจันทร์ </t>
  </si>
  <si>
    <t xml:space="preserve">นาย เขมชาติ </t>
  </si>
  <si>
    <t xml:space="preserve">หลาวทอง </t>
  </si>
  <si>
    <t>นครไชย์</t>
  </si>
  <si>
    <t>แก้วคะตา</t>
  </si>
  <si>
    <t xml:space="preserve">นางสาว สาริศา </t>
  </si>
  <si>
    <t xml:space="preserve">โสดามุข </t>
  </si>
  <si>
    <t xml:space="preserve">นาย ดวงสมร </t>
  </si>
  <si>
    <t xml:space="preserve">วิเชียร </t>
  </si>
  <si>
    <t xml:space="preserve">นาง รัตนา </t>
  </si>
  <si>
    <t xml:space="preserve">วัฒนาไชย </t>
  </si>
  <si>
    <t>นาง กฤชณัท</t>
  </si>
  <si>
    <t>คำสิงหา</t>
  </si>
  <si>
    <t>นางสาว อุดมลักษณ์</t>
  </si>
  <si>
    <t>เกษก้าน</t>
  </si>
  <si>
    <t xml:space="preserve">นาง ณัชภรณ์ </t>
  </si>
  <si>
    <t>พามาดาล</t>
  </si>
  <si>
    <t xml:space="preserve">นางสาว ธัญธิดา </t>
  </si>
  <si>
    <t xml:space="preserve">พิมพ์แก้ว </t>
  </si>
  <si>
    <t xml:space="preserve">นาย อพัทศดลย์ </t>
  </si>
  <si>
    <t xml:space="preserve">ทรัพย์คูณ </t>
  </si>
  <si>
    <t>นาย มหินทร</t>
  </si>
  <si>
    <t>เทพิน</t>
  </si>
  <si>
    <t>หงศรีเมือง</t>
  </si>
  <si>
    <t>นางสาว พัชรพร</t>
  </si>
  <si>
    <t>ถึงกลิ่น</t>
  </si>
  <si>
    <t xml:space="preserve">ทองพันชั่ง </t>
  </si>
  <si>
    <t>ศรีศิลา</t>
  </si>
  <si>
    <t>นาย รังสฤษฏิ์</t>
  </si>
  <si>
    <t>ดาวจันทึก</t>
  </si>
  <si>
    <t>สระกลาง</t>
  </si>
  <si>
    <t>ภูมิเรืองศรี</t>
  </si>
  <si>
    <t>วงศ์กาฬสินธุ์</t>
  </si>
  <si>
    <t>นาย ธนัญ</t>
  </si>
  <si>
    <t>โกศัลวัฒน์</t>
  </si>
  <si>
    <t xml:space="preserve">นางสาว สุนทรี </t>
  </si>
  <si>
    <t>เจิมขุนทด</t>
  </si>
  <si>
    <t>จันทะชา</t>
  </si>
  <si>
    <t xml:space="preserve">ตู้ไม้ป่า </t>
  </si>
  <si>
    <t>ใจช่วง</t>
  </si>
  <si>
    <t>นาย ปิติพงษ์</t>
  </si>
  <si>
    <t>มาตราช</t>
  </si>
  <si>
    <t>ด้วงจุมพล</t>
  </si>
  <si>
    <t>จุติยนต์</t>
  </si>
  <si>
    <t xml:space="preserve">บรรหาราช </t>
  </si>
  <si>
    <t xml:space="preserve">อ่อนสุระทุม </t>
  </si>
  <si>
    <t xml:space="preserve">นาย นครศักดิ์ </t>
  </si>
  <si>
    <t>อวนพล</t>
  </si>
  <si>
    <t>นางสาว วิไลลักษณ์</t>
  </si>
  <si>
    <t>คำมุลตรี</t>
  </si>
  <si>
    <t>นาง ชัญรมณ</t>
  </si>
  <si>
    <t>จิตรเอื้อ</t>
  </si>
  <si>
    <t>นาย พงค์พิชา</t>
  </si>
  <si>
    <t>แก้วพาดี</t>
  </si>
  <si>
    <t xml:space="preserve">โพนพันธ์ </t>
  </si>
  <si>
    <t xml:space="preserve">นางสาว นิตญา </t>
  </si>
  <si>
    <t xml:space="preserve">สีสถาน </t>
  </si>
  <si>
    <t xml:space="preserve">นาง ธรรมรส </t>
  </si>
  <si>
    <t xml:space="preserve">หอมเฮ้า </t>
  </si>
  <si>
    <t xml:space="preserve">คุณบุราณ </t>
  </si>
  <si>
    <t xml:space="preserve">นางสาว ณปภา </t>
  </si>
  <si>
    <t>มะโนศรี</t>
  </si>
  <si>
    <t xml:space="preserve">ศรีหนองห้าง </t>
  </si>
  <si>
    <t>นาง พัชริน</t>
  </si>
  <si>
    <t>อุทัยสา</t>
  </si>
  <si>
    <t>นางสาว วรรณวิสา</t>
  </si>
  <si>
    <t>ศรีตาชัย</t>
  </si>
  <si>
    <t>ศรีนา</t>
  </si>
  <si>
    <t xml:space="preserve">นางสาว ปรียาดา </t>
  </si>
  <si>
    <t>ปุวงค์</t>
  </si>
  <si>
    <t>นางสาว สุนิษา</t>
  </si>
  <si>
    <t>ชัยขันธ์</t>
  </si>
  <si>
    <t xml:space="preserve">นาย เขื่อนเพชร </t>
  </si>
  <si>
    <t xml:space="preserve">พิมหาญ </t>
  </si>
  <si>
    <t>นางสาว ชุติมณฑน์</t>
  </si>
  <si>
    <t>ธรรมชาติ</t>
  </si>
  <si>
    <t>นางสาว จุติพร</t>
  </si>
  <si>
    <t>ประทุมทอง</t>
  </si>
  <si>
    <t xml:space="preserve">นางสาว ทิพย์วาสนา </t>
  </si>
  <si>
    <t xml:space="preserve">หลวงชัย </t>
  </si>
  <si>
    <t>นางสาว ลีลาวดี</t>
  </si>
  <si>
    <t>หนูรอด</t>
  </si>
  <si>
    <t>กิ้มเส้ง</t>
  </si>
  <si>
    <t>อุไรกุล</t>
  </si>
  <si>
    <t>พัฒโณ</t>
  </si>
  <si>
    <t>นาง วิมลศรี</t>
  </si>
  <si>
    <t>สายน้ำเขียว</t>
  </si>
  <si>
    <t>นาย อาหมาด</t>
  </si>
  <si>
    <t>ยอดไกร</t>
  </si>
  <si>
    <t>นาง บุสราคำ</t>
  </si>
  <si>
    <t>สุวรรณาวุธ</t>
  </si>
  <si>
    <t>สถิตย์</t>
  </si>
  <si>
    <t>นาง กุลวดี</t>
  </si>
  <si>
    <t>โสตถิพันธุ์</t>
  </si>
  <si>
    <t>นาย อารี</t>
  </si>
  <si>
    <t>ทองบุญเรือง</t>
  </si>
  <si>
    <t>จันศรีคง</t>
  </si>
  <si>
    <t>กาญจโนภาส</t>
  </si>
  <si>
    <t>ศรีชูจิตร</t>
  </si>
  <si>
    <t>นาย คารม</t>
  </si>
  <si>
    <t>ไชยานุพงศ์</t>
  </si>
  <si>
    <t>กิติเสถียรพร</t>
  </si>
  <si>
    <t>วงศ์ชนะ</t>
  </si>
  <si>
    <t>ชะนะทอง</t>
  </si>
  <si>
    <t>แก้วสุริยันต์</t>
  </si>
  <si>
    <t>พริกยะกุล</t>
  </si>
  <si>
    <t>สุวารักษ์</t>
  </si>
  <si>
    <t>นาย ล้อม</t>
  </si>
  <si>
    <t>ยอดขวัญ</t>
  </si>
  <si>
    <t>เรณูนวล</t>
  </si>
  <si>
    <t>นาย สุรพงค์</t>
  </si>
  <si>
    <t>ผ่องสุวรรณ</t>
  </si>
  <si>
    <t xml:space="preserve">ตรีรัญเพชร </t>
  </si>
  <si>
    <t>นางสาว ณภิญา</t>
  </si>
  <si>
    <t>มุสิกะรักษ์</t>
  </si>
  <si>
    <t>จันทมะโน</t>
  </si>
  <si>
    <t>นาย สกฤษพงศ์</t>
  </si>
  <si>
    <t>ปักสังคะเณย์</t>
  </si>
  <si>
    <t xml:space="preserve">ลาวัลย์ </t>
  </si>
  <si>
    <t>ยองปุก</t>
  </si>
  <si>
    <t>นาง ภัทรวดี</t>
  </si>
  <si>
    <t>จินดาพันธ์</t>
  </si>
  <si>
    <t xml:space="preserve">คงฉิม </t>
  </si>
  <si>
    <t xml:space="preserve">นางสาว กัญจนาถ </t>
  </si>
  <si>
    <t>ช่างสาน</t>
  </si>
  <si>
    <t>นาง รัชดาวรรณ</t>
  </si>
  <si>
    <t>ไชยสงคราม</t>
  </si>
  <si>
    <t xml:space="preserve">ลิ่มพัฒนพิทักษ์ </t>
  </si>
  <si>
    <t xml:space="preserve">นาง อรุณศรี </t>
  </si>
  <si>
    <t>บุญสถิตย์</t>
  </si>
  <si>
    <t xml:space="preserve">นางสาว จิรา </t>
  </si>
  <si>
    <t xml:space="preserve">อิสสะโร </t>
  </si>
  <si>
    <t xml:space="preserve">นางสาว บุญสิตา </t>
  </si>
  <si>
    <t>จันทร์ชม</t>
  </si>
  <si>
    <t>เฉิดฉิ้ม</t>
  </si>
  <si>
    <t>นาง จิรภา</t>
  </si>
  <si>
    <t>วิรากรณ์</t>
  </si>
  <si>
    <t xml:space="preserve">นางสาว ลิซาร์ </t>
  </si>
  <si>
    <t>กาเหย็ม</t>
  </si>
  <si>
    <t>เพ็ชร์สุวรรณ</t>
  </si>
  <si>
    <t>นางสาว ณัฐนันท์</t>
  </si>
  <si>
    <t>มนต์ประสิทธิ์พร</t>
  </si>
  <si>
    <t xml:space="preserve">แก้วฤทธิ์ </t>
  </si>
  <si>
    <t xml:space="preserve">โมสิกะ </t>
  </si>
  <si>
    <t>บุญวรรณโณ</t>
  </si>
  <si>
    <t>นาง อธิฐาน</t>
  </si>
  <si>
    <t xml:space="preserve">จันทิตย์ </t>
  </si>
  <si>
    <t>นางสาว เสาวนีย์</t>
  </si>
  <si>
    <t xml:space="preserve">เวชประพันธ์ </t>
  </si>
  <si>
    <t xml:space="preserve">นางสาว กมลพร </t>
  </si>
  <si>
    <t xml:space="preserve">ศรีพิเชียร </t>
  </si>
  <si>
    <t>เฉิดละออ</t>
  </si>
  <si>
    <t xml:space="preserve">นางสาว เกวดี </t>
  </si>
  <si>
    <t xml:space="preserve">กิมาคม </t>
  </si>
  <si>
    <t>นางสาว นิพวรรณ</t>
  </si>
  <si>
    <t>ทองแท่น</t>
  </si>
  <si>
    <t>มัจฉา</t>
  </si>
  <si>
    <t xml:space="preserve">นาย ชทวัสส์ </t>
  </si>
  <si>
    <t>สว่างแจ้ง</t>
  </si>
  <si>
    <t xml:space="preserve">นาย สมปอง </t>
  </si>
  <si>
    <t xml:space="preserve">เหมโคกน้อย </t>
  </si>
  <si>
    <t xml:space="preserve">สุวรรณกิจ </t>
  </si>
  <si>
    <t xml:space="preserve">นาง อุทุมพร </t>
  </si>
  <si>
    <t xml:space="preserve">ประสาทไทย </t>
  </si>
  <si>
    <t xml:space="preserve">นางสาว จริยาภรณ์ </t>
  </si>
  <si>
    <t xml:space="preserve">วังสะปราบ </t>
  </si>
  <si>
    <t xml:space="preserve">นางสาว ตุลาภรณ์ </t>
  </si>
  <si>
    <t xml:space="preserve">เส็นดาโอ๊ะ </t>
  </si>
  <si>
    <t>นางสาว ทิพรัตน์</t>
  </si>
  <si>
    <t>ฉายมณี</t>
  </si>
  <si>
    <t>เพียงอภิชาติ</t>
  </si>
  <si>
    <t xml:space="preserve">นางสาว ชมพูนุท </t>
  </si>
  <si>
    <t xml:space="preserve">กิจแก้ว </t>
  </si>
  <si>
    <t xml:space="preserve">นางสาว ณิกัณชรัศมิ์ </t>
  </si>
  <si>
    <t xml:space="preserve">มาลารัตน์ </t>
  </si>
  <si>
    <t xml:space="preserve">นาง อัจฉราวรรณ </t>
  </si>
  <si>
    <t>ไหลชลธารา</t>
  </si>
  <si>
    <t xml:space="preserve">นาง มลิวรรณ </t>
  </si>
  <si>
    <t xml:space="preserve">ไวยกุล </t>
  </si>
  <si>
    <t>พงษาชัย</t>
  </si>
  <si>
    <t>หนูด้วง</t>
  </si>
  <si>
    <t>นางสาว กัญชพร</t>
  </si>
  <si>
    <t>เมืองทรัพย์</t>
  </si>
  <si>
    <t xml:space="preserve">นาย ชุมพร </t>
  </si>
  <si>
    <t xml:space="preserve">ผลประเสริฐ </t>
  </si>
  <si>
    <t xml:space="preserve">นาง วรางคณา </t>
  </si>
  <si>
    <t>นาง ชุลี</t>
  </si>
  <si>
    <t>นิลยนารถ</t>
  </si>
  <si>
    <t>รุ่งเรืองศุภรัตน์</t>
  </si>
  <si>
    <t>นางสาว เกียรตินภา</t>
  </si>
  <si>
    <t xml:space="preserve">วงศ์จันทา </t>
  </si>
  <si>
    <t>นางสาว นัทธมน</t>
  </si>
  <si>
    <t xml:space="preserve">เจริญสุข </t>
  </si>
  <si>
    <t xml:space="preserve">นาง เกศณี </t>
  </si>
  <si>
    <t>ภาวะกุล</t>
  </si>
  <si>
    <t>โตเผือก</t>
  </si>
  <si>
    <t>นาย สุทัย</t>
  </si>
  <si>
    <t>จำปาทิพย์</t>
  </si>
  <si>
    <t>นาง จีราพัชร</t>
  </si>
  <si>
    <t>ครุฑธา</t>
  </si>
  <si>
    <t xml:space="preserve">สำลี </t>
  </si>
  <si>
    <t>อินดำ</t>
  </si>
  <si>
    <t>ปุ่นบรรลือเดช</t>
  </si>
  <si>
    <t>นาย ภาคิน</t>
  </si>
  <si>
    <t>กิตตินรนันท์</t>
  </si>
  <si>
    <t>นาย ธัชกร</t>
  </si>
  <si>
    <t>นุชประเสริฐ</t>
  </si>
  <si>
    <t>กลัดเดช</t>
  </si>
  <si>
    <t>นาย อามัด</t>
  </si>
  <si>
    <t>สาและเนาะ</t>
  </si>
  <si>
    <t>นางสาว จิณัฐตา</t>
  </si>
  <si>
    <t>วุฒามนตรี</t>
  </si>
  <si>
    <t>สิทธิชัย</t>
  </si>
  <si>
    <t>มะคำไก่</t>
  </si>
  <si>
    <t>นาย ทรงชัย</t>
  </si>
  <si>
    <t>วีระสวัสดิ์</t>
  </si>
  <si>
    <t>นาย จงสวัสดิ์</t>
  </si>
  <si>
    <t>มณีจอม</t>
  </si>
  <si>
    <t>นาง สุจรรยา</t>
  </si>
  <si>
    <t>ลายศรี</t>
  </si>
  <si>
    <t>ผลาหาร</t>
  </si>
  <si>
    <t>นางสาว นุศรา</t>
  </si>
  <si>
    <t>หิ้นเตี้ยน</t>
  </si>
  <si>
    <t>นางสาว เยาว์สุลักษณ์</t>
  </si>
  <si>
    <t xml:space="preserve">บรรจมาตย์ </t>
  </si>
  <si>
    <t xml:space="preserve">นางสาว สุญญตา </t>
  </si>
  <si>
    <t xml:space="preserve">เมฆสวัสดิ์ </t>
  </si>
  <si>
    <t>นาง พชรมนต์</t>
  </si>
  <si>
    <t xml:space="preserve">ฤทธิไกร </t>
  </si>
  <si>
    <t xml:space="preserve">ทองแท่งใหญ่ </t>
  </si>
  <si>
    <t>แท่นแก้ว</t>
  </si>
  <si>
    <t>พริ้งเพราะ</t>
  </si>
  <si>
    <t>นาย ภพปภนพรรณ</t>
  </si>
  <si>
    <t>เตชะนนท์</t>
  </si>
  <si>
    <t>อ่างแก้ว</t>
  </si>
  <si>
    <t>นาย ชวโรจน์</t>
  </si>
  <si>
    <t>อุดมประเสริฐศิริ</t>
  </si>
  <si>
    <t>นาง วันทนัย</t>
  </si>
  <si>
    <t>เจียมพันธ์</t>
  </si>
  <si>
    <t>วรรณะ</t>
  </si>
  <si>
    <t xml:space="preserve">นาง ลัคณิสร์ </t>
  </si>
  <si>
    <t xml:space="preserve">แก้วมี </t>
  </si>
  <si>
    <t xml:space="preserve">คงสว่าง </t>
  </si>
  <si>
    <t>ทิพย์ศรี</t>
  </si>
  <si>
    <t>นาย กิตติคุณ</t>
  </si>
  <si>
    <t>ชูแสน</t>
  </si>
  <si>
    <t xml:space="preserve">นางสาว ศิรดา </t>
  </si>
  <si>
    <t xml:space="preserve">อารักษ์วาณิช </t>
  </si>
  <si>
    <t>นาง ปรานี</t>
  </si>
  <si>
    <t>จันทร์ทา</t>
  </si>
  <si>
    <t>เรพล</t>
  </si>
  <si>
    <t xml:space="preserve">สาคร </t>
  </si>
  <si>
    <t>นางสาว จิตตะ</t>
  </si>
  <si>
    <t>นิยะมะ</t>
  </si>
  <si>
    <t>นาย กัน</t>
  </si>
  <si>
    <t>เกษวงศ์</t>
  </si>
  <si>
    <t>นาง ปิ่นจันทร์</t>
  </si>
  <si>
    <t>พยานใจ</t>
  </si>
  <si>
    <t>นาย สวงษ์</t>
  </si>
  <si>
    <t>นาย จรงค์</t>
  </si>
  <si>
    <t>จิตรไพศาลศรี</t>
  </si>
  <si>
    <t>นาง วันใหม่</t>
  </si>
  <si>
    <t>รอดโฉม</t>
  </si>
  <si>
    <t>กาษร</t>
  </si>
  <si>
    <t>ทองปาน</t>
  </si>
  <si>
    <t>นาง พิมพ์พร</t>
  </si>
  <si>
    <t>นาย แทน</t>
  </si>
  <si>
    <t>เม่าทับ</t>
  </si>
  <si>
    <t>กระดิ่งสาย</t>
  </si>
  <si>
    <t xml:space="preserve">ภูยาธร </t>
  </si>
  <si>
    <t xml:space="preserve">นางสาว พรพรรษา </t>
  </si>
  <si>
    <t xml:space="preserve">ลัดดาแย้ม </t>
  </si>
  <si>
    <t xml:space="preserve">นาย ชนัตท์ </t>
  </si>
  <si>
    <t>ศิริดำรงค์กุล</t>
  </si>
  <si>
    <t>นาง ศุภดา</t>
  </si>
  <si>
    <t>พะเยาว์</t>
  </si>
  <si>
    <t xml:space="preserve">นาย ชัชชัย </t>
  </si>
  <si>
    <t>ยศพิรุฬห์พงศ์</t>
  </si>
  <si>
    <t xml:space="preserve">นางสาว ดรุณี </t>
  </si>
  <si>
    <t xml:space="preserve">นาง สุนารีย์ </t>
  </si>
  <si>
    <t xml:space="preserve">พวงสายใจ </t>
  </si>
  <si>
    <t>ชุ่มใจ</t>
  </si>
  <si>
    <t xml:space="preserve">ปันสุรัตน์ </t>
  </si>
  <si>
    <t>สมบัติ</t>
  </si>
  <si>
    <t>นางสาว ธัญนันท์</t>
  </si>
  <si>
    <t>ผัดแก้ว</t>
  </si>
  <si>
    <t>รอดสุขเจริญ</t>
  </si>
  <si>
    <t xml:space="preserve">นางสาว พรนิภา </t>
  </si>
  <si>
    <t xml:space="preserve">ทาวงศ์ </t>
  </si>
  <si>
    <t>อ้นบางเขน</t>
  </si>
  <si>
    <t>คงนาน</t>
  </si>
  <si>
    <t>นาย พะเยา</t>
  </si>
  <si>
    <t>ชูสุวรรณ</t>
  </si>
  <si>
    <t>ตามควร</t>
  </si>
  <si>
    <t>นาย บุญทิพย์</t>
  </si>
  <si>
    <t>พุ่มกลัด</t>
  </si>
  <si>
    <t>ทิมจ้อย</t>
  </si>
  <si>
    <t>ว่าที่ ร.ต. ชัยศรี</t>
  </si>
  <si>
    <t>ไชยมณี</t>
  </si>
  <si>
    <t>บัวมาก</t>
  </si>
  <si>
    <t>นางสาว สุณีย์</t>
  </si>
  <si>
    <t>พุ่มทอง</t>
  </si>
  <si>
    <t>นครกัณฑ์</t>
  </si>
  <si>
    <t>นาง ฐิติพร</t>
  </si>
  <si>
    <t>เกิดสิน</t>
  </si>
  <si>
    <t>ยุพา</t>
  </si>
  <si>
    <t xml:space="preserve">ภูมลา </t>
  </si>
  <si>
    <t xml:space="preserve">นาง หทัยทิพย์ </t>
  </si>
  <si>
    <t xml:space="preserve">เป็นบุญ </t>
  </si>
  <si>
    <t>นาย ไกรวิทย์</t>
  </si>
  <si>
    <t>กวีวัฒนา</t>
  </si>
  <si>
    <t xml:space="preserve">คำยอด </t>
  </si>
  <si>
    <t xml:space="preserve">ทานะแจ่ม </t>
  </si>
  <si>
    <t>นาย ณรงค์เกียรติ</t>
  </si>
  <si>
    <t>ศึกษา</t>
  </si>
  <si>
    <t xml:space="preserve">นางสาว ทวีพร </t>
  </si>
  <si>
    <t xml:space="preserve">เขียวแก้ว </t>
  </si>
  <si>
    <t>นาง วลี</t>
  </si>
  <si>
    <t>เทพประสิทธิ์</t>
  </si>
  <si>
    <t>นาย จิราโรจน์</t>
  </si>
  <si>
    <t>ใจเสือกุล</t>
  </si>
  <si>
    <t>นาย ดำเกิง</t>
  </si>
  <si>
    <t>มายะการ</t>
  </si>
  <si>
    <t>แสงวันทอง</t>
  </si>
  <si>
    <t>ม่วงพรวน</t>
  </si>
  <si>
    <t>เลี่ยมพัตรา</t>
  </si>
  <si>
    <t>นาย เยี่ยม</t>
  </si>
  <si>
    <t>โสขุมา</t>
  </si>
  <si>
    <t>นางสาว เก็จแก้ว</t>
  </si>
  <si>
    <t>นาย สรรค์ชัย</t>
  </si>
  <si>
    <t>ต๋องาม</t>
  </si>
  <si>
    <t>เสมาขันธ์</t>
  </si>
  <si>
    <t>อิ่มสมบัติ</t>
  </si>
  <si>
    <t>นาง บุญเชียง</t>
  </si>
  <si>
    <t>ทัพมณเฑียร</t>
  </si>
  <si>
    <t>หลวงปลอด</t>
  </si>
  <si>
    <t>จิวสิทธิประไพ</t>
  </si>
  <si>
    <t>เชาว์วิเศษ</t>
  </si>
  <si>
    <t>นาย ภควรรณ</t>
  </si>
  <si>
    <t>ชัยรัตน์เมธี</t>
  </si>
  <si>
    <t>นาง ปุญชรัสมิ์</t>
  </si>
  <si>
    <t>ปลั่งดี</t>
  </si>
  <si>
    <t xml:space="preserve">นาง บำรุงรัทย์ </t>
  </si>
  <si>
    <t>ขันทอง</t>
  </si>
  <si>
    <t xml:space="preserve">นาย ฐิติภัทร </t>
  </si>
  <si>
    <t>มีบุบผา</t>
  </si>
  <si>
    <t xml:space="preserve">นางสาว พิกุลแก้ว </t>
  </si>
  <si>
    <t xml:space="preserve">วงศ์สุวรรณ </t>
  </si>
  <si>
    <t>นางสาว กรรณิกา</t>
  </si>
  <si>
    <t>เสือแดง</t>
  </si>
  <si>
    <t>นางสาว วชิราพันธ์</t>
  </si>
  <si>
    <t>นาง ฐิตามินทร์</t>
  </si>
  <si>
    <t xml:space="preserve">คงสำราญ </t>
  </si>
  <si>
    <t xml:space="preserve">นางสาว ภรณ์ชนก </t>
  </si>
  <si>
    <t xml:space="preserve">ทิพภักดี </t>
  </si>
  <si>
    <t xml:space="preserve">พูลพาน </t>
  </si>
  <si>
    <t xml:space="preserve">รอดเพชร </t>
  </si>
  <si>
    <t xml:space="preserve">นางสาว ชวนพิศ </t>
  </si>
  <si>
    <t xml:space="preserve">เผือกนาค </t>
  </si>
  <si>
    <t>อุยานันท์</t>
  </si>
  <si>
    <t xml:space="preserve">นางสาว ปาริชาติ </t>
  </si>
  <si>
    <t>สูงปานเขา</t>
  </si>
  <si>
    <t>หนูอ้น</t>
  </si>
  <si>
    <t>เอกเอี่ยม</t>
  </si>
  <si>
    <t>เกิดทอง</t>
  </si>
  <si>
    <t xml:space="preserve">นางสาว คณิษฐา </t>
  </si>
  <si>
    <t xml:space="preserve">ลิลา </t>
  </si>
  <si>
    <t>ไพรศรีจันทร์</t>
  </si>
  <si>
    <t>นาย วีรธรรม</t>
  </si>
  <si>
    <t>ชูใจ</t>
  </si>
  <si>
    <t xml:space="preserve">นาย ธีระพงศ์ </t>
  </si>
  <si>
    <t xml:space="preserve">เล่าโจ้ว </t>
  </si>
  <si>
    <t>นางสาว อรพิน</t>
  </si>
  <si>
    <t>ถิระวัฒน์</t>
  </si>
  <si>
    <t>เชื้อพราหมณ์</t>
  </si>
  <si>
    <t>เกตุเกลี้ยง</t>
  </si>
  <si>
    <t>บุญชุม</t>
  </si>
  <si>
    <t>อภิชนังกูร</t>
  </si>
  <si>
    <t>มฤคี</t>
  </si>
  <si>
    <t>โกศลเวช</t>
  </si>
  <si>
    <t>วาสิน</t>
  </si>
  <si>
    <t>นาย รวมพล</t>
  </si>
  <si>
    <t>ทองมีเพชร</t>
  </si>
  <si>
    <t>รัตนะรัต</t>
  </si>
  <si>
    <t>นาย ญานณรงค์</t>
  </si>
  <si>
    <t>หนุเจริญกุล</t>
  </si>
  <si>
    <t>ธวัชชลพันธ์</t>
  </si>
  <si>
    <t>วิโรจน์วรวิทย์</t>
  </si>
  <si>
    <t>นางสาว ณัฐสรวง</t>
  </si>
  <si>
    <t>นาย ยกเหื้อน</t>
  </si>
  <si>
    <t>นาย นราเจนณรงค์</t>
  </si>
  <si>
    <t>นาย ก้องอรัญ</t>
  </si>
  <si>
    <t>คงวัดใหม่</t>
  </si>
  <si>
    <t>สาเรศ</t>
  </si>
  <si>
    <t>นาง กันยากร</t>
  </si>
  <si>
    <t>นางสาว ขนิศรา</t>
  </si>
  <si>
    <t xml:space="preserve">ผลาสิงห์ </t>
  </si>
  <si>
    <t xml:space="preserve">นาง ชุติมา </t>
  </si>
  <si>
    <t xml:space="preserve">ชูแสงศรี </t>
  </si>
  <si>
    <t xml:space="preserve">นางสาว นภาภรณ์ </t>
  </si>
  <si>
    <t>ดำช่วย</t>
  </si>
  <si>
    <t xml:space="preserve">นาย นิรันรัตน์ </t>
  </si>
  <si>
    <t xml:space="preserve">นาง ประภาศรี </t>
  </si>
  <si>
    <t>เสมียนเพชร</t>
  </si>
  <si>
    <t>นาง ศุภานันท์</t>
  </si>
  <si>
    <t>นาทุ่งนุ้ย</t>
  </si>
  <si>
    <t>พร้อมประเสริฐ</t>
  </si>
  <si>
    <t>นางสาว จินรดาวรรณ</t>
  </si>
  <si>
    <t>นิลสุวรรณ</t>
  </si>
  <si>
    <t xml:space="preserve">นาง ชุลีพร </t>
  </si>
  <si>
    <t xml:space="preserve">คำแหง </t>
  </si>
  <si>
    <t xml:space="preserve">นางสาว ชิตชนก </t>
  </si>
  <si>
    <t xml:space="preserve">มาลาวิสุทธิ์ </t>
  </si>
  <si>
    <t>นางสาว พชระ</t>
  </si>
  <si>
    <t xml:space="preserve">รัตนทิฆัมพร </t>
  </si>
  <si>
    <t xml:space="preserve">นางสาว ปฏิมา </t>
  </si>
  <si>
    <t xml:space="preserve">วอนยิ้มสกุล </t>
  </si>
  <si>
    <t xml:space="preserve">ทองญวน </t>
  </si>
  <si>
    <t>นางสาว พิชชารีย์</t>
  </si>
  <si>
    <t>ตันวราวุฒิกูล</t>
  </si>
  <si>
    <t>ถิ่นชาญ</t>
  </si>
  <si>
    <t xml:space="preserve">นางสาว ดวงฤทัย </t>
  </si>
  <si>
    <t>เมืองน้อย</t>
  </si>
  <si>
    <t>นางสาว จีรนุช</t>
  </si>
  <si>
    <t>เกลี้ยงสงค์</t>
  </si>
  <si>
    <t>นางสาว มะลิมาศ</t>
  </si>
  <si>
    <t>นาย หัตถาพร</t>
  </si>
  <si>
    <t>นาง ปาริฉัตร</t>
  </si>
  <si>
    <t>เอกวานิช</t>
  </si>
  <si>
    <t>หล่อเพชร</t>
  </si>
  <si>
    <t xml:space="preserve">เพิ่มชื่น </t>
  </si>
  <si>
    <t>นางสาว ราชาวดี</t>
  </si>
  <si>
    <t>วงศ์ศรีชัย</t>
  </si>
  <si>
    <t>นวนคีรี</t>
  </si>
  <si>
    <t>ศิริสม</t>
  </si>
  <si>
    <t>นางสาว มลทิรา</t>
  </si>
  <si>
    <t>นาย สายัญต์</t>
  </si>
  <si>
    <t>มะอนันต์</t>
  </si>
  <si>
    <t>อุดมพิพัฒน์</t>
  </si>
  <si>
    <t>วงศ์ภักดี</t>
  </si>
  <si>
    <t>นาย บุญเจือ</t>
  </si>
  <si>
    <t>นุภักดิ์</t>
  </si>
  <si>
    <t>นาย บุญทอง</t>
  </si>
  <si>
    <t>พิมพ์จันทร์</t>
  </si>
  <si>
    <t>นาง เพ็ญจิตร</t>
  </si>
  <si>
    <t>โสภิณ</t>
  </si>
  <si>
    <t>ม่วงอร่าม</t>
  </si>
  <si>
    <t>ชาญศรี</t>
  </si>
  <si>
    <t>นาย ฉลอม</t>
  </si>
  <si>
    <t>กรมแสง</t>
  </si>
  <si>
    <t>นางสาว กฤษณีย์</t>
  </si>
  <si>
    <t>เครือเพชร</t>
  </si>
  <si>
    <t>แกมกล้า</t>
  </si>
  <si>
    <t>สายประเสริฐ</t>
  </si>
  <si>
    <t>หล่าบรรเทา</t>
  </si>
  <si>
    <t>รอดโต</t>
  </si>
  <si>
    <t>จันทร์แทน</t>
  </si>
  <si>
    <t xml:space="preserve">นางสาว ณัฐธภา </t>
  </si>
  <si>
    <t>ศิริมาก</t>
  </si>
  <si>
    <t xml:space="preserve">สุโขพันธ์ </t>
  </si>
  <si>
    <t>นาง อภิญญา</t>
  </si>
  <si>
    <t>คูสูงเนิน</t>
  </si>
  <si>
    <t>นางสาว จารุพรรณ</t>
  </si>
  <si>
    <t>ลอยประโคน</t>
  </si>
  <si>
    <t>วิลัยสูงเนิน</t>
  </si>
  <si>
    <t>นางสาว รุ้งทิวา</t>
  </si>
  <si>
    <t>หงษ์สูงเนิน</t>
  </si>
  <si>
    <t>นางสาว ชนันธร</t>
  </si>
  <si>
    <t>ตระกูลรัมย์</t>
  </si>
  <si>
    <t>นาย ตรีเนตร</t>
  </si>
  <si>
    <t>พงษ์แสน</t>
  </si>
  <si>
    <t>นาง จันทกานต์</t>
  </si>
  <si>
    <t>ปราสัยงาม</t>
  </si>
  <si>
    <t>นาย พีรเดช</t>
  </si>
  <si>
    <t>ธุรานุช</t>
  </si>
  <si>
    <t xml:space="preserve">นาย ภูวพงศ์ </t>
  </si>
  <si>
    <t>ระวังชื่อ</t>
  </si>
  <si>
    <t>นางสาว สมพงษ์</t>
  </si>
  <si>
    <t xml:space="preserve">มีสิทธิ์ </t>
  </si>
  <si>
    <t>สุขยานุดิษฐ</t>
  </si>
  <si>
    <t>นางสาว ธนวดี</t>
  </si>
  <si>
    <t xml:space="preserve">นาย กุลชาติ </t>
  </si>
  <si>
    <t xml:space="preserve">บูรณะ </t>
  </si>
  <si>
    <t xml:space="preserve">นาย อุทิศ </t>
  </si>
  <si>
    <t xml:space="preserve">สีสนิท </t>
  </si>
  <si>
    <t xml:space="preserve">นางสาว จอมศรี </t>
  </si>
  <si>
    <t xml:space="preserve">นางสาว คัทลียา </t>
  </si>
  <si>
    <t xml:space="preserve">นางสาว ภัทรวดี </t>
  </si>
  <si>
    <t>สวัสสิริกุล</t>
  </si>
  <si>
    <t>พัชรานุ</t>
  </si>
  <si>
    <t>แสนเมืองชิน</t>
  </si>
  <si>
    <t xml:space="preserve">นาย ณัทกฤช </t>
  </si>
  <si>
    <t xml:space="preserve">แววดี </t>
  </si>
  <si>
    <t xml:space="preserve">ทองสาย </t>
  </si>
  <si>
    <t>ศรีพิลา</t>
  </si>
  <si>
    <t>เหง้าคำ</t>
  </si>
  <si>
    <t xml:space="preserve">นาง กุหลาบ </t>
  </si>
  <si>
    <t xml:space="preserve">มหามาตย์ </t>
  </si>
  <si>
    <t>มุมเรือนทอง</t>
  </si>
  <si>
    <t xml:space="preserve">กลิ่นหอมอ่อน </t>
  </si>
  <si>
    <t>นางสาว พจนีย์</t>
  </si>
  <si>
    <t>แก้วทวี</t>
  </si>
  <si>
    <t>โภคานิตย์</t>
  </si>
  <si>
    <t>ศรีษะเกตุ</t>
  </si>
  <si>
    <t>กุณา</t>
  </si>
  <si>
    <t>สิทธิ์ขุนทด</t>
  </si>
  <si>
    <t>นาย นิธิรัฐ</t>
  </si>
  <si>
    <t>มัฆวาฬ</t>
  </si>
  <si>
    <t>เพียสังกะ</t>
  </si>
  <si>
    <t xml:space="preserve">นาย วีรสุทธิ์ </t>
  </si>
  <si>
    <t>โฮสูงเนิน</t>
  </si>
  <si>
    <t>นาง สมทรัพย์</t>
  </si>
  <si>
    <t>พรหมสิงห์</t>
  </si>
  <si>
    <t>กินรียศ</t>
  </si>
  <si>
    <t>นางสาว เสาวณีย์</t>
  </si>
  <si>
    <t>สุริยะสิงห์</t>
  </si>
  <si>
    <t>พริศักดิ์</t>
  </si>
  <si>
    <t>ยอดทัพ</t>
  </si>
  <si>
    <t>มั่นทอง</t>
  </si>
  <si>
    <t>ชาวไทย</t>
  </si>
  <si>
    <t>นาย ไพรทอง</t>
  </si>
  <si>
    <t>อินาวัง</t>
  </si>
  <si>
    <t>จันโสภา</t>
  </si>
  <si>
    <t>นางสาว ธีรชยา</t>
  </si>
  <si>
    <t>สาวะรก</t>
  </si>
  <si>
    <t>ไชยคำแดง</t>
  </si>
  <si>
    <t>ยอดตา</t>
  </si>
  <si>
    <t xml:space="preserve">สานุจิตร </t>
  </si>
  <si>
    <t>นาย ภูริวัฑ</t>
  </si>
  <si>
    <t>พูนสูงเนิน</t>
  </si>
  <si>
    <t>นางสาว ชไบพร</t>
  </si>
  <si>
    <t>มาศิริ</t>
  </si>
  <si>
    <t>วิเชียรลม</t>
  </si>
  <si>
    <t>วะปะแก้ว</t>
  </si>
  <si>
    <t>นาง กานต์สิริ</t>
  </si>
  <si>
    <t>นางสาว สมโภชน์</t>
  </si>
  <si>
    <t>บุญชื่น</t>
  </si>
  <si>
    <t xml:space="preserve">นาย อธิพร </t>
  </si>
  <si>
    <t xml:space="preserve">จุ้มอังวะ </t>
  </si>
  <si>
    <t>เมยดง</t>
  </si>
  <si>
    <t>นาย เปรมปรี</t>
  </si>
  <si>
    <t>นนทฤทธิ์</t>
  </si>
  <si>
    <t>นาง เยาวภา</t>
  </si>
  <si>
    <t>นาง นพจินดา</t>
  </si>
  <si>
    <t>สังข์วงษ์</t>
  </si>
  <si>
    <t>นาย ศุภกฤต</t>
  </si>
  <si>
    <t>การวรรณี</t>
  </si>
  <si>
    <t>นางสาว เรณุดา</t>
  </si>
  <si>
    <t>หอมชะเอม</t>
  </si>
  <si>
    <t>อาจรักษา</t>
  </si>
  <si>
    <t>นางสาว สุทิน</t>
  </si>
  <si>
    <t>หิรัญอ่อน</t>
  </si>
  <si>
    <t>นางสาว ศิริพรรณ</t>
  </si>
  <si>
    <t>หนุมาน</t>
  </si>
  <si>
    <t>อรรถลาภี</t>
  </si>
  <si>
    <t>แก้วสาคร</t>
  </si>
  <si>
    <t>สดใส</t>
  </si>
  <si>
    <t>นางสาว จารุภรณ์</t>
  </si>
  <si>
    <t>สำเนียงแจ่ม</t>
  </si>
  <si>
    <t>อรจันทร์</t>
  </si>
  <si>
    <t>วรรณาพูล</t>
  </si>
  <si>
    <t>นางสาว วรรณนิสา</t>
  </si>
  <si>
    <t>เรขะวัฒนะ</t>
  </si>
  <si>
    <t xml:space="preserve">นาย วินัย </t>
  </si>
  <si>
    <t xml:space="preserve">แสดงฤทธิ์ </t>
  </si>
  <si>
    <t>ปรมาริยะ</t>
  </si>
  <si>
    <t>นาง อิสรีย์รัช</t>
  </si>
  <si>
    <t>แป๊ะเส็ง</t>
  </si>
  <si>
    <t>แสงสุย</t>
  </si>
  <si>
    <t>นางสาว ประชุม</t>
  </si>
  <si>
    <t>รัตนรักษ์</t>
  </si>
  <si>
    <t>นางสาว ภารดี</t>
  </si>
  <si>
    <t>เกิดปราโมทย์</t>
  </si>
  <si>
    <t>นาง วชิรญา</t>
  </si>
  <si>
    <t>ทิพม่อม</t>
  </si>
  <si>
    <t>คนยัง</t>
  </si>
  <si>
    <t>คำทะเนตร</t>
  </si>
  <si>
    <t>นาย กฤตชกรณ์</t>
  </si>
  <si>
    <t>คำล้วน</t>
  </si>
  <si>
    <t>ธนาธัญญพิชญ์</t>
  </si>
  <si>
    <t>สร้อยคำ</t>
  </si>
  <si>
    <t>นาง อภัยวรรณ</t>
  </si>
  <si>
    <t>นาย ครองทรัพย์</t>
  </si>
  <si>
    <t>อินทร์ลา</t>
  </si>
  <si>
    <t xml:space="preserve">นาง นิธินันท์ </t>
  </si>
  <si>
    <t>สุรโกมลเศรษฐ์</t>
  </si>
  <si>
    <t>คำภูอ่อน</t>
  </si>
  <si>
    <t>สุขพี้</t>
  </si>
  <si>
    <t>วุฒิพันธ์</t>
  </si>
  <si>
    <t>นาย วรแมน</t>
  </si>
  <si>
    <t>นรสาร</t>
  </si>
  <si>
    <t>กิติเคนา</t>
  </si>
  <si>
    <t>ว่าที่ ร.ต. นรินทร์</t>
  </si>
  <si>
    <t>แขมพิมาย</t>
  </si>
  <si>
    <t>นาย วีระวงษ์</t>
  </si>
  <si>
    <t>นาง วชิรา</t>
  </si>
  <si>
    <t>ตรีวัฒน์สุวรรณ</t>
  </si>
  <si>
    <t>ดีสุทธิ์</t>
  </si>
  <si>
    <t xml:space="preserve">นาย อดิศร </t>
  </si>
  <si>
    <t xml:space="preserve">ผาใต้ </t>
  </si>
  <si>
    <t xml:space="preserve">นาย สุเวช </t>
  </si>
  <si>
    <t xml:space="preserve">แสงฝ้าย </t>
  </si>
  <si>
    <t>นาย บุญเสริม</t>
  </si>
  <si>
    <t>พรจันทึก</t>
  </si>
  <si>
    <t>นาย พีระชัย</t>
  </si>
  <si>
    <t>สิงห์ธวัช</t>
  </si>
  <si>
    <t>จำเนียรกุล</t>
  </si>
  <si>
    <t>นาย สมปราชญ์</t>
  </si>
  <si>
    <t>มาศมาลัย</t>
  </si>
  <si>
    <t>หลักคำ</t>
  </si>
  <si>
    <t xml:space="preserve">นาย พัฒนพงษ์ </t>
  </si>
  <si>
    <t xml:space="preserve">ว่องเพ็ชชัย </t>
  </si>
  <si>
    <t xml:space="preserve">แถนสีแสง </t>
  </si>
  <si>
    <t xml:space="preserve">นาง นันทิภา </t>
  </si>
  <si>
    <t xml:space="preserve">คำขจร </t>
  </si>
  <si>
    <t>นางสาว วรวลัญช์</t>
  </si>
  <si>
    <t>ศุภกิจจารักษ์</t>
  </si>
  <si>
    <t>จันทคัต</t>
  </si>
  <si>
    <t>นาย พงศ์ศิริ</t>
  </si>
  <si>
    <t xml:space="preserve">ตารินทร์ </t>
  </si>
  <si>
    <t>อับดลร่าหีม</t>
  </si>
  <si>
    <t>นางสาว ชนากานต์</t>
  </si>
  <si>
    <t>อิสระโชติ</t>
  </si>
  <si>
    <t>นาย เจนชัย</t>
  </si>
  <si>
    <t>จันธานี</t>
  </si>
  <si>
    <t>นาง ปวริศา</t>
  </si>
  <si>
    <t>รักคง</t>
  </si>
  <si>
    <t>โกแสน</t>
  </si>
  <si>
    <t xml:space="preserve">เจริญรัตน์ </t>
  </si>
  <si>
    <t xml:space="preserve">นาย เฉียบ </t>
  </si>
  <si>
    <t>สิงหสุรศักดิ์</t>
  </si>
  <si>
    <t xml:space="preserve">นางสาว ณิชา </t>
  </si>
  <si>
    <t xml:space="preserve">โป๋ทอง </t>
  </si>
  <si>
    <t>นาย นิพัทธ์</t>
  </si>
  <si>
    <t>สายสุ่ม</t>
  </si>
  <si>
    <t xml:space="preserve">นางสาว อทิตยา </t>
  </si>
  <si>
    <t xml:space="preserve">เยาว์พฤกษ์ชัย </t>
  </si>
  <si>
    <t>ติ๊บประวงศ์</t>
  </si>
  <si>
    <t>นาย ปรมินทร์</t>
  </si>
  <si>
    <t>ไตรทิพย์</t>
  </si>
  <si>
    <t>นาย สวัลย์</t>
  </si>
  <si>
    <t xml:space="preserve">อินทร์ประสิทธิ์ </t>
  </si>
  <si>
    <t>เหล่าฤทธิ์</t>
  </si>
  <si>
    <t>วณิชชากรวิวัฒน์</t>
  </si>
  <si>
    <t>บารมี</t>
  </si>
  <si>
    <t>นาย ธนบรรณ</t>
  </si>
  <si>
    <t>รอดเพชร</t>
  </si>
  <si>
    <t>ว่าที่ ร.ต. สำราญ</t>
  </si>
  <si>
    <t xml:space="preserve">สุขเรือง </t>
  </si>
  <si>
    <t>นาย สืบศักดิ์</t>
  </si>
  <si>
    <t xml:space="preserve">นางสาว พรรณี </t>
  </si>
  <si>
    <t>ชาญธัญการ</t>
  </si>
  <si>
    <t xml:space="preserve">ว่าที่ ร.ต. สายัณห์ </t>
  </si>
  <si>
    <t xml:space="preserve">คำรักษา </t>
  </si>
  <si>
    <t xml:space="preserve">นางสาว ดาราวรรณ </t>
  </si>
  <si>
    <t xml:space="preserve">ปันคำ </t>
  </si>
  <si>
    <t xml:space="preserve">นาง บุญญพร </t>
  </si>
  <si>
    <t>นาย บุลกร</t>
  </si>
  <si>
    <t>ศิริพงษ์</t>
  </si>
  <si>
    <t>นางสาว นิชาภา</t>
  </si>
  <si>
    <t>ชื่นวัตร</t>
  </si>
  <si>
    <t>พงศ์อินทรสุทธิ์</t>
  </si>
  <si>
    <t>จันทพันธ์</t>
  </si>
  <si>
    <t>จงวัฒน์</t>
  </si>
  <si>
    <t>เรืองสิทธิ์</t>
  </si>
  <si>
    <t>ไกรวัฒนพันธุ์</t>
  </si>
  <si>
    <t>นาง ธัญญชล</t>
  </si>
  <si>
    <t>มาลาหอม</t>
  </si>
  <si>
    <t>นาง นันทนี</t>
  </si>
  <si>
    <t>หลาวทอง</t>
  </si>
  <si>
    <t>เสงี่ยมศักดิ์</t>
  </si>
  <si>
    <t>กวีกรณ์</t>
  </si>
  <si>
    <t>นาย พนมพร</t>
  </si>
  <si>
    <t>แสนมีมา</t>
  </si>
  <si>
    <t>ไกรวัฒนพันธ์</t>
  </si>
  <si>
    <t>ลาสา</t>
  </si>
  <si>
    <t>มัฐผา</t>
  </si>
  <si>
    <t>นาง บุญสันต์</t>
  </si>
  <si>
    <t>ทุมมี</t>
  </si>
  <si>
    <t>นาย รังสิตร</t>
  </si>
  <si>
    <t>แสงพรหม</t>
  </si>
  <si>
    <t>นาย กวินทัต</t>
  </si>
  <si>
    <t>นิยมสุข</t>
  </si>
  <si>
    <t>พรหมเรนทร์</t>
  </si>
  <si>
    <t>นนท์พละ</t>
  </si>
  <si>
    <t>โคตรัตน์</t>
  </si>
  <si>
    <t>ทูลสูงเนิน</t>
  </si>
  <si>
    <t>สีหาฤทธิ์</t>
  </si>
  <si>
    <t>นาง นพรัตน์</t>
  </si>
  <si>
    <t>ธงศรี</t>
  </si>
  <si>
    <t>นาย สุรทิน</t>
  </si>
  <si>
    <t>แสนมี</t>
  </si>
  <si>
    <t>นามบุญลือ</t>
  </si>
  <si>
    <t>ประทุมรัตน์</t>
  </si>
  <si>
    <t>นาสมบูรณ์</t>
  </si>
  <si>
    <t>นาย นพวงศ์</t>
  </si>
  <si>
    <t>สังขะจันทรา</t>
  </si>
  <si>
    <t>นาย ขันตี</t>
  </si>
  <si>
    <t>โลกรักษ์</t>
  </si>
  <si>
    <t>สุดหา</t>
  </si>
  <si>
    <t>นาย รัฐวุฒิชัย</t>
  </si>
  <si>
    <t>จามรโชติปรีชา</t>
  </si>
  <si>
    <t xml:space="preserve">นาง จำรัส </t>
  </si>
  <si>
    <t>พร้อมจันทึก</t>
  </si>
  <si>
    <t>นาง จีรภา</t>
  </si>
  <si>
    <t xml:space="preserve">แก้วพร </t>
  </si>
  <si>
    <t>นางสาว ภูริชญา</t>
  </si>
  <si>
    <t>อ่อนสุวรรณ</t>
  </si>
  <si>
    <t>นาง ไพรศรี</t>
  </si>
  <si>
    <t>สาธรราษฏร์</t>
  </si>
  <si>
    <t>กอมณี</t>
  </si>
  <si>
    <t xml:space="preserve">อภัยโคตร </t>
  </si>
  <si>
    <t>นางสาว จตุพร</t>
  </si>
  <si>
    <t>หอมเงิน</t>
  </si>
  <si>
    <t>นาย วัฒนากร</t>
  </si>
  <si>
    <t>ศุภลักษณ์</t>
  </si>
  <si>
    <t xml:space="preserve">วงษ์มณีไทย </t>
  </si>
  <si>
    <t xml:space="preserve">นางสาว อัญชณา </t>
  </si>
  <si>
    <t xml:space="preserve">สารแสน </t>
  </si>
  <si>
    <t xml:space="preserve">นางสาว วิลาวัณย์ </t>
  </si>
  <si>
    <t xml:space="preserve">มณีเทศ </t>
  </si>
  <si>
    <t xml:space="preserve">กาวิชัย </t>
  </si>
  <si>
    <t>นาง เตรียมจิตต์</t>
  </si>
  <si>
    <t xml:space="preserve">เติบสูงเนิน </t>
  </si>
  <si>
    <t>นาย ยอดเพชร</t>
  </si>
  <si>
    <t>เจือจันทร์</t>
  </si>
  <si>
    <t xml:space="preserve">นาย พิทยา </t>
  </si>
  <si>
    <t xml:space="preserve">โนรีรัตน์ </t>
  </si>
  <si>
    <t>นาง วรญาดา</t>
  </si>
  <si>
    <t>นามเรืองศรี</t>
  </si>
  <si>
    <t>ดวงเนตร</t>
  </si>
  <si>
    <t>นาง นพวรรณ</t>
  </si>
  <si>
    <t>ถาวรฟัง</t>
  </si>
  <si>
    <t xml:space="preserve">นางสาว อรอนงค์ </t>
  </si>
  <si>
    <t xml:space="preserve">แสงอ่อน </t>
  </si>
  <si>
    <t xml:space="preserve">นาย ณรงค์ชัย </t>
  </si>
  <si>
    <t xml:space="preserve">สามาเลิศ </t>
  </si>
  <si>
    <t>นางสาว สุคันธา</t>
  </si>
  <si>
    <t>แสนเจริญสุข</t>
  </si>
  <si>
    <t xml:space="preserve">นาย อนันต์ </t>
  </si>
  <si>
    <t>นาง สมหญิง</t>
  </si>
  <si>
    <t>ภัทรโกศล</t>
  </si>
  <si>
    <t xml:space="preserve">นางสาว นัทธมน </t>
  </si>
  <si>
    <t xml:space="preserve">หาญศักดิ์ </t>
  </si>
  <si>
    <t>นาย สุภณ</t>
  </si>
  <si>
    <t>พันชนะ</t>
  </si>
  <si>
    <t xml:space="preserve">นาง ณัฐมนตร์ </t>
  </si>
  <si>
    <t>สกุลชน</t>
  </si>
  <si>
    <t>พ่วงเสมา</t>
  </si>
  <si>
    <t xml:space="preserve">นิรภัย </t>
  </si>
  <si>
    <t xml:space="preserve">นาย ณพรัตน์ </t>
  </si>
  <si>
    <t>ประกอบศรีกุล</t>
  </si>
  <si>
    <t xml:space="preserve">พรรณศรี </t>
  </si>
  <si>
    <t xml:space="preserve">นางสาว สุมาลี </t>
  </si>
  <si>
    <t>รอรั้ง</t>
  </si>
  <si>
    <t>นางสาว สมหญิง</t>
  </si>
  <si>
    <t xml:space="preserve">ทับทิมศรี </t>
  </si>
  <si>
    <t>คุณล้าน</t>
  </si>
  <si>
    <t xml:space="preserve">นาย ไตรรัตน์ </t>
  </si>
  <si>
    <t>สุวรรณสิทธิ์</t>
  </si>
  <si>
    <t>นาง จำกัด</t>
  </si>
  <si>
    <t>ไกรพระเนาว์</t>
  </si>
  <si>
    <t>นาย ธนกิจ</t>
  </si>
  <si>
    <t>ทองทับ</t>
  </si>
  <si>
    <t xml:space="preserve">นาย วัฒวาทิตย์ </t>
  </si>
  <si>
    <t xml:space="preserve">ไชยแสนท้าว </t>
  </si>
  <si>
    <t>จันทรวิชญ์</t>
  </si>
  <si>
    <t>กังพานิช</t>
  </si>
  <si>
    <t>ศรีวงศ์แสง</t>
  </si>
  <si>
    <t>ช้างชนะ</t>
  </si>
  <si>
    <t>สลิลปราโมทย์</t>
  </si>
  <si>
    <t>นาย หนูจันทร์</t>
  </si>
  <si>
    <t>พันธ์สุวรรณ</t>
  </si>
  <si>
    <t>นาย ต่วน</t>
  </si>
  <si>
    <t>ละคำมา</t>
  </si>
  <si>
    <t xml:space="preserve">นาง สมจิตต์ </t>
  </si>
  <si>
    <t>รอบจังหวัด</t>
  </si>
  <si>
    <t>นาย ชะอุ่ม</t>
  </si>
  <si>
    <t>ทองไซร้</t>
  </si>
  <si>
    <t>นาย หล่อ</t>
  </si>
  <si>
    <t>สุขเนียม</t>
  </si>
  <si>
    <t>ถ้วยทอง</t>
  </si>
  <si>
    <t>นาย สิริยศ</t>
  </si>
  <si>
    <t>แก้วศรีสังข์</t>
  </si>
  <si>
    <t>นิลชาติ</t>
  </si>
  <si>
    <t>งามดี</t>
  </si>
  <si>
    <t>หลิมอัคระ</t>
  </si>
  <si>
    <t xml:space="preserve">เอี่ยมแดง </t>
  </si>
  <si>
    <t>นาง วรรณนา</t>
  </si>
  <si>
    <t>นิ่มนงค์</t>
  </si>
  <si>
    <t>แจ้งสว่าง</t>
  </si>
  <si>
    <t xml:space="preserve">เข้มมี </t>
  </si>
  <si>
    <t>รอดสุข</t>
  </si>
  <si>
    <t>นาง ไพรรัตน์</t>
  </si>
  <si>
    <t>ตัณฑศรีสุข</t>
  </si>
  <si>
    <t>นาย ปราณีต</t>
  </si>
  <si>
    <t>โตกระโทก</t>
  </si>
  <si>
    <t>แสนปลื้ม</t>
  </si>
  <si>
    <t>สันติพงษ์ไพบูลย์</t>
  </si>
  <si>
    <t xml:space="preserve">นาย นรภัทร </t>
  </si>
  <si>
    <t xml:space="preserve">ศรีษะนอก </t>
  </si>
  <si>
    <t xml:space="preserve">นางสาว นิสา </t>
  </si>
  <si>
    <t>ใจจันติ๊บ</t>
  </si>
  <si>
    <t xml:space="preserve">นาย ภูบดินทร์ </t>
  </si>
  <si>
    <t xml:space="preserve">จันนันโท </t>
  </si>
  <si>
    <t>นาย ทองยุทธ</t>
  </si>
  <si>
    <t>คำแปง</t>
  </si>
  <si>
    <t>เยี่ยงพฤกษาวัลย์</t>
  </si>
  <si>
    <t>นางสาว กนกกร</t>
  </si>
  <si>
    <t>ดิษฐาน</t>
  </si>
  <si>
    <t>นาย เมฆ</t>
  </si>
  <si>
    <t>หมื่นคำแปง</t>
  </si>
  <si>
    <t xml:space="preserve">นางสาว วิชุตา </t>
  </si>
  <si>
    <t xml:space="preserve">ต๊ะใจ </t>
  </si>
  <si>
    <t>นางสาว ปัทมาภรณ์</t>
  </si>
  <si>
    <t>นาย ลำพา</t>
  </si>
  <si>
    <t>จันตะเภา</t>
  </si>
  <si>
    <t xml:space="preserve">นาง วงเดือน </t>
  </si>
  <si>
    <t>วรภัฏ</t>
  </si>
  <si>
    <t>นางสาว จิดาภา</t>
  </si>
  <si>
    <t xml:space="preserve">ชาติสุทธิ </t>
  </si>
  <si>
    <t>โพธิ์สุวรรณ์</t>
  </si>
  <si>
    <t>วาสิกรัตน์</t>
  </si>
  <si>
    <t>นาง สายหยุด</t>
  </si>
  <si>
    <t>รอดประยูร</t>
  </si>
  <si>
    <t>นาง อรปรียาฏ์รัศ</t>
  </si>
  <si>
    <t>ผลเพิ่ม</t>
  </si>
  <si>
    <t xml:space="preserve">เสน่ห์ทอง </t>
  </si>
  <si>
    <t>นาย พงศ์สิทธิ์</t>
  </si>
  <si>
    <t xml:space="preserve">โขมะพัฒน์ </t>
  </si>
  <si>
    <t>นาคะสรรค์</t>
  </si>
  <si>
    <t>นาง จำรัส</t>
  </si>
  <si>
    <t>นาง ฉลอง</t>
  </si>
  <si>
    <t xml:space="preserve">นาย จีรพัฒน์ </t>
  </si>
  <si>
    <t>จูดคง</t>
  </si>
  <si>
    <t xml:space="preserve">นางสาว รัชณิกร </t>
  </si>
  <si>
    <t xml:space="preserve">สุทธินนท์ </t>
  </si>
  <si>
    <t>สว่างอารมย์</t>
  </si>
  <si>
    <t>นางสาว ศรีสกุล</t>
  </si>
  <si>
    <t>ทำดี</t>
  </si>
  <si>
    <t>นาง บุปผา</t>
  </si>
  <si>
    <t>นาย วีรพันธ์</t>
  </si>
  <si>
    <t>ทระปัญญา</t>
  </si>
  <si>
    <t>เจริญบวรศักดิ์</t>
  </si>
  <si>
    <t>นาย คมจักร</t>
  </si>
  <si>
    <t>หินมาลัย</t>
  </si>
  <si>
    <t>นาง ประกายดาว</t>
  </si>
  <si>
    <t>หมอเก่ง</t>
  </si>
  <si>
    <t xml:space="preserve">นาย สถิตย์ </t>
  </si>
  <si>
    <t xml:space="preserve">ศรีทอน </t>
  </si>
  <si>
    <t>กันตะบุตร</t>
  </si>
  <si>
    <t>กิตติสาร</t>
  </si>
  <si>
    <t>บุสสกร</t>
  </si>
  <si>
    <t>นาง ญาณิฐา</t>
  </si>
  <si>
    <t xml:space="preserve">ศรีมณี </t>
  </si>
  <si>
    <t>นาย สาด</t>
  </si>
  <si>
    <t>ทุกทิวา</t>
  </si>
  <si>
    <t>ตีเมืองสอง</t>
  </si>
  <si>
    <t>นาย ไพรวรรณ</t>
  </si>
  <si>
    <t>โลหะทิน</t>
  </si>
  <si>
    <t>จารย์เขื่อง</t>
  </si>
  <si>
    <t>นาย เหรียญชัย</t>
  </si>
  <si>
    <t>ศรีพันธ์</t>
  </si>
  <si>
    <t>ไชโยราช</t>
  </si>
  <si>
    <t>ภูก๊ก</t>
  </si>
  <si>
    <t>นาย ชัยญา</t>
  </si>
  <si>
    <t>นาย บุญเลี่ยม</t>
  </si>
  <si>
    <t>วิโรจน์จรัส</t>
  </si>
  <si>
    <t>นาย บุญจันทร์</t>
  </si>
  <si>
    <t>แสงสุรินทร์</t>
  </si>
  <si>
    <t>นาย สายดร</t>
  </si>
  <si>
    <t>อาษาศึก</t>
  </si>
  <si>
    <t>แก้วจอหอ</t>
  </si>
  <si>
    <t>ยวนแก้ว</t>
  </si>
  <si>
    <t>นาย สันต์ชัย</t>
  </si>
  <si>
    <t>ศีลพันธุ์</t>
  </si>
  <si>
    <t>สุระเสน</t>
  </si>
  <si>
    <t>กมลศิลป์</t>
  </si>
  <si>
    <t>เที่ยงบุญ</t>
  </si>
  <si>
    <t>นาย ประเสริฐชัย</t>
  </si>
  <si>
    <t>เสริมเปล่งศรี</t>
  </si>
  <si>
    <t>นาย คงเดช</t>
  </si>
  <si>
    <t>โสภากุล</t>
  </si>
  <si>
    <t>นางสาว สุดคนึง</t>
  </si>
  <si>
    <t>นางสาว คนึงนุช</t>
  </si>
  <si>
    <t>อุปพระจันทร์</t>
  </si>
  <si>
    <t xml:space="preserve">นาย วุฒิภัทร </t>
  </si>
  <si>
    <t xml:space="preserve">เพชรเสถียร </t>
  </si>
  <si>
    <t xml:space="preserve">นาย กิตติภพ </t>
  </si>
  <si>
    <t xml:space="preserve">หลานวงษ์ </t>
  </si>
  <si>
    <t>นาง เพชรัตน์</t>
  </si>
  <si>
    <t>นาย เดชณรงค์</t>
  </si>
  <si>
    <t>นาย ศาสตร์ตรา</t>
  </si>
  <si>
    <t>ภูคงกิ่ง</t>
  </si>
  <si>
    <t>ก้านก่อง</t>
  </si>
  <si>
    <t>นาย สมภักดิ์</t>
  </si>
  <si>
    <t>ภูพานเพชร</t>
  </si>
  <si>
    <t>ไพเราะ</t>
  </si>
  <si>
    <t>เรืองแสน</t>
  </si>
  <si>
    <t>นาย สุศักดิ์</t>
  </si>
  <si>
    <t>ไชยสิทธิ์</t>
  </si>
  <si>
    <t>นาย ฉันทลักษณ์</t>
  </si>
  <si>
    <t>ฆารไสว</t>
  </si>
  <si>
    <t>นาย รัตภูมิ</t>
  </si>
  <si>
    <t>บุญแก้ว</t>
  </si>
  <si>
    <t>นาง จุฬานุช</t>
  </si>
  <si>
    <t>นาย ไอศร</t>
  </si>
  <si>
    <t>คูณเหล็ก</t>
  </si>
  <si>
    <t>สำราญพงษ์</t>
  </si>
  <si>
    <t>ฆารบุญ</t>
  </si>
  <si>
    <t xml:space="preserve">สุนทรชัย </t>
  </si>
  <si>
    <t xml:space="preserve">นาง ชลิดา </t>
  </si>
  <si>
    <t>อ่อง</t>
  </si>
  <si>
    <t>ฟองคำ</t>
  </si>
  <si>
    <t>เกษามา</t>
  </si>
  <si>
    <t>นาง ขันทอง</t>
  </si>
  <si>
    <t>เครือสนธิ์</t>
  </si>
  <si>
    <t>กันทรักษ์</t>
  </si>
  <si>
    <t>อุตรศรี</t>
  </si>
  <si>
    <t>กัณฑเจตน์</t>
  </si>
  <si>
    <t>จิตเพียร</t>
  </si>
  <si>
    <t>เทพยศ</t>
  </si>
  <si>
    <t>นาย ธนิตย์</t>
  </si>
  <si>
    <t>อุ่นอก</t>
  </si>
  <si>
    <t xml:space="preserve">นาย วิมลชัย </t>
  </si>
  <si>
    <t xml:space="preserve">คำดอก </t>
  </si>
  <si>
    <t>เลาหล้า</t>
  </si>
  <si>
    <t xml:space="preserve">พวงซ้อน </t>
  </si>
  <si>
    <t>ประภัสโร</t>
  </si>
  <si>
    <t>ก้อนจันเทศ</t>
  </si>
  <si>
    <t>นาย นภัส</t>
  </si>
  <si>
    <t>ยิ้มกรุง</t>
  </si>
  <si>
    <t xml:space="preserve">นาย เกียรติภูมิ </t>
  </si>
  <si>
    <t xml:space="preserve">เฉลิมพีระโรจน์ </t>
  </si>
  <si>
    <t>นาย ดรัณ</t>
  </si>
  <si>
    <t>ฤทธิ์บัว</t>
  </si>
  <si>
    <t>ยอดจันดา</t>
  </si>
  <si>
    <t>นาย อ๊อด</t>
  </si>
  <si>
    <t>ผจญกล้า</t>
  </si>
  <si>
    <t>นาย เหลี่ยม</t>
  </si>
  <si>
    <t>โสนาพูน</t>
  </si>
  <si>
    <t>ปากประโคน</t>
  </si>
  <si>
    <t>สมุทรทอง</t>
  </si>
  <si>
    <t>นาย วิสูจน์</t>
  </si>
  <si>
    <t>ระบือนาม</t>
  </si>
  <si>
    <t>คำป้อม</t>
  </si>
  <si>
    <t>ถาบุตร</t>
  </si>
  <si>
    <t>เหล่าลุมพุก</t>
  </si>
  <si>
    <t>นาย อัศวิน</t>
  </si>
  <si>
    <t>นาง สุปรียา</t>
  </si>
  <si>
    <t>หงษ์โพธิ์</t>
  </si>
  <si>
    <t>นาย ฐานพัฒน์</t>
  </si>
  <si>
    <t>สุนทรกะลัมพ์</t>
  </si>
  <si>
    <t>นาง พิมพ์นิภา</t>
  </si>
  <si>
    <t xml:space="preserve">ศรีงามพชรสกุล            </t>
  </si>
  <si>
    <t xml:space="preserve">นาย สุรัตน์ </t>
  </si>
  <si>
    <t xml:space="preserve">ธาราทรัพย์ </t>
  </si>
  <si>
    <t>นาย สุขวัฒณ</t>
  </si>
  <si>
    <t>โค้วฮุด</t>
  </si>
  <si>
    <t>นาง กมลทิพย์</t>
  </si>
  <si>
    <t>ไชยา</t>
  </si>
  <si>
    <t xml:space="preserve">นาง นภาวรรณ </t>
  </si>
  <si>
    <t xml:space="preserve">สุจริง  </t>
  </si>
  <si>
    <t xml:space="preserve">นางสาว เกษศิณี </t>
  </si>
  <si>
    <t xml:space="preserve">ศรีไพร </t>
  </si>
  <si>
    <t>ทีโสดา</t>
  </si>
  <si>
    <t xml:space="preserve">สายยศ </t>
  </si>
  <si>
    <t xml:space="preserve">นางสาว รัฐธิภา </t>
  </si>
  <si>
    <t>ธนารักษ์</t>
  </si>
  <si>
    <t xml:space="preserve">บุญเต็ม </t>
  </si>
  <si>
    <t>จันวรรณ์</t>
  </si>
  <si>
    <t xml:space="preserve">จันเนียม </t>
  </si>
  <si>
    <t>ประยูรสุข</t>
  </si>
  <si>
    <t>นาย พีรวัส</t>
  </si>
  <si>
    <t>มาพริก</t>
  </si>
  <si>
    <t xml:space="preserve">เนตรสิงห์ </t>
  </si>
  <si>
    <t>นาง เสาวรินทร์</t>
  </si>
  <si>
    <t>ภักดีชน</t>
  </si>
  <si>
    <t>นาง รัชดาภรณ์</t>
  </si>
  <si>
    <t>สักมาส</t>
  </si>
  <si>
    <t>นาย เฉิมศักดิ์</t>
  </si>
  <si>
    <t>ขุนจัน</t>
  </si>
  <si>
    <t xml:space="preserve">นาย เสรี </t>
  </si>
  <si>
    <t xml:space="preserve">พลายด้วง </t>
  </si>
  <si>
    <t>นาย ฤกษ์</t>
  </si>
  <si>
    <t>ยอดคง</t>
  </si>
  <si>
    <t>นางสาว ศิรินธร</t>
  </si>
  <si>
    <t>คงประพฤติ</t>
  </si>
  <si>
    <t>บุญสุวรรณ์</t>
  </si>
  <si>
    <t>นาย โอรักษ์</t>
  </si>
  <si>
    <t>ทองเด็จ</t>
  </si>
  <si>
    <t>นางสาว มัทนีย์</t>
  </si>
  <si>
    <t>เม่งช่วย</t>
  </si>
  <si>
    <t xml:space="preserve">นางสาว บุษยรัตน์ </t>
  </si>
  <si>
    <t xml:space="preserve">หมอกมัว </t>
  </si>
  <si>
    <t xml:space="preserve">นาย ธานนท์ </t>
  </si>
  <si>
    <t>ดำประเสริฐ</t>
  </si>
  <si>
    <t>ธนสินนพวิชญ์</t>
  </si>
  <si>
    <t>นางสาว ปริญญา</t>
  </si>
  <si>
    <t>เชื้อชูชาติ</t>
  </si>
  <si>
    <t>จิรเสาวภาคย์</t>
  </si>
  <si>
    <t xml:space="preserve">ยุ่นกระโทก </t>
  </si>
  <si>
    <t>นางสาว สุจิรัตน์</t>
  </si>
  <si>
    <t xml:space="preserve">นาย ทวีวัฒน์ </t>
  </si>
  <si>
    <t>ไชยวีระ</t>
  </si>
  <si>
    <t>นาง ดาราพร</t>
  </si>
  <si>
    <t xml:space="preserve">โคกสูงเนิน </t>
  </si>
  <si>
    <t xml:space="preserve">นางสาว ภัทรรส </t>
  </si>
  <si>
    <t>ศักดิ์คำดวง</t>
  </si>
  <si>
    <t xml:space="preserve">นางสาว อุดมพร </t>
  </si>
  <si>
    <t xml:space="preserve">ใหม่เทวิน </t>
  </si>
  <si>
    <t xml:space="preserve">กลางท่าไค่ </t>
  </si>
  <si>
    <t>คุมพล</t>
  </si>
  <si>
    <t>ขัดแสง</t>
  </si>
  <si>
    <t xml:space="preserve">ปิ่นพงษ์ </t>
  </si>
  <si>
    <t>นางสาว รังสินี</t>
  </si>
  <si>
    <t>ประเสริฐวัฒนะ</t>
  </si>
  <si>
    <t>สุทธิฤทธิ์</t>
  </si>
  <si>
    <t>นาย ชูโชค</t>
  </si>
  <si>
    <t>นาย สุฤชา</t>
  </si>
  <si>
    <t>นางสาว พิมพ์ฤทัย</t>
  </si>
  <si>
    <t>ขัตติข่าย</t>
  </si>
  <si>
    <t>นาย บัณฑูร</t>
  </si>
  <si>
    <t>ชุนสิทธิ์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</si>
</sst>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160</v>
      </c>
      <c r="G2" t="s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2547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7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7">
      <c r="A2">
        <v>1</v>
      </c>
      <c r="B2" t="str">
        <f>"999999999"</f>
        <v>0</v>
      </c>
      <c r="C2" t="s">
        <v>19</v>
      </c>
      <c r="D2" t="s">
        <v>20</v>
      </c>
      <c r="E2" t="str">
        <f>"9999999999999"</f>
        <v>0</v>
      </c>
      <c r="F2" t="str">
        <f>""</f>
        <v>0</v>
      </c>
      <c r="G2" t="s">
        <v>21</v>
      </c>
    </row>
    <row r="3" spans="1:7">
      <c r="A3">
        <v>2</v>
      </c>
      <c r="B3" t="str">
        <f>"000037"</f>
        <v>0</v>
      </c>
      <c r="C3" t="s">
        <v>22</v>
      </c>
      <c r="D3" t="s">
        <v>23</v>
      </c>
      <c r="E3" t="str">
        <f>"3100502468754"</f>
        <v>0</v>
      </c>
      <c r="F3" t="str">
        <f>"000030"</f>
        <v>0</v>
      </c>
      <c r="G3" t="s">
        <v>21</v>
      </c>
    </row>
    <row r="4" spans="1:7">
      <c r="A4">
        <v>3</v>
      </c>
      <c r="B4" t="str">
        <f>"000091"</f>
        <v>0</v>
      </c>
      <c r="C4" t="s">
        <v>24</v>
      </c>
      <c r="D4" t="s">
        <v>25</v>
      </c>
      <c r="E4" t="str">
        <f>"3100602263348"</f>
        <v>0</v>
      </c>
      <c r="F4" t="str">
        <f>"000030"</f>
        <v>0</v>
      </c>
      <c r="G4" t="s">
        <v>21</v>
      </c>
    </row>
    <row r="5" spans="1:7">
      <c r="A5">
        <v>4</v>
      </c>
      <c r="B5" t="str">
        <f>"000154"</f>
        <v>0</v>
      </c>
      <c r="C5" t="s">
        <v>26</v>
      </c>
      <c r="D5" t="s">
        <v>27</v>
      </c>
      <c r="E5" t="str">
        <f>"3100502920410"</f>
        <v>0</v>
      </c>
      <c r="F5" t="str">
        <f>"000030"</f>
        <v>0</v>
      </c>
      <c r="G5" t="s">
        <v>21</v>
      </c>
    </row>
    <row r="6" spans="1:7">
      <c r="A6">
        <v>5</v>
      </c>
      <c r="B6" t="str">
        <f>"000175"</f>
        <v>0</v>
      </c>
      <c r="C6" t="s">
        <v>28</v>
      </c>
      <c r="D6" t="s">
        <v>29</v>
      </c>
      <c r="E6" t="str">
        <f>"3101800227934"</f>
        <v>0</v>
      </c>
      <c r="F6" t="str">
        <f>"000030"</f>
        <v>0</v>
      </c>
      <c r="G6" t="s">
        <v>21</v>
      </c>
    </row>
    <row r="7" spans="1:7">
      <c r="A7">
        <v>6</v>
      </c>
      <c r="B7" t="str">
        <f>"000181"</f>
        <v>0</v>
      </c>
      <c r="C7" t="s">
        <v>30</v>
      </c>
      <c r="D7" t="s">
        <v>31</v>
      </c>
      <c r="E7" t="str">
        <f>"3700800051163"</f>
        <v>0</v>
      </c>
      <c r="F7" t="str">
        <f>"000030"</f>
        <v>0</v>
      </c>
      <c r="G7" t="s">
        <v>21</v>
      </c>
    </row>
    <row r="8" spans="1:7">
      <c r="A8">
        <v>7</v>
      </c>
      <c r="B8" t="str">
        <f>"000192"</f>
        <v>0</v>
      </c>
      <c r="C8" t="s">
        <v>32</v>
      </c>
      <c r="D8" t="s">
        <v>33</v>
      </c>
      <c r="E8" t="str">
        <f>"3100905776970"</f>
        <v>0</v>
      </c>
      <c r="F8" t="str">
        <f>"000030"</f>
        <v>0</v>
      </c>
      <c r="G8" t="s">
        <v>21</v>
      </c>
    </row>
    <row r="9" spans="1:7">
      <c r="A9">
        <v>8</v>
      </c>
      <c r="B9" t="str">
        <f>"000198"</f>
        <v>0</v>
      </c>
      <c r="C9" t="s">
        <v>34</v>
      </c>
      <c r="D9" t="s">
        <v>35</v>
      </c>
      <c r="E9" t="str">
        <f>"3100200490145"</f>
        <v>0</v>
      </c>
      <c r="F9" t="str">
        <f>"000030"</f>
        <v>0</v>
      </c>
      <c r="G9" t="s">
        <v>21</v>
      </c>
    </row>
    <row r="10" spans="1:7">
      <c r="A10">
        <v>9</v>
      </c>
      <c r="B10" t="str">
        <f>"000206"</f>
        <v>0</v>
      </c>
      <c r="C10" t="s">
        <v>36</v>
      </c>
      <c r="D10" t="s">
        <v>37</v>
      </c>
      <c r="E10" t="str">
        <f>"3409900027117"</f>
        <v>0</v>
      </c>
      <c r="F10" t="str">
        <f>"000030"</f>
        <v>0</v>
      </c>
      <c r="G10" t="s">
        <v>21</v>
      </c>
    </row>
    <row r="11" spans="1:7">
      <c r="A11">
        <v>10</v>
      </c>
      <c r="B11" t="str">
        <f>"000233"</f>
        <v>0</v>
      </c>
      <c r="C11" t="s">
        <v>38</v>
      </c>
      <c r="D11" t="s">
        <v>39</v>
      </c>
      <c r="E11" t="str">
        <f>"3100500421009"</f>
        <v>0</v>
      </c>
      <c r="F11" t="str">
        <f>"000030"</f>
        <v>0</v>
      </c>
      <c r="G11" t="s">
        <v>21</v>
      </c>
    </row>
    <row r="12" spans="1:7">
      <c r="A12">
        <v>11</v>
      </c>
      <c r="B12" t="str">
        <f>"000251"</f>
        <v>0</v>
      </c>
      <c r="C12" t="s">
        <v>40</v>
      </c>
      <c r="D12" t="s">
        <v>41</v>
      </c>
      <c r="E12" t="str">
        <f>"3102100767414"</f>
        <v>0</v>
      </c>
      <c r="F12" t="str">
        <f>"000030"</f>
        <v>0</v>
      </c>
      <c r="G12" t="s">
        <v>21</v>
      </c>
    </row>
    <row r="13" spans="1:7">
      <c r="A13">
        <v>12</v>
      </c>
      <c r="B13" t="str">
        <f>"000260"</f>
        <v>0</v>
      </c>
      <c r="C13" t="s">
        <v>42</v>
      </c>
      <c r="D13" t="s">
        <v>43</v>
      </c>
      <c r="E13" t="str">
        <f>"3102201578129"</f>
        <v>0</v>
      </c>
      <c r="F13" t="str">
        <f>"000030"</f>
        <v>0</v>
      </c>
      <c r="G13" t="s">
        <v>21</v>
      </c>
    </row>
    <row r="14" spans="1:7">
      <c r="A14">
        <v>13</v>
      </c>
      <c r="B14" t="str">
        <f>"000314"</f>
        <v>0</v>
      </c>
      <c r="C14" t="s">
        <v>44</v>
      </c>
      <c r="D14" t="s">
        <v>45</v>
      </c>
      <c r="E14" t="str">
        <f>"3540500013381"</f>
        <v>0</v>
      </c>
      <c r="F14" t="str">
        <f>"000030"</f>
        <v>0</v>
      </c>
      <c r="G14" t="s">
        <v>21</v>
      </c>
    </row>
    <row r="15" spans="1:7">
      <c r="A15">
        <v>14</v>
      </c>
      <c r="B15" t="str">
        <f>"000372"</f>
        <v>0</v>
      </c>
      <c r="C15" t="s">
        <v>46</v>
      </c>
      <c r="D15" t="s">
        <v>47</v>
      </c>
      <c r="E15" t="str">
        <f>"3101500541455"</f>
        <v>0</v>
      </c>
      <c r="F15" t="str">
        <f>"000030"</f>
        <v>0</v>
      </c>
      <c r="G15" t="s">
        <v>21</v>
      </c>
    </row>
    <row r="16" spans="1:7">
      <c r="A16">
        <v>15</v>
      </c>
      <c r="B16" t="str">
        <f>"000556"</f>
        <v>0</v>
      </c>
      <c r="C16" t="s">
        <v>48</v>
      </c>
      <c r="D16" t="s">
        <v>49</v>
      </c>
      <c r="E16" t="str">
        <f>"3359900024887"</f>
        <v>0</v>
      </c>
      <c r="F16" t="str">
        <f>"000030"</f>
        <v>0</v>
      </c>
      <c r="G16" t="s">
        <v>21</v>
      </c>
    </row>
    <row r="17" spans="1:7">
      <c r="A17">
        <v>16</v>
      </c>
      <c r="B17" t="str">
        <f>"000625"</f>
        <v>0</v>
      </c>
      <c r="C17" t="s">
        <v>50</v>
      </c>
      <c r="D17" t="s">
        <v>51</v>
      </c>
      <c r="E17" t="str">
        <f>"3100200492938"</f>
        <v>0</v>
      </c>
      <c r="F17" t="str">
        <f>"000030"</f>
        <v>0</v>
      </c>
      <c r="G17" t="s">
        <v>21</v>
      </c>
    </row>
    <row r="18" spans="1:7">
      <c r="A18">
        <v>17</v>
      </c>
      <c r="B18" t="str">
        <f>"000779"</f>
        <v>0</v>
      </c>
      <c r="C18" t="s">
        <v>52</v>
      </c>
      <c r="D18" t="s">
        <v>53</v>
      </c>
      <c r="E18" t="str">
        <f>"3100600335244"</f>
        <v>0</v>
      </c>
      <c r="F18" t="str">
        <f>"000030"</f>
        <v>0</v>
      </c>
      <c r="G18" t="s">
        <v>21</v>
      </c>
    </row>
    <row r="19" spans="1:7">
      <c r="A19">
        <v>18</v>
      </c>
      <c r="B19" t="str">
        <f>"000861"</f>
        <v>0</v>
      </c>
      <c r="C19" t="s">
        <v>54</v>
      </c>
      <c r="D19" t="s">
        <v>55</v>
      </c>
      <c r="E19" t="str">
        <f>"3100904810643"</f>
        <v>0</v>
      </c>
      <c r="F19" t="str">
        <f>"000030"</f>
        <v>0</v>
      </c>
      <c r="G19" t="s">
        <v>21</v>
      </c>
    </row>
    <row r="20" spans="1:7">
      <c r="A20">
        <v>19</v>
      </c>
      <c r="B20" t="str">
        <f>"001048"</f>
        <v>0</v>
      </c>
      <c r="C20" t="s">
        <v>56</v>
      </c>
      <c r="D20" t="s">
        <v>57</v>
      </c>
      <c r="E20" t="str">
        <f>"4760100001137"</f>
        <v>0</v>
      </c>
      <c r="F20" t="str">
        <f>"000030"</f>
        <v>0</v>
      </c>
      <c r="G20" t="s">
        <v>21</v>
      </c>
    </row>
    <row r="21" spans="1:7">
      <c r="A21">
        <v>20</v>
      </c>
      <c r="B21" t="str">
        <f>"001094"</f>
        <v>0</v>
      </c>
      <c r="C21" t="s">
        <v>58</v>
      </c>
      <c r="D21" t="s">
        <v>59</v>
      </c>
      <c r="E21" t="str">
        <f>"3100202568567"</f>
        <v>0</v>
      </c>
      <c r="F21" t="str">
        <f>"000030"</f>
        <v>0</v>
      </c>
      <c r="G21" t="s">
        <v>21</v>
      </c>
    </row>
    <row r="22" spans="1:7">
      <c r="A22">
        <v>21</v>
      </c>
      <c r="B22" t="str">
        <f>"001119"</f>
        <v>0</v>
      </c>
      <c r="C22" t="s">
        <v>60</v>
      </c>
      <c r="D22" t="s">
        <v>61</v>
      </c>
      <c r="E22" t="str">
        <f>"3102201942092"</f>
        <v>0</v>
      </c>
      <c r="F22" t="str">
        <f>"000030"</f>
        <v>0</v>
      </c>
      <c r="G22" t="s">
        <v>21</v>
      </c>
    </row>
    <row r="23" spans="1:7">
      <c r="A23">
        <v>22</v>
      </c>
      <c r="B23" t="str">
        <f>"001137"</f>
        <v>0</v>
      </c>
      <c r="C23" t="s">
        <v>62</v>
      </c>
      <c r="D23" t="s">
        <v>63</v>
      </c>
      <c r="E23" t="str">
        <f>"4101400025372"</f>
        <v>0</v>
      </c>
      <c r="F23" t="str">
        <f>"000030"</f>
        <v>0</v>
      </c>
      <c r="G23" t="s">
        <v>21</v>
      </c>
    </row>
    <row r="24" spans="1:7">
      <c r="A24">
        <v>23</v>
      </c>
      <c r="B24" t="str">
        <f>"001153"</f>
        <v>0</v>
      </c>
      <c r="C24" t="s">
        <v>64</v>
      </c>
      <c r="D24" t="s">
        <v>65</v>
      </c>
      <c r="E24" t="str">
        <f>"3101701716112"</f>
        <v>0</v>
      </c>
      <c r="F24" t="str">
        <f>"000030"</f>
        <v>0</v>
      </c>
      <c r="G24" t="s">
        <v>21</v>
      </c>
    </row>
    <row r="25" spans="1:7">
      <c r="A25">
        <v>24</v>
      </c>
      <c r="B25" t="str">
        <f>"001205"</f>
        <v>0</v>
      </c>
      <c r="C25" t="s">
        <v>66</v>
      </c>
      <c r="D25" t="s">
        <v>67</v>
      </c>
      <c r="E25" t="str">
        <f>"3110400573826"</f>
        <v>0</v>
      </c>
      <c r="F25" t="str">
        <f>"000030"</f>
        <v>0</v>
      </c>
      <c r="G25" t="s">
        <v>21</v>
      </c>
    </row>
    <row r="26" spans="1:7">
      <c r="A26">
        <v>25</v>
      </c>
      <c r="B26" t="str">
        <f>"001329"</f>
        <v>0</v>
      </c>
      <c r="C26" t="s">
        <v>68</v>
      </c>
      <c r="D26" t="s">
        <v>69</v>
      </c>
      <c r="E26" t="str">
        <f>"3100202355857"</f>
        <v>0</v>
      </c>
      <c r="F26" t="str">
        <f>"000030"</f>
        <v>0</v>
      </c>
      <c r="G26" t="s">
        <v>21</v>
      </c>
    </row>
    <row r="27" spans="1:7">
      <c r="A27">
        <v>26</v>
      </c>
      <c r="B27" t="str">
        <f>"001416"</f>
        <v>0</v>
      </c>
      <c r="C27" t="s">
        <v>70</v>
      </c>
      <c r="D27" t="s">
        <v>71</v>
      </c>
      <c r="E27" t="str">
        <f>"3120600595891"</f>
        <v>0</v>
      </c>
      <c r="F27" t="str">
        <f>"000030"</f>
        <v>0</v>
      </c>
      <c r="G27" t="s">
        <v>21</v>
      </c>
    </row>
    <row r="28" spans="1:7">
      <c r="A28">
        <v>27</v>
      </c>
      <c r="B28" t="str">
        <f>"001419"</f>
        <v>0</v>
      </c>
      <c r="C28" t="s">
        <v>72</v>
      </c>
      <c r="D28" t="s">
        <v>73</v>
      </c>
      <c r="E28" t="str">
        <f>"3100903617416"</f>
        <v>0</v>
      </c>
      <c r="F28" t="str">
        <f>"000030"</f>
        <v>0</v>
      </c>
      <c r="G28" t="s">
        <v>21</v>
      </c>
    </row>
    <row r="29" spans="1:7">
      <c r="A29">
        <v>28</v>
      </c>
      <c r="B29" t="str">
        <f>"001515"</f>
        <v>0</v>
      </c>
      <c r="C29" t="s">
        <v>74</v>
      </c>
      <c r="D29" t="s">
        <v>75</v>
      </c>
      <c r="E29" t="str">
        <f>"3100900039004"</f>
        <v>0</v>
      </c>
      <c r="F29" t="str">
        <f>"000030"</f>
        <v>0</v>
      </c>
      <c r="G29" t="s">
        <v>21</v>
      </c>
    </row>
    <row r="30" spans="1:7">
      <c r="A30">
        <v>29</v>
      </c>
      <c r="B30" t="str">
        <f>"001552"</f>
        <v>0</v>
      </c>
      <c r="C30" t="s">
        <v>76</v>
      </c>
      <c r="D30" t="s">
        <v>77</v>
      </c>
      <c r="E30" t="str">
        <f>"3530800067991"</f>
        <v>0</v>
      </c>
      <c r="F30" t="str">
        <f>"000030"</f>
        <v>0</v>
      </c>
      <c r="G30" t="s">
        <v>21</v>
      </c>
    </row>
    <row r="31" spans="1:7">
      <c r="A31">
        <v>30</v>
      </c>
      <c r="B31" t="str">
        <f>"001594"</f>
        <v>0</v>
      </c>
      <c r="C31" t="s">
        <v>78</v>
      </c>
      <c r="D31" t="s">
        <v>79</v>
      </c>
      <c r="E31" t="str">
        <f>"3102101208494"</f>
        <v>0</v>
      </c>
      <c r="F31" t="str">
        <f>"000030"</f>
        <v>0</v>
      </c>
      <c r="G31" t="s">
        <v>21</v>
      </c>
    </row>
    <row r="32" spans="1:7">
      <c r="A32">
        <v>31</v>
      </c>
      <c r="B32" t="str">
        <f>"001666"</f>
        <v>0</v>
      </c>
      <c r="C32" t="s">
        <v>80</v>
      </c>
      <c r="D32" t="s">
        <v>81</v>
      </c>
      <c r="E32" t="str">
        <f>"5101700047272"</f>
        <v>0</v>
      </c>
      <c r="F32" t="str">
        <f>"000030"</f>
        <v>0</v>
      </c>
      <c r="G32" t="s">
        <v>21</v>
      </c>
    </row>
    <row r="33" spans="1:7">
      <c r="A33">
        <v>32</v>
      </c>
      <c r="B33" t="str">
        <f>"001730"</f>
        <v>0</v>
      </c>
      <c r="C33" t="s">
        <v>82</v>
      </c>
      <c r="D33" t="s">
        <v>83</v>
      </c>
      <c r="E33" t="str">
        <f>"3959900457907"</f>
        <v>0</v>
      </c>
      <c r="F33" t="str">
        <f>"000030"</f>
        <v>0</v>
      </c>
      <c r="G33" t="s">
        <v>21</v>
      </c>
    </row>
    <row r="34" spans="1:7">
      <c r="A34">
        <v>33</v>
      </c>
      <c r="B34" t="str">
        <f>"001753"</f>
        <v>0</v>
      </c>
      <c r="C34" t="s">
        <v>84</v>
      </c>
      <c r="D34" t="s">
        <v>85</v>
      </c>
      <c r="E34" t="str">
        <f>"3120200434024"</f>
        <v>0</v>
      </c>
      <c r="F34" t="str">
        <f>"000030"</f>
        <v>0</v>
      </c>
      <c r="G34" t="s">
        <v>21</v>
      </c>
    </row>
    <row r="35" spans="1:7">
      <c r="A35">
        <v>34</v>
      </c>
      <c r="B35" t="str">
        <f>"001765"</f>
        <v>0</v>
      </c>
      <c r="C35" t="s">
        <v>86</v>
      </c>
      <c r="D35" t="s">
        <v>87</v>
      </c>
      <c r="E35" t="str">
        <f>"3100902177111"</f>
        <v>0</v>
      </c>
      <c r="F35" t="str">
        <f>"000030"</f>
        <v>0</v>
      </c>
      <c r="G35" t="s">
        <v>21</v>
      </c>
    </row>
    <row r="36" spans="1:7">
      <c r="A36">
        <v>35</v>
      </c>
      <c r="B36" t="str">
        <f>"001843"</f>
        <v>0</v>
      </c>
      <c r="C36" t="s">
        <v>88</v>
      </c>
      <c r="D36" t="s">
        <v>89</v>
      </c>
      <c r="E36" t="str">
        <f>"3759900025529"</f>
        <v>0</v>
      </c>
      <c r="F36" t="str">
        <f>"000030"</f>
        <v>0</v>
      </c>
      <c r="G36" t="s">
        <v>21</v>
      </c>
    </row>
    <row r="37" spans="1:7">
      <c r="A37">
        <v>36</v>
      </c>
      <c r="B37" t="str">
        <f>"001884"</f>
        <v>0</v>
      </c>
      <c r="C37" t="s">
        <v>90</v>
      </c>
      <c r="D37" t="s">
        <v>91</v>
      </c>
      <c r="E37" t="str">
        <f>"3100905646430"</f>
        <v>0</v>
      </c>
      <c r="F37" t="str">
        <f>"000030"</f>
        <v>0</v>
      </c>
      <c r="G37" t="s">
        <v>21</v>
      </c>
    </row>
    <row r="38" spans="1:7">
      <c r="A38">
        <v>37</v>
      </c>
      <c r="B38" t="str">
        <f>"001895"</f>
        <v>0</v>
      </c>
      <c r="C38" t="s">
        <v>92</v>
      </c>
      <c r="D38" t="s">
        <v>93</v>
      </c>
      <c r="E38" t="str">
        <f>"3100903616941"</f>
        <v>0</v>
      </c>
      <c r="F38" t="str">
        <f>"000030"</f>
        <v>0</v>
      </c>
      <c r="G38" t="s">
        <v>21</v>
      </c>
    </row>
    <row r="39" spans="1:7">
      <c r="A39">
        <v>38</v>
      </c>
      <c r="B39" t="str">
        <f>"001974"</f>
        <v>0</v>
      </c>
      <c r="C39" t="s">
        <v>94</v>
      </c>
      <c r="D39" t="s">
        <v>95</v>
      </c>
      <c r="E39" t="str">
        <f>"3130300048266"</f>
        <v>0</v>
      </c>
      <c r="F39" t="str">
        <f>"000030"</f>
        <v>0</v>
      </c>
      <c r="G39" t="s">
        <v>21</v>
      </c>
    </row>
    <row r="40" spans="1:7">
      <c r="A40">
        <v>39</v>
      </c>
      <c r="B40" t="str">
        <f>"001987"</f>
        <v>0</v>
      </c>
      <c r="C40" t="s">
        <v>96</v>
      </c>
      <c r="D40" t="s">
        <v>97</v>
      </c>
      <c r="E40" t="str">
        <f>"3120100505434"</f>
        <v>0</v>
      </c>
      <c r="F40" t="str">
        <f>"000030"</f>
        <v>0</v>
      </c>
      <c r="G40" t="s">
        <v>21</v>
      </c>
    </row>
    <row r="41" spans="1:7">
      <c r="A41">
        <v>40</v>
      </c>
      <c r="B41" t="str">
        <f>"002043"</f>
        <v>0</v>
      </c>
      <c r="C41" t="s">
        <v>98</v>
      </c>
      <c r="D41" t="s">
        <v>99</v>
      </c>
      <c r="E41" t="str">
        <f>"3100100904444"</f>
        <v>0</v>
      </c>
      <c r="F41" t="str">
        <f>"000030"</f>
        <v>0</v>
      </c>
      <c r="G41" t="s">
        <v>21</v>
      </c>
    </row>
    <row r="42" spans="1:7">
      <c r="A42">
        <v>41</v>
      </c>
      <c r="B42" t="str">
        <f>"002046"</f>
        <v>0</v>
      </c>
      <c r="C42" t="s">
        <v>100</v>
      </c>
      <c r="D42" t="s">
        <v>101</v>
      </c>
      <c r="E42" t="str">
        <f>"3100602051626"</f>
        <v>0</v>
      </c>
      <c r="F42" t="str">
        <f>"000030"</f>
        <v>0</v>
      </c>
      <c r="G42" t="s">
        <v>21</v>
      </c>
    </row>
    <row r="43" spans="1:7">
      <c r="A43">
        <v>42</v>
      </c>
      <c r="B43" t="str">
        <f>"002082"</f>
        <v>0</v>
      </c>
      <c r="C43" t="s">
        <v>102</v>
      </c>
      <c r="D43" t="s">
        <v>103</v>
      </c>
      <c r="E43" t="str">
        <f>"3100100438141"</f>
        <v>0</v>
      </c>
      <c r="F43" t="str">
        <f>"000030"</f>
        <v>0</v>
      </c>
      <c r="G43" t="s">
        <v>21</v>
      </c>
    </row>
    <row r="44" spans="1:7">
      <c r="A44">
        <v>43</v>
      </c>
      <c r="B44" t="str">
        <f>"002098"</f>
        <v>0</v>
      </c>
      <c r="C44" t="s">
        <v>104</v>
      </c>
      <c r="D44" t="s">
        <v>105</v>
      </c>
      <c r="E44" t="str">
        <f>"3100100904819"</f>
        <v>0</v>
      </c>
      <c r="F44" t="str">
        <f>"000030"</f>
        <v>0</v>
      </c>
      <c r="G44" t="s">
        <v>21</v>
      </c>
    </row>
    <row r="45" spans="1:7">
      <c r="A45">
        <v>44</v>
      </c>
      <c r="B45" t="str">
        <f>"002111"</f>
        <v>0</v>
      </c>
      <c r="C45" t="s">
        <v>106</v>
      </c>
      <c r="D45" t="s">
        <v>107</v>
      </c>
      <c r="E45" t="str">
        <f>"3809900556141"</f>
        <v>0</v>
      </c>
      <c r="F45" t="str">
        <f>"000030"</f>
        <v>0</v>
      </c>
      <c r="G45" t="s">
        <v>21</v>
      </c>
    </row>
    <row r="46" spans="1:7">
      <c r="A46">
        <v>45</v>
      </c>
      <c r="B46" t="str">
        <f>"002176"</f>
        <v>0</v>
      </c>
      <c r="C46" t="s">
        <v>108</v>
      </c>
      <c r="D46" t="s">
        <v>109</v>
      </c>
      <c r="E46" t="str">
        <f>"3100501402687"</f>
        <v>0</v>
      </c>
      <c r="F46" t="str">
        <f>"000030"</f>
        <v>0</v>
      </c>
      <c r="G46" t="s">
        <v>21</v>
      </c>
    </row>
    <row r="47" spans="1:7">
      <c r="A47">
        <v>46</v>
      </c>
      <c r="B47" t="str">
        <f>"002208"</f>
        <v>0</v>
      </c>
      <c r="C47" t="s">
        <v>110</v>
      </c>
      <c r="D47" t="s">
        <v>111</v>
      </c>
      <c r="E47" t="str">
        <f>"3249900057484"</f>
        <v>0</v>
      </c>
      <c r="F47" t="str">
        <f>"000030"</f>
        <v>0</v>
      </c>
      <c r="G47" t="s">
        <v>21</v>
      </c>
    </row>
    <row r="48" spans="1:7">
      <c r="A48">
        <v>47</v>
      </c>
      <c r="B48" t="str">
        <f>"002327"</f>
        <v>0</v>
      </c>
      <c r="C48" t="s">
        <v>112</v>
      </c>
      <c r="D48" t="s">
        <v>113</v>
      </c>
      <c r="E48" t="str">
        <f>"3102400881271"</f>
        <v>0</v>
      </c>
      <c r="F48" t="str">
        <f>"000030"</f>
        <v>0</v>
      </c>
      <c r="G48" t="s">
        <v>21</v>
      </c>
    </row>
    <row r="49" spans="1:7">
      <c r="A49">
        <v>48</v>
      </c>
      <c r="B49" t="str">
        <f>"002331"</f>
        <v>0</v>
      </c>
      <c r="C49" t="s">
        <v>114</v>
      </c>
      <c r="D49" t="s">
        <v>115</v>
      </c>
      <c r="E49" t="str">
        <f>"3100200512777"</f>
        <v>0</v>
      </c>
      <c r="F49" t="str">
        <f>"000030"</f>
        <v>0</v>
      </c>
      <c r="G49" t="s">
        <v>21</v>
      </c>
    </row>
    <row r="50" spans="1:7">
      <c r="A50">
        <v>49</v>
      </c>
      <c r="B50" t="str">
        <f>"002471"</f>
        <v>0</v>
      </c>
      <c r="C50" t="s">
        <v>116</v>
      </c>
      <c r="D50" t="s">
        <v>117</v>
      </c>
      <c r="E50" t="str">
        <f>"3102400407278"</f>
        <v>0</v>
      </c>
      <c r="F50" t="str">
        <f>"000030"</f>
        <v>0</v>
      </c>
      <c r="G50" t="s">
        <v>21</v>
      </c>
    </row>
    <row r="51" spans="1:7">
      <c r="A51">
        <v>50</v>
      </c>
      <c r="B51" t="str">
        <f>"002596"</f>
        <v>0</v>
      </c>
      <c r="C51" t="s">
        <v>118</v>
      </c>
      <c r="D51" t="s">
        <v>119</v>
      </c>
      <c r="E51" t="str">
        <f>"3251200085801"</f>
        <v>0</v>
      </c>
      <c r="F51" t="str">
        <f>"000030"</f>
        <v>0</v>
      </c>
      <c r="G51" t="s">
        <v>21</v>
      </c>
    </row>
    <row r="52" spans="1:7">
      <c r="A52">
        <v>51</v>
      </c>
      <c r="B52" t="str">
        <f>"002624"</f>
        <v>0</v>
      </c>
      <c r="C52" t="s">
        <v>120</v>
      </c>
      <c r="D52" t="s">
        <v>121</v>
      </c>
      <c r="E52" t="str">
        <f>"3101501929848"</f>
        <v>0</v>
      </c>
      <c r="F52" t="str">
        <f>"000030"</f>
        <v>0</v>
      </c>
      <c r="G52" t="s">
        <v>21</v>
      </c>
    </row>
    <row r="53" spans="1:7">
      <c r="A53">
        <v>52</v>
      </c>
      <c r="B53" t="str">
        <f>"002643"</f>
        <v>0</v>
      </c>
      <c r="C53" t="s">
        <v>122</v>
      </c>
      <c r="D53" t="s">
        <v>123</v>
      </c>
      <c r="E53" t="str">
        <f>"3189900077214"</f>
        <v>0</v>
      </c>
      <c r="F53" t="str">
        <f>"000030"</f>
        <v>0</v>
      </c>
      <c r="G53" t="s">
        <v>21</v>
      </c>
    </row>
    <row r="54" spans="1:7">
      <c r="A54">
        <v>53</v>
      </c>
      <c r="B54" t="str">
        <f>"002694"</f>
        <v>0</v>
      </c>
      <c r="C54" t="s">
        <v>124</v>
      </c>
      <c r="D54" t="s">
        <v>125</v>
      </c>
      <c r="E54" t="str">
        <f>"3100203617138"</f>
        <v>0</v>
      </c>
      <c r="F54" t="str">
        <f>"000030"</f>
        <v>0</v>
      </c>
      <c r="G54" t="s">
        <v>21</v>
      </c>
    </row>
    <row r="55" spans="1:7">
      <c r="A55">
        <v>54</v>
      </c>
      <c r="B55" t="str">
        <f>"002784"</f>
        <v>0</v>
      </c>
      <c r="C55" t="s">
        <v>126</v>
      </c>
      <c r="D55" t="s">
        <v>127</v>
      </c>
      <c r="E55" t="str">
        <f>"3120200181223"</f>
        <v>0</v>
      </c>
      <c r="F55" t="str">
        <f>"000030"</f>
        <v>0</v>
      </c>
      <c r="G55" t="s">
        <v>21</v>
      </c>
    </row>
    <row r="56" spans="1:7">
      <c r="A56">
        <v>55</v>
      </c>
      <c r="B56" t="str">
        <f>"002787"</f>
        <v>0</v>
      </c>
      <c r="C56" t="s">
        <v>128</v>
      </c>
      <c r="D56" t="s">
        <v>129</v>
      </c>
      <c r="E56" t="str">
        <f>"3100600521617"</f>
        <v>0</v>
      </c>
      <c r="F56" t="str">
        <f>"000030"</f>
        <v>0</v>
      </c>
      <c r="G56" t="s">
        <v>21</v>
      </c>
    </row>
    <row r="57" spans="1:7">
      <c r="A57">
        <v>56</v>
      </c>
      <c r="B57" t="str">
        <f>"002925"</f>
        <v>0</v>
      </c>
      <c r="C57" t="s">
        <v>130</v>
      </c>
      <c r="D57" t="s">
        <v>131</v>
      </c>
      <c r="E57" t="str">
        <f>"3801500064341"</f>
        <v>0</v>
      </c>
      <c r="F57" t="str">
        <f>"000030"</f>
        <v>0</v>
      </c>
      <c r="G57" t="s">
        <v>21</v>
      </c>
    </row>
    <row r="58" spans="1:7">
      <c r="A58">
        <v>57</v>
      </c>
      <c r="B58" t="str">
        <f>"002949"</f>
        <v>0</v>
      </c>
      <c r="C58" t="s">
        <v>132</v>
      </c>
      <c r="D58" t="s">
        <v>133</v>
      </c>
      <c r="E58" t="str">
        <f>"3100602836704"</f>
        <v>0</v>
      </c>
      <c r="F58" t="str">
        <f>"000030"</f>
        <v>0</v>
      </c>
      <c r="G58" t="s">
        <v>21</v>
      </c>
    </row>
    <row r="59" spans="1:7">
      <c r="A59">
        <v>58</v>
      </c>
      <c r="B59" t="str">
        <f>"002951"</f>
        <v>0</v>
      </c>
      <c r="C59" t="s">
        <v>134</v>
      </c>
      <c r="D59" t="s">
        <v>135</v>
      </c>
      <c r="E59" t="str">
        <f>"3100601892694"</f>
        <v>0</v>
      </c>
      <c r="F59" t="str">
        <f>"000030"</f>
        <v>0</v>
      </c>
      <c r="G59" t="s">
        <v>21</v>
      </c>
    </row>
    <row r="60" spans="1:7">
      <c r="A60">
        <v>59</v>
      </c>
      <c r="B60" t="str">
        <f>"002954"</f>
        <v>0</v>
      </c>
      <c r="C60" t="s">
        <v>136</v>
      </c>
      <c r="D60" t="s">
        <v>137</v>
      </c>
      <c r="E60" t="str">
        <f>"3469900082355"</f>
        <v>0</v>
      </c>
      <c r="F60" t="str">
        <f>"000030"</f>
        <v>0</v>
      </c>
      <c r="G60" t="s">
        <v>21</v>
      </c>
    </row>
    <row r="61" spans="1:7">
      <c r="A61">
        <v>60</v>
      </c>
      <c r="B61" t="str">
        <f>"003013"</f>
        <v>0</v>
      </c>
      <c r="C61" t="s">
        <v>138</v>
      </c>
      <c r="D61" t="s">
        <v>139</v>
      </c>
      <c r="E61" t="str">
        <f>"3100600631561"</f>
        <v>0</v>
      </c>
      <c r="F61" t="str">
        <f>"000030"</f>
        <v>0</v>
      </c>
      <c r="G61" t="s">
        <v>21</v>
      </c>
    </row>
    <row r="62" spans="1:7">
      <c r="A62">
        <v>61</v>
      </c>
      <c r="B62" t="str">
        <f>"003021"</f>
        <v>0</v>
      </c>
      <c r="C62" t="s">
        <v>140</v>
      </c>
      <c r="D62" t="s">
        <v>141</v>
      </c>
      <c r="E62" t="str">
        <f>"3200200331755"</f>
        <v>0</v>
      </c>
      <c r="F62" t="str">
        <f>"000030"</f>
        <v>0</v>
      </c>
      <c r="G62" t="s">
        <v>21</v>
      </c>
    </row>
    <row r="63" spans="1:7">
      <c r="A63">
        <v>62</v>
      </c>
      <c r="B63" t="str">
        <f>"003038"</f>
        <v>0</v>
      </c>
      <c r="C63" t="s">
        <v>142</v>
      </c>
      <c r="D63" t="s">
        <v>143</v>
      </c>
      <c r="E63" t="str">
        <f>"3101900086607"</f>
        <v>0</v>
      </c>
      <c r="F63" t="str">
        <f>"000030"</f>
        <v>0</v>
      </c>
      <c r="G63" t="s">
        <v>21</v>
      </c>
    </row>
    <row r="64" spans="1:7">
      <c r="A64">
        <v>63</v>
      </c>
      <c r="B64" t="str">
        <f>"003051"</f>
        <v>0</v>
      </c>
      <c r="C64" t="s">
        <v>144</v>
      </c>
      <c r="D64" t="s">
        <v>145</v>
      </c>
      <c r="E64" t="str">
        <f>"3720100108014"</f>
        <v>0</v>
      </c>
      <c r="F64" t="str">
        <f>"000030"</f>
        <v>0</v>
      </c>
      <c r="G64" t="s">
        <v>21</v>
      </c>
    </row>
    <row r="65" spans="1:7">
      <c r="A65">
        <v>64</v>
      </c>
      <c r="B65" t="str">
        <f>"003175"</f>
        <v>0</v>
      </c>
      <c r="C65" t="s">
        <v>146</v>
      </c>
      <c r="D65" t="s">
        <v>147</v>
      </c>
      <c r="E65" t="str">
        <f>"3101201170439"</f>
        <v>0</v>
      </c>
      <c r="F65" t="str">
        <f>"000030"</f>
        <v>0</v>
      </c>
      <c r="G65" t="s">
        <v>21</v>
      </c>
    </row>
    <row r="66" spans="1:7">
      <c r="A66">
        <v>65</v>
      </c>
      <c r="B66" t="str">
        <f>"003262"</f>
        <v>0</v>
      </c>
      <c r="C66" t="s">
        <v>148</v>
      </c>
      <c r="D66" t="s">
        <v>149</v>
      </c>
      <c r="E66" t="str">
        <f>"3101200953481"</f>
        <v>0</v>
      </c>
      <c r="F66" t="str">
        <f>"000030"</f>
        <v>0</v>
      </c>
      <c r="G66" t="s">
        <v>21</v>
      </c>
    </row>
    <row r="67" spans="1:7">
      <c r="A67">
        <v>66</v>
      </c>
      <c r="B67" t="str">
        <f>"003297"</f>
        <v>0</v>
      </c>
      <c r="C67" t="s">
        <v>150</v>
      </c>
      <c r="D67" t="s">
        <v>151</v>
      </c>
      <c r="E67" t="str">
        <f>"3240100217888"</f>
        <v>0</v>
      </c>
      <c r="F67" t="str">
        <f>"000030"</f>
        <v>0</v>
      </c>
      <c r="G67" t="s">
        <v>21</v>
      </c>
    </row>
    <row r="68" spans="1:7">
      <c r="A68">
        <v>67</v>
      </c>
      <c r="B68" t="str">
        <f>"003333"</f>
        <v>0</v>
      </c>
      <c r="C68" t="s">
        <v>152</v>
      </c>
      <c r="D68" t="s">
        <v>153</v>
      </c>
      <c r="E68" t="str">
        <f>"3100202684303"</f>
        <v>0</v>
      </c>
      <c r="F68" t="str">
        <f>"000030"</f>
        <v>0</v>
      </c>
      <c r="G68" t="s">
        <v>21</v>
      </c>
    </row>
    <row r="69" spans="1:7">
      <c r="A69">
        <v>68</v>
      </c>
      <c r="B69" t="str">
        <f>"003363"</f>
        <v>0</v>
      </c>
      <c r="C69" t="s">
        <v>154</v>
      </c>
      <c r="D69" t="s">
        <v>155</v>
      </c>
      <c r="E69" t="str">
        <f>"3199700026551"</f>
        <v>0</v>
      </c>
      <c r="F69" t="str">
        <f>"000030"</f>
        <v>0</v>
      </c>
      <c r="G69" t="s">
        <v>21</v>
      </c>
    </row>
    <row r="70" spans="1:7">
      <c r="A70">
        <v>69</v>
      </c>
      <c r="B70" t="str">
        <f>"003364"</f>
        <v>0</v>
      </c>
      <c r="C70" t="s">
        <v>156</v>
      </c>
      <c r="D70" t="s">
        <v>157</v>
      </c>
      <c r="E70" t="str">
        <f>"3102100182343"</f>
        <v>0</v>
      </c>
      <c r="F70" t="str">
        <f>"000030"</f>
        <v>0</v>
      </c>
      <c r="G70" t="s">
        <v>21</v>
      </c>
    </row>
    <row r="71" spans="1:7">
      <c r="A71">
        <v>70</v>
      </c>
      <c r="B71" t="str">
        <f>"003388"</f>
        <v>0</v>
      </c>
      <c r="C71" t="s">
        <v>158</v>
      </c>
      <c r="D71" t="s">
        <v>159</v>
      </c>
      <c r="E71" t="str">
        <f>"3102101842011"</f>
        <v>0</v>
      </c>
      <c r="F71" t="str">
        <f>"000030"</f>
        <v>0</v>
      </c>
      <c r="G71" t="s">
        <v>21</v>
      </c>
    </row>
    <row r="72" spans="1:7">
      <c r="A72">
        <v>71</v>
      </c>
      <c r="B72" t="str">
        <f>"003404"</f>
        <v>0</v>
      </c>
      <c r="C72" t="s">
        <v>160</v>
      </c>
      <c r="D72" t="s">
        <v>161</v>
      </c>
      <c r="E72" t="str">
        <f>"3100503100068"</f>
        <v>0</v>
      </c>
      <c r="F72" t="str">
        <f>"000030"</f>
        <v>0</v>
      </c>
      <c r="G72" t="s">
        <v>21</v>
      </c>
    </row>
    <row r="73" spans="1:7">
      <c r="A73">
        <v>72</v>
      </c>
      <c r="B73" t="str">
        <f>"003477"</f>
        <v>0</v>
      </c>
      <c r="C73" t="s">
        <v>162</v>
      </c>
      <c r="D73" t="s">
        <v>163</v>
      </c>
      <c r="E73" t="str">
        <f>"3100600895215"</f>
        <v>0</v>
      </c>
      <c r="F73" t="str">
        <f>"000030"</f>
        <v>0</v>
      </c>
      <c r="G73" t="s">
        <v>21</v>
      </c>
    </row>
    <row r="74" spans="1:7">
      <c r="A74">
        <v>73</v>
      </c>
      <c r="B74" t="str">
        <f>"003523"</f>
        <v>0</v>
      </c>
      <c r="C74" t="s">
        <v>156</v>
      </c>
      <c r="D74" t="s">
        <v>164</v>
      </c>
      <c r="E74" t="str">
        <f>"3520100162037"</f>
        <v>0</v>
      </c>
      <c r="F74" t="str">
        <f>"000030"</f>
        <v>0</v>
      </c>
      <c r="G74" t="s">
        <v>21</v>
      </c>
    </row>
    <row r="75" spans="1:7">
      <c r="A75">
        <v>74</v>
      </c>
      <c r="B75" t="str">
        <f>"003531"</f>
        <v>0</v>
      </c>
      <c r="C75" t="s">
        <v>165</v>
      </c>
      <c r="D75" t="s">
        <v>166</v>
      </c>
      <c r="E75" t="str">
        <f>"3100502178896"</f>
        <v>0</v>
      </c>
      <c r="F75" t="str">
        <f>"000030"</f>
        <v>0</v>
      </c>
      <c r="G75" t="s">
        <v>21</v>
      </c>
    </row>
    <row r="76" spans="1:7">
      <c r="A76">
        <v>75</v>
      </c>
      <c r="B76" t="str">
        <f>"003682"</f>
        <v>0</v>
      </c>
      <c r="C76" t="s">
        <v>167</v>
      </c>
      <c r="D76" t="s">
        <v>168</v>
      </c>
      <c r="E76" t="str">
        <f>"3100503135856"</f>
        <v>0</v>
      </c>
      <c r="F76" t="str">
        <f>"000030"</f>
        <v>0</v>
      </c>
      <c r="G76" t="s">
        <v>21</v>
      </c>
    </row>
    <row r="77" spans="1:7">
      <c r="A77">
        <v>76</v>
      </c>
      <c r="B77" t="str">
        <f>"003723"</f>
        <v>0</v>
      </c>
      <c r="C77" t="s">
        <v>169</v>
      </c>
      <c r="D77" t="s">
        <v>170</v>
      </c>
      <c r="E77" t="str">
        <f>"3710600105936"</f>
        <v>0</v>
      </c>
      <c r="F77" t="str">
        <f>"000030"</f>
        <v>0</v>
      </c>
      <c r="G77" t="s">
        <v>21</v>
      </c>
    </row>
    <row r="78" spans="1:7">
      <c r="A78">
        <v>77</v>
      </c>
      <c r="B78" t="str">
        <f>"003823"</f>
        <v>0</v>
      </c>
      <c r="C78" t="s">
        <v>171</v>
      </c>
      <c r="D78" t="s">
        <v>172</v>
      </c>
      <c r="E78" t="str">
        <f>"3100601477948"</f>
        <v>0</v>
      </c>
      <c r="F78" t="str">
        <f>"000030"</f>
        <v>0</v>
      </c>
      <c r="G78" t="s">
        <v>21</v>
      </c>
    </row>
    <row r="79" spans="1:7">
      <c r="A79">
        <v>78</v>
      </c>
      <c r="B79" t="str">
        <f>"003968"</f>
        <v>0</v>
      </c>
      <c r="C79" t="s">
        <v>173</v>
      </c>
      <c r="D79" t="s">
        <v>174</v>
      </c>
      <c r="E79" t="str">
        <f>"3100800693951"</f>
        <v>0</v>
      </c>
      <c r="F79" t="str">
        <f>"000030"</f>
        <v>0</v>
      </c>
      <c r="G79" t="s">
        <v>21</v>
      </c>
    </row>
    <row r="80" spans="1:7">
      <c r="A80">
        <v>79</v>
      </c>
      <c r="B80" t="str">
        <f>"004053"</f>
        <v>0</v>
      </c>
      <c r="C80" t="s">
        <v>175</v>
      </c>
      <c r="D80" t="s">
        <v>176</v>
      </c>
      <c r="E80" t="str">
        <f>"3100503033336"</f>
        <v>0</v>
      </c>
      <c r="F80" t="str">
        <f>"000030"</f>
        <v>0</v>
      </c>
      <c r="G80" t="s">
        <v>21</v>
      </c>
    </row>
    <row r="81" spans="1:7">
      <c r="A81">
        <v>80</v>
      </c>
      <c r="B81" t="str">
        <f>"004230"</f>
        <v>0</v>
      </c>
      <c r="C81" t="s">
        <v>62</v>
      </c>
      <c r="D81" t="s">
        <v>177</v>
      </c>
      <c r="E81" t="str">
        <f>"3100501539071"</f>
        <v>0</v>
      </c>
      <c r="F81" t="str">
        <f>"000030"</f>
        <v>0</v>
      </c>
      <c r="G81" t="s">
        <v>21</v>
      </c>
    </row>
    <row r="82" spans="1:7">
      <c r="A82">
        <v>81</v>
      </c>
      <c r="B82" t="str">
        <f>"004310"</f>
        <v>0</v>
      </c>
      <c r="C82" t="s">
        <v>178</v>
      </c>
      <c r="D82" t="s">
        <v>179</v>
      </c>
      <c r="E82" t="str">
        <f>"3100601009740"</f>
        <v>0</v>
      </c>
      <c r="F82" t="str">
        <f>"000030"</f>
        <v>0</v>
      </c>
      <c r="G82" t="s">
        <v>21</v>
      </c>
    </row>
    <row r="83" spans="1:7">
      <c r="A83">
        <v>82</v>
      </c>
      <c r="B83" t="str">
        <f>"004382"</f>
        <v>0</v>
      </c>
      <c r="C83" t="s">
        <v>126</v>
      </c>
      <c r="D83" t="s">
        <v>180</v>
      </c>
      <c r="E83" t="str">
        <f>"3102300166147"</f>
        <v>0</v>
      </c>
      <c r="F83" t="str">
        <f>"000030"</f>
        <v>0</v>
      </c>
      <c r="G83" t="s">
        <v>21</v>
      </c>
    </row>
    <row r="84" spans="1:7">
      <c r="A84">
        <v>83</v>
      </c>
      <c r="B84" t="str">
        <f>"004509"</f>
        <v>0</v>
      </c>
      <c r="C84" t="s">
        <v>181</v>
      </c>
      <c r="D84" t="s">
        <v>182</v>
      </c>
      <c r="E84" t="str">
        <f>"3102400360964"</f>
        <v>0</v>
      </c>
      <c r="F84" t="str">
        <f>"000030"</f>
        <v>0</v>
      </c>
      <c r="G84" t="s">
        <v>21</v>
      </c>
    </row>
    <row r="85" spans="1:7">
      <c r="A85">
        <v>84</v>
      </c>
      <c r="B85" t="str">
        <f>"004510"</f>
        <v>0</v>
      </c>
      <c r="C85" t="s">
        <v>183</v>
      </c>
      <c r="D85" t="s">
        <v>184</v>
      </c>
      <c r="E85" t="str">
        <f>"3100501540222"</f>
        <v>0</v>
      </c>
      <c r="F85" t="str">
        <f>"000030"</f>
        <v>0</v>
      </c>
      <c r="G85" t="s">
        <v>21</v>
      </c>
    </row>
    <row r="86" spans="1:7">
      <c r="A86">
        <v>85</v>
      </c>
      <c r="B86" t="str">
        <f>"004513"</f>
        <v>0</v>
      </c>
      <c r="C86" t="s">
        <v>185</v>
      </c>
      <c r="D86" t="s">
        <v>186</v>
      </c>
      <c r="E86" t="str">
        <f>"3102201398244"</f>
        <v>0</v>
      </c>
      <c r="F86" t="str">
        <f>"000030"</f>
        <v>0</v>
      </c>
      <c r="G86" t="s">
        <v>21</v>
      </c>
    </row>
    <row r="87" spans="1:7">
      <c r="A87">
        <v>86</v>
      </c>
      <c r="B87" t="str">
        <f>"004536"</f>
        <v>0</v>
      </c>
      <c r="C87" t="s">
        <v>187</v>
      </c>
      <c r="D87" t="s">
        <v>188</v>
      </c>
      <c r="E87" t="str">
        <f>"3100502485331"</f>
        <v>0</v>
      </c>
      <c r="F87" t="str">
        <f>"000030"</f>
        <v>0</v>
      </c>
      <c r="G87" t="s">
        <v>21</v>
      </c>
    </row>
    <row r="88" spans="1:7">
      <c r="A88">
        <v>87</v>
      </c>
      <c r="B88" t="str">
        <f>"004648"</f>
        <v>0</v>
      </c>
      <c r="C88" t="s">
        <v>189</v>
      </c>
      <c r="D88" t="s">
        <v>190</v>
      </c>
      <c r="E88" t="str">
        <f>"3120101884471"</f>
        <v>0</v>
      </c>
      <c r="F88" t="str">
        <f>"000030"</f>
        <v>0</v>
      </c>
      <c r="G88" t="s">
        <v>21</v>
      </c>
    </row>
    <row r="89" spans="1:7">
      <c r="A89">
        <v>88</v>
      </c>
      <c r="B89" t="str">
        <f>"004650"</f>
        <v>0</v>
      </c>
      <c r="C89" t="s">
        <v>191</v>
      </c>
      <c r="D89" t="s">
        <v>192</v>
      </c>
      <c r="E89" t="str">
        <f>"3509901464773"</f>
        <v>0</v>
      </c>
      <c r="F89" t="str">
        <f>"000030"</f>
        <v>0</v>
      </c>
      <c r="G89" t="s">
        <v>21</v>
      </c>
    </row>
    <row r="90" spans="1:7">
      <c r="A90">
        <v>89</v>
      </c>
      <c r="B90" t="str">
        <f>"004671"</f>
        <v>0</v>
      </c>
      <c r="C90" t="s">
        <v>193</v>
      </c>
      <c r="D90" t="s">
        <v>194</v>
      </c>
      <c r="E90" t="str">
        <f>"3100600387627"</f>
        <v>0</v>
      </c>
      <c r="F90" t="str">
        <f>"000030"</f>
        <v>0</v>
      </c>
      <c r="G90" t="s">
        <v>21</v>
      </c>
    </row>
    <row r="91" spans="1:7">
      <c r="A91">
        <v>90</v>
      </c>
      <c r="B91" t="str">
        <f>"004672"</f>
        <v>0</v>
      </c>
      <c r="C91" t="s">
        <v>195</v>
      </c>
      <c r="D91" t="s">
        <v>196</v>
      </c>
      <c r="E91" t="str">
        <f>"3149900498376"</f>
        <v>0</v>
      </c>
      <c r="F91" t="str">
        <f>"000030"</f>
        <v>0</v>
      </c>
      <c r="G91" t="s">
        <v>21</v>
      </c>
    </row>
    <row r="92" spans="1:7">
      <c r="A92">
        <v>91</v>
      </c>
      <c r="B92" t="str">
        <f>"004696"</f>
        <v>0</v>
      </c>
      <c r="C92" t="s">
        <v>197</v>
      </c>
      <c r="D92" t="s">
        <v>198</v>
      </c>
      <c r="E92" t="str">
        <f>"3100600986873"</f>
        <v>0</v>
      </c>
      <c r="F92" t="str">
        <f>"000030"</f>
        <v>0</v>
      </c>
      <c r="G92" t="s">
        <v>21</v>
      </c>
    </row>
    <row r="93" spans="1:7">
      <c r="A93">
        <v>92</v>
      </c>
      <c r="B93" t="str">
        <f>"004711"</f>
        <v>0</v>
      </c>
      <c r="C93" t="s">
        <v>199</v>
      </c>
      <c r="D93" t="s">
        <v>200</v>
      </c>
      <c r="E93" t="str">
        <f>"3102002888349"</f>
        <v>0</v>
      </c>
      <c r="F93" t="str">
        <f>"000030"</f>
        <v>0</v>
      </c>
      <c r="G93" t="s">
        <v>21</v>
      </c>
    </row>
    <row r="94" spans="1:7">
      <c r="A94">
        <v>93</v>
      </c>
      <c r="B94" t="str">
        <f>"004868"</f>
        <v>0</v>
      </c>
      <c r="C94" t="s">
        <v>201</v>
      </c>
      <c r="D94" t="s">
        <v>202</v>
      </c>
      <c r="E94" t="str">
        <f>"3199900306817"</f>
        <v>0</v>
      </c>
      <c r="F94" t="str">
        <f>"000030"</f>
        <v>0</v>
      </c>
      <c r="G94" t="s">
        <v>21</v>
      </c>
    </row>
    <row r="95" spans="1:7">
      <c r="A95">
        <v>94</v>
      </c>
      <c r="B95" t="str">
        <f>"004916"</f>
        <v>0</v>
      </c>
      <c r="C95" t="s">
        <v>203</v>
      </c>
      <c r="D95" t="s">
        <v>204</v>
      </c>
      <c r="E95" t="str">
        <f>"5100699074002"</f>
        <v>0</v>
      </c>
      <c r="F95" t="str">
        <f>"000030"</f>
        <v>0</v>
      </c>
      <c r="G95" t="s">
        <v>21</v>
      </c>
    </row>
    <row r="96" spans="1:7">
      <c r="A96">
        <v>95</v>
      </c>
      <c r="B96" t="str">
        <f>"004929"</f>
        <v>0</v>
      </c>
      <c r="C96" t="s">
        <v>205</v>
      </c>
      <c r="D96" t="s">
        <v>206</v>
      </c>
      <c r="E96" t="str">
        <f>"3100201212211"</f>
        <v>0</v>
      </c>
      <c r="F96" t="str">
        <f>"000030"</f>
        <v>0</v>
      </c>
      <c r="G96" t="s">
        <v>21</v>
      </c>
    </row>
    <row r="97" spans="1:7">
      <c r="A97">
        <v>96</v>
      </c>
      <c r="B97" t="str">
        <f>"005029"</f>
        <v>0</v>
      </c>
      <c r="C97" t="s">
        <v>207</v>
      </c>
      <c r="D97" t="s">
        <v>208</v>
      </c>
      <c r="E97" t="str">
        <f>"3509900287339"</f>
        <v>0</v>
      </c>
      <c r="F97" t="str">
        <f>"000030"</f>
        <v>0</v>
      </c>
      <c r="G97" t="s">
        <v>21</v>
      </c>
    </row>
    <row r="98" spans="1:7">
      <c r="A98">
        <v>97</v>
      </c>
      <c r="B98" t="str">
        <f>"005034"</f>
        <v>0</v>
      </c>
      <c r="C98" t="s">
        <v>209</v>
      </c>
      <c r="D98" t="s">
        <v>210</v>
      </c>
      <c r="E98" t="str">
        <f>"3730300618202"</f>
        <v>0</v>
      </c>
      <c r="F98" t="str">
        <f>"000030"</f>
        <v>0</v>
      </c>
      <c r="G98" t="s">
        <v>21</v>
      </c>
    </row>
    <row r="99" spans="1:7">
      <c r="A99">
        <v>98</v>
      </c>
      <c r="B99" t="str">
        <f>"005037"</f>
        <v>0</v>
      </c>
      <c r="C99" t="s">
        <v>211</v>
      </c>
      <c r="D99" t="s">
        <v>212</v>
      </c>
      <c r="E99" t="str">
        <f>"5100100001769"</f>
        <v>0</v>
      </c>
      <c r="F99" t="str">
        <f>"000030"</f>
        <v>0</v>
      </c>
      <c r="G99" t="s">
        <v>21</v>
      </c>
    </row>
    <row r="100" spans="1:7">
      <c r="A100">
        <v>99</v>
      </c>
      <c r="B100" t="str">
        <f>"005051"</f>
        <v>0</v>
      </c>
      <c r="C100" t="s">
        <v>213</v>
      </c>
      <c r="D100" t="s">
        <v>214</v>
      </c>
      <c r="E100" t="str">
        <f>"3100203366313"</f>
        <v>0</v>
      </c>
      <c r="F100" t="str">
        <f>"000030"</f>
        <v>0</v>
      </c>
      <c r="G100" t="s">
        <v>21</v>
      </c>
    </row>
    <row r="101" spans="1:7">
      <c r="A101">
        <v>100</v>
      </c>
      <c r="B101" t="str">
        <f>"005087"</f>
        <v>0</v>
      </c>
      <c r="C101" t="s">
        <v>215</v>
      </c>
      <c r="D101" t="s">
        <v>216</v>
      </c>
      <c r="E101" t="str">
        <f>"3100602224075"</f>
        <v>0</v>
      </c>
      <c r="F101" t="str">
        <f>"000030"</f>
        <v>0</v>
      </c>
      <c r="G101" t="s">
        <v>21</v>
      </c>
    </row>
    <row r="102" spans="1:7">
      <c r="A102">
        <v>101</v>
      </c>
      <c r="B102" t="str">
        <f>"005088"</f>
        <v>0</v>
      </c>
      <c r="C102" t="s">
        <v>217</v>
      </c>
      <c r="D102" t="s">
        <v>218</v>
      </c>
      <c r="E102" t="str">
        <f>"3100200468557"</f>
        <v>0</v>
      </c>
      <c r="F102" t="str">
        <f>"000030"</f>
        <v>0</v>
      </c>
      <c r="G102" t="s">
        <v>21</v>
      </c>
    </row>
    <row r="103" spans="1:7">
      <c r="A103">
        <v>102</v>
      </c>
      <c r="B103" t="str">
        <f>"005208"</f>
        <v>0</v>
      </c>
      <c r="C103" t="s">
        <v>219</v>
      </c>
      <c r="D103" t="s">
        <v>220</v>
      </c>
      <c r="E103" t="str">
        <f>"3110300044015"</f>
        <v>0</v>
      </c>
      <c r="F103" t="str">
        <f>"000030"</f>
        <v>0</v>
      </c>
      <c r="G103" t="s">
        <v>21</v>
      </c>
    </row>
    <row r="104" spans="1:7">
      <c r="A104">
        <v>103</v>
      </c>
      <c r="B104" t="str">
        <f>"005242"</f>
        <v>0</v>
      </c>
      <c r="C104" t="s">
        <v>221</v>
      </c>
      <c r="D104" t="s">
        <v>222</v>
      </c>
      <c r="E104" t="str">
        <f>"3100600579275"</f>
        <v>0</v>
      </c>
      <c r="F104" t="str">
        <f>"000030"</f>
        <v>0</v>
      </c>
      <c r="G104" t="s">
        <v>21</v>
      </c>
    </row>
    <row r="105" spans="1:7">
      <c r="A105">
        <v>104</v>
      </c>
      <c r="B105" t="str">
        <f>"005316"</f>
        <v>0</v>
      </c>
      <c r="C105" t="s">
        <v>223</v>
      </c>
      <c r="D105" t="s">
        <v>224</v>
      </c>
      <c r="E105" t="str">
        <f>"3100500456767"</f>
        <v>0</v>
      </c>
      <c r="F105" t="str">
        <f>"000030"</f>
        <v>0</v>
      </c>
      <c r="G105" t="s">
        <v>21</v>
      </c>
    </row>
    <row r="106" spans="1:7">
      <c r="A106">
        <v>105</v>
      </c>
      <c r="B106" t="str">
        <f>"005355"</f>
        <v>0</v>
      </c>
      <c r="C106" t="s">
        <v>225</v>
      </c>
      <c r="D106" t="s">
        <v>226</v>
      </c>
      <c r="E106" t="str">
        <f>"3100600944372"</f>
        <v>0</v>
      </c>
      <c r="F106" t="str">
        <f>"000030"</f>
        <v>0</v>
      </c>
      <c r="G106" t="s">
        <v>21</v>
      </c>
    </row>
    <row r="107" spans="1:7">
      <c r="A107">
        <v>106</v>
      </c>
      <c r="B107" t="str">
        <f>"005370"</f>
        <v>0</v>
      </c>
      <c r="C107" t="s">
        <v>227</v>
      </c>
      <c r="D107" t="s">
        <v>228</v>
      </c>
      <c r="E107" t="str">
        <f>"3101202934718"</f>
        <v>0</v>
      </c>
      <c r="F107" t="str">
        <f>"000030"</f>
        <v>0</v>
      </c>
      <c r="G107" t="s">
        <v>21</v>
      </c>
    </row>
    <row r="108" spans="1:7">
      <c r="A108">
        <v>107</v>
      </c>
      <c r="B108" t="str">
        <f>"005404"</f>
        <v>0</v>
      </c>
      <c r="C108" t="s">
        <v>229</v>
      </c>
      <c r="D108" t="s">
        <v>230</v>
      </c>
      <c r="E108" t="str">
        <f>"3920300459854"</f>
        <v>0</v>
      </c>
      <c r="F108" t="str">
        <f>"000030"</f>
        <v>0</v>
      </c>
      <c r="G108" t="s">
        <v>21</v>
      </c>
    </row>
    <row r="109" spans="1:7">
      <c r="A109">
        <v>108</v>
      </c>
      <c r="B109" t="str">
        <f>"005418"</f>
        <v>0</v>
      </c>
      <c r="C109" t="s">
        <v>231</v>
      </c>
      <c r="D109" t="s">
        <v>232</v>
      </c>
      <c r="E109" t="str">
        <f>"3800900110179"</f>
        <v>0</v>
      </c>
      <c r="F109" t="str">
        <f>"000030"</f>
        <v>0</v>
      </c>
      <c r="G109" t="s">
        <v>21</v>
      </c>
    </row>
    <row r="110" spans="1:7">
      <c r="A110">
        <v>109</v>
      </c>
      <c r="B110" t="str">
        <f>"005570"</f>
        <v>0</v>
      </c>
      <c r="C110" t="s">
        <v>233</v>
      </c>
      <c r="D110" t="s">
        <v>234</v>
      </c>
      <c r="E110" t="str">
        <f>"3101900431398"</f>
        <v>0</v>
      </c>
      <c r="F110" t="str">
        <f>"000030"</f>
        <v>0</v>
      </c>
      <c r="G110" t="s">
        <v>21</v>
      </c>
    </row>
    <row r="111" spans="1:7">
      <c r="A111">
        <v>110</v>
      </c>
      <c r="B111" t="str">
        <f>"005598"</f>
        <v>0</v>
      </c>
      <c r="C111" t="s">
        <v>235</v>
      </c>
      <c r="D111" t="s">
        <v>236</v>
      </c>
      <c r="E111" t="str">
        <f>"3249900033933"</f>
        <v>0</v>
      </c>
      <c r="F111" t="str">
        <f>"000030"</f>
        <v>0</v>
      </c>
      <c r="G111" t="s">
        <v>21</v>
      </c>
    </row>
    <row r="112" spans="1:7">
      <c r="A112">
        <v>111</v>
      </c>
      <c r="B112" t="str">
        <f>"005648"</f>
        <v>0</v>
      </c>
      <c r="C112" t="s">
        <v>237</v>
      </c>
      <c r="D112" t="s">
        <v>238</v>
      </c>
      <c r="E112" t="str">
        <f>"3829900017282"</f>
        <v>0</v>
      </c>
      <c r="F112" t="str">
        <f>"000030"</f>
        <v>0</v>
      </c>
      <c r="G112" t="s">
        <v>21</v>
      </c>
    </row>
    <row r="113" spans="1:7">
      <c r="A113">
        <v>112</v>
      </c>
      <c r="B113" t="str">
        <f>"005656"</f>
        <v>0</v>
      </c>
      <c r="C113" t="s">
        <v>239</v>
      </c>
      <c r="D113" t="s">
        <v>240</v>
      </c>
      <c r="E113" t="str">
        <f>"3102000326068"</f>
        <v>0</v>
      </c>
      <c r="F113" t="str">
        <f>"000030"</f>
        <v>0</v>
      </c>
      <c r="G113" t="s">
        <v>21</v>
      </c>
    </row>
    <row r="114" spans="1:7">
      <c r="A114">
        <v>113</v>
      </c>
      <c r="B114" t="str">
        <f>"005721"</f>
        <v>0</v>
      </c>
      <c r="C114" t="s">
        <v>241</v>
      </c>
      <c r="D114" t="s">
        <v>242</v>
      </c>
      <c r="E114" t="str">
        <f>"3100500705511"</f>
        <v>0</v>
      </c>
      <c r="F114" t="str">
        <f>"000030"</f>
        <v>0</v>
      </c>
      <c r="G114" t="s">
        <v>21</v>
      </c>
    </row>
    <row r="115" spans="1:7">
      <c r="A115">
        <v>114</v>
      </c>
      <c r="B115" t="str">
        <f>"005819"</f>
        <v>0</v>
      </c>
      <c r="C115" t="s">
        <v>243</v>
      </c>
      <c r="D115" t="s">
        <v>244</v>
      </c>
      <c r="E115" t="str">
        <f>"3100900080446"</f>
        <v>0</v>
      </c>
      <c r="F115" t="str">
        <f>"000030"</f>
        <v>0</v>
      </c>
      <c r="G115" t="s">
        <v>21</v>
      </c>
    </row>
    <row r="116" spans="1:7">
      <c r="A116">
        <v>115</v>
      </c>
      <c r="B116" t="str">
        <f>"005885"</f>
        <v>0</v>
      </c>
      <c r="C116" t="s">
        <v>245</v>
      </c>
      <c r="D116" t="s">
        <v>246</v>
      </c>
      <c r="E116" t="str">
        <f>"3101900365905"</f>
        <v>0</v>
      </c>
      <c r="F116" t="str">
        <f>"000030"</f>
        <v>0</v>
      </c>
      <c r="G116" t="s">
        <v>21</v>
      </c>
    </row>
    <row r="117" spans="1:7">
      <c r="A117">
        <v>116</v>
      </c>
      <c r="B117" t="str">
        <f>"006028"</f>
        <v>0</v>
      </c>
      <c r="C117" t="s">
        <v>247</v>
      </c>
      <c r="D117" t="s">
        <v>248</v>
      </c>
      <c r="E117" t="str">
        <f>"3411900649315"</f>
        <v>0</v>
      </c>
      <c r="F117" t="str">
        <f>"000030"</f>
        <v>0</v>
      </c>
      <c r="G117" t="s">
        <v>21</v>
      </c>
    </row>
    <row r="118" spans="1:7">
      <c r="A118">
        <v>117</v>
      </c>
      <c r="B118" t="str">
        <f>"006185"</f>
        <v>0</v>
      </c>
      <c r="C118" t="s">
        <v>56</v>
      </c>
      <c r="D118" t="s">
        <v>249</v>
      </c>
      <c r="E118" t="str">
        <f>"3100502080853"</f>
        <v>0</v>
      </c>
      <c r="F118" t="str">
        <f>"000030"</f>
        <v>0</v>
      </c>
      <c r="G118" t="s">
        <v>21</v>
      </c>
    </row>
    <row r="119" spans="1:7">
      <c r="A119">
        <v>118</v>
      </c>
      <c r="B119" t="str">
        <f>"006263"</f>
        <v>0</v>
      </c>
      <c r="C119" t="s">
        <v>250</v>
      </c>
      <c r="D119" t="s">
        <v>251</v>
      </c>
      <c r="E119" t="str">
        <f>"4501800001086"</f>
        <v>0</v>
      </c>
      <c r="F119" t="str">
        <f>"000030"</f>
        <v>0</v>
      </c>
      <c r="G119" t="s">
        <v>21</v>
      </c>
    </row>
    <row r="120" spans="1:7">
      <c r="A120">
        <v>119</v>
      </c>
      <c r="B120" t="str">
        <f>"006305"</f>
        <v>0</v>
      </c>
      <c r="C120" t="s">
        <v>252</v>
      </c>
      <c r="D120" t="s">
        <v>253</v>
      </c>
      <c r="E120" t="str">
        <f>"3100502650927"</f>
        <v>0</v>
      </c>
      <c r="F120" t="str">
        <f>"000030"</f>
        <v>0</v>
      </c>
      <c r="G120" t="s">
        <v>21</v>
      </c>
    </row>
    <row r="121" spans="1:7">
      <c r="A121">
        <v>120</v>
      </c>
      <c r="B121" t="str">
        <f>"006320"</f>
        <v>0</v>
      </c>
      <c r="C121" t="s">
        <v>254</v>
      </c>
      <c r="D121" t="s">
        <v>159</v>
      </c>
      <c r="E121" t="str">
        <f>"3101900141713"</f>
        <v>0</v>
      </c>
      <c r="F121" t="str">
        <f>"000030"</f>
        <v>0</v>
      </c>
      <c r="G121" t="s">
        <v>21</v>
      </c>
    </row>
    <row r="122" spans="1:7">
      <c r="A122">
        <v>121</v>
      </c>
      <c r="B122" t="str">
        <f>"006424"</f>
        <v>0</v>
      </c>
      <c r="C122" t="s">
        <v>130</v>
      </c>
      <c r="D122" t="s">
        <v>255</v>
      </c>
      <c r="E122" t="str">
        <f>"3900400005511"</f>
        <v>0</v>
      </c>
      <c r="F122" t="str">
        <f>"000030"</f>
        <v>0</v>
      </c>
      <c r="G122" t="s">
        <v>21</v>
      </c>
    </row>
    <row r="123" spans="1:7">
      <c r="A123">
        <v>122</v>
      </c>
      <c r="B123" t="str">
        <f>"006530"</f>
        <v>0</v>
      </c>
      <c r="C123" t="s">
        <v>256</v>
      </c>
      <c r="D123" t="s">
        <v>257</v>
      </c>
      <c r="E123" t="str">
        <f>"3191100439351"</f>
        <v>0</v>
      </c>
      <c r="F123" t="str">
        <f>"000030"</f>
        <v>0</v>
      </c>
      <c r="G123" t="s">
        <v>21</v>
      </c>
    </row>
    <row r="124" spans="1:7">
      <c r="A124">
        <v>123</v>
      </c>
      <c r="B124" t="str">
        <f>"006720"</f>
        <v>0</v>
      </c>
      <c r="C124" t="s">
        <v>258</v>
      </c>
      <c r="D124" t="s">
        <v>259</v>
      </c>
      <c r="E124" t="str">
        <f>"3102000928840"</f>
        <v>0</v>
      </c>
      <c r="F124" t="str">
        <f>"000030"</f>
        <v>0</v>
      </c>
      <c r="G124" t="s">
        <v>21</v>
      </c>
    </row>
    <row r="125" spans="1:7">
      <c r="A125">
        <v>124</v>
      </c>
      <c r="B125" t="str">
        <f>"006843"</f>
        <v>0</v>
      </c>
      <c r="C125" t="s">
        <v>260</v>
      </c>
      <c r="D125" t="s">
        <v>261</v>
      </c>
      <c r="E125" t="str">
        <f>"3100602002307"</f>
        <v>0</v>
      </c>
      <c r="F125" t="str">
        <f>"000030"</f>
        <v>0</v>
      </c>
      <c r="G125" t="s">
        <v>21</v>
      </c>
    </row>
    <row r="126" spans="1:7">
      <c r="A126">
        <v>125</v>
      </c>
      <c r="B126" t="str">
        <f>"006970"</f>
        <v>0</v>
      </c>
      <c r="C126" t="s">
        <v>262</v>
      </c>
      <c r="D126" t="s">
        <v>263</v>
      </c>
      <c r="E126" t="str">
        <f>"3100202426339"</f>
        <v>0</v>
      </c>
      <c r="F126" t="str">
        <f>"000030"</f>
        <v>0</v>
      </c>
      <c r="G126" t="s">
        <v>21</v>
      </c>
    </row>
    <row r="127" spans="1:7">
      <c r="A127">
        <v>126</v>
      </c>
      <c r="B127" t="str">
        <f>"007119"</f>
        <v>0</v>
      </c>
      <c r="C127" t="s">
        <v>264</v>
      </c>
      <c r="D127" t="s">
        <v>265</v>
      </c>
      <c r="E127" t="str">
        <f>"3100601361087"</f>
        <v>0</v>
      </c>
      <c r="F127" t="str">
        <f>"000030"</f>
        <v>0</v>
      </c>
      <c r="G127" t="s">
        <v>21</v>
      </c>
    </row>
    <row r="128" spans="1:7">
      <c r="A128">
        <v>127</v>
      </c>
      <c r="B128" t="str">
        <f>"007255"</f>
        <v>0</v>
      </c>
      <c r="C128" t="s">
        <v>266</v>
      </c>
      <c r="D128" t="s">
        <v>267</v>
      </c>
      <c r="E128" t="str">
        <f>"3100100914458"</f>
        <v>0</v>
      </c>
      <c r="F128" t="str">
        <f>"000030"</f>
        <v>0</v>
      </c>
      <c r="G128" t="s">
        <v>21</v>
      </c>
    </row>
    <row r="129" spans="1:7">
      <c r="A129">
        <v>128</v>
      </c>
      <c r="B129" t="str">
        <f>"007481"</f>
        <v>0</v>
      </c>
      <c r="C129" t="s">
        <v>268</v>
      </c>
      <c r="D129" t="s">
        <v>269</v>
      </c>
      <c r="E129" t="str">
        <f>"3100504009145"</f>
        <v>0</v>
      </c>
      <c r="F129" t="str">
        <f>"000030"</f>
        <v>0</v>
      </c>
      <c r="G129" t="s">
        <v>21</v>
      </c>
    </row>
    <row r="130" spans="1:7">
      <c r="A130">
        <v>129</v>
      </c>
      <c r="B130" t="str">
        <f>"007709"</f>
        <v>0</v>
      </c>
      <c r="C130" t="s">
        <v>270</v>
      </c>
      <c r="D130" t="s">
        <v>271</v>
      </c>
      <c r="E130" t="str">
        <f>"3100100889151"</f>
        <v>0</v>
      </c>
      <c r="F130" t="str">
        <f>"000030"</f>
        <v>0</v>
      </c>
      <c r="G130" t="s">
        <v>21</v>
      </c>
    </row>
    <row r="131" spans="1:7">
      <c r="A131">
        <v>130</v>
      </c>
      <c r="B131" t="str">
        <f>"007728"</f>
        <v>0</v>
      </c>
      <c r="C131" t="s">
        <v>235</v>
      </c>
      <c r="D131" t="s">
        <v>272</v>
      </c>
      <c r="E131" t="str">
        <f>"3102200605947"</f>
        <v>0</v>
      </c>
      <c r="F131" t="str">
        <f>"000030"</f>
        <v>0</v>
      </c>
      <c r="G131" t="s">
        <v>21</v>
      </c>
    </row>
    <row r="132" spans="1:7">
      <c r="A132">
        <v>131</v>
      </c>
      <c r="B132" t="str">
        <f>"008171"</f>
        <v>0</v>
      </c>
      <c r="C132" t="s">
        <v>273</v>
      </c>
      <c r="D132" t="s">
        <v>274</v>
      </c>
      <c r="E132" t="str">
        <f>"3120100572913"</f>
        <v>0</v>
      </c>
      <c r="F132" t="str">
        <f>"000030"</f>
        <v>0</v>
      </c>
      <c r="G132" t="s">
        <v>21</v>
      </c>
    </row>
    <row r="133" spans="1:7">
      <c r="A133">
        <v>132</v>
      </c>
      <c r="B133" t="str">
        <f>"008189"</f>
        <v>0</v>
      </c>
      <c r="C133" t="s">
        <v>275</v>
      </c>
      <c r="D133" t="s">
        <v>276</v>
      </c>
      <c r="E133" t="str">
        <f>"3100201467139"</f>
        <v>0</v>
      </c>
      <c r="F133" t="str">
        <f>"000030"</f>
        <v>0</v>
      </c>
      <c r="G133" t="s">
        <v>21</v>
      </c>
    </row>
    <row r="134" spans="1:7">
      <c r="A134">
        <v>133</v>
      </c>
      <c r="B134" t="str">
        <f>"008544"</f>
        <v>0</v>
      </c>
      <c r="C134" t="s">
        <v>277</v>
      </c>
      <c r="D134" t="s">
        <v>278</v>
      </c>
      <c r="E134" t="str">
        <f>"3100901914219"</f>
        <v>0</v>
      </c>
      <c r="F134" t="str">
        <f>"000030"</f>
        <v>0</v>
      </c>
      <c r="G134" t="s">
        <v>21</v>
      </c>
    </row>
    <row r="135" spans="1:7">
      <c r="A135">
        <v>134</v>
      </c>
      <c r="B135" t="str">
        <f>"008547"</f>
        <v>0</v>
      </c>
      <c r="C135" t="s">
        <v>279</v>
      </c>
      <c r="D135" t="s">
        <v>280</v>
      </c>
      <c r="E135" t="str">
        <f>"3101401172494"</f>
        <v>0</v>
      </c>
      <c r="F135" t="str">
        <f>"000030"</f>
        <v>0</v>
      </c>
      <c r="G135" t="s">
        <v>21</v>
      </c>
    </row>
    <row r="136" spans="1:7">
      <c r="A136">
        <v>135</v>
      </c>
      <c r="B136" t="str">
        <f>"008601"</f>
        <v>0</v>
      </c>
      <c r="C136" t="s">
        <v>281</v>
      </c>
      <c r="D136" t="s">
        <v>282</v>
      </c>
      <c r="E136" t="str">
        <f>"3250900135533"</f>
        <v>0</v>
      </c>
      <c r="F136" t="str">
        <f>"000030"</f>
        <v>0</v>
      </c>
      <c r="G136" t="s">
        <v>21</v>
      </c>
    </row>
    <row r="137" spans="1:7">
      <c r="A137">
        <v>136</v>
      </c>
      <c r="B137" t="str">
        <f>"008736"</f>
        <v>0</v>
      </c>
      <c r="C137" t="s">
        <v>283</v>
      </c>
      <c r="D137" t="s">
        <v>284</v>
      </c>
      <c r="E137" t="str">
        <f>"3319900095296"</f>
        <v>0</v>
      </c>
      <c r="F137" t="str">
        <f>"000030"</f>
        <v>0</v>
      </c>
      <c r="G137" t="s">
        <v>21</v>
      </c>
    </row>
    <row r="138" spans="1:7">
      <c r="A138">
        <v>137</v>
      </c>
      <c r="B138" t="str">
        <f>"008763"</f>
        <v>0</v>
      </c>
      <c r="C138" t="s">
        <v>285</v>
      </c>
      <c r="D138" t="s">
        <v>286</v>
      </c>
      <c r="E138" t="str">
        <f>"3100501230681"</f>
        <v>0</v>
      </c>
      <c r="F138" t="str">
        <f>"000030"</f>
        <v>0</v>
      </c>
      <c r="G138" t="s">
        <v>21</v>
      </c>
    </row>
    <row r="139" spans="1:7">
      <c r="A139">
        <v>138</v>
      </c>
      <c r="B139" t="str">
        <f>"008830"</f>
        <v>0</v>
      </c>
      <c r="C139" t="s">
        <v>287</v>
      </c>
      <c r="D139" t="s">
        <v>288</v>
      </c>
      <c r="E139" t="str">
        <f>"3100904528166"</f>
        <v>0</v>
      </c>
      <c r="F139" t="str">
        <f>"000030"</f>
        <v>0</v>
      </c>
      <c r="G139" t="s">
        <v>21</v>
      </c>
    </row>
    <row r="140" spans="1:7">
      <c r="A140">
        <v>139</v>
      </c>
      <c r="B140" t="str">
        <f>"008929"</f>
        <v>0</v>
      </c>
      <c r="C140" t="s">
        <v>289</v>
      </c>
      <c r="D140" t="s">
        <v>290</v>
      </c>
      <c r="E140" t="str">
        <f>"3101100162341"</f>
        <v>0</v>
      </c>
      <c r="F140" t="str">
        <f>"000030"</f>
        <v>0</v>
      </c>
      <c r="G140" t="s">
        <v>21</v>
      </c>
    </row>
    <row r="141" spans="1:7">
      <c r="A141">
        <v>140</v>
      </c>
      <c r="B141" t="str">
        <f>"009194"</f>
        <v>0</v>
      </c>
      <c r="C141" t="s">
        <v>291</v>
      </c>
      <c r="D141" t="s">
        <v>292</v>
      </c>
      <c r="E141" t="str">
        <f>"3930800061663"</f>
        <v>0</v>
      </c>
      <c r="F141" t="str">
        <f>"000030"</f>
        <v>0</v>
      </c>
      <c r="G141" t="s">
        <v>21</v>
      </c>
    </row>
    <row r="142" spans="1:7">
      <c r="A142">
        <v>141</v>
      </c>
      <c r="B142" t="str">
        <f>"009228"</f>
        <v>0</v>
      </c>
      <c r="C142" t="s">
        <v>293</v>
      </c>
      <c r="D142" t="s">
        <v>294</v>
      </c>
      <c r="E142" t="str">
        <f>"3100903169499"</f>
        <v>0</v>
      </c>
      <c r="F142" t="str">
        <f>"000030"</f>
        <v>0</v>
      </c>
      <c r="G142" t="s">
        <v>21</v>
      </c>
    </row>
    <row r="143" spans="1:7">
      <c r="A143">
        <v>142</v>
      </c>
      <c r="B143" t="str">
        <f>"009251"</f>
        <v>0</v>
      </c>
      <c r="C143" t="s">
        <v>295</v>
      </c>
      <c r="D143" t="s">
        <v>296</v>
      </c>
      <c r="E143" t="str">
        <f>"3100601380804"</f>
        <v>0</v>
      </c>
      <c r="F143" t="str">
        <f>"000030"</f>
        <v>0</v>
      </c>
      <c r="G143" t="s">
        <v>21</v>
      </c>
    </row>
    <row r="144" spans="1:7">
      <c r="A144">
        <v>143</v>
      </c>
      <c r="B144" t="str">
        <f>"009252"</f>
        <v>0</v>
      </c>
      <c r="C144" t="s">
        <v>297</v>
      </c>
      <c r="D144" t="s">
        <v>298</v>
      </c>
      <c r="E144" t="str">
        <f>"3100500647988"</f>
        <v>0</v>
      </c>
      <c r="F144" t="str">
        <f>"000030"</f>
        <v>0</v>
      </c>
      <c r="G144" t="s">
        <v>21</v>
      </c>
    </row>
    <row r="145" spans="1:7">
      <c r="A145">
        <v>144</v>
      </c>
      <c r="B145" t="str">
        <f>"009258"</f>
        <v>0</v>
      </c>
      <c r="C145" t="s">
        <v>299</v>
      </c>
      <c r="D145" t="s">
        <v>300</v>
      </c>
      <c r="E145" t="str">
        <f>"3510100525482"</f>
        <v>0</v>
      </c>
      <c r="F145" t="str">
        <f>"000030"</f>
        <v>0</v>
      </c>
      <c r="G145" t="s">
        <v>21</v>
      </c>
    </row>
    <row r="146" spans="1:7">
      <c r="A146">
        <v>145</v>
      </c>
      <c r="B146" t="str">
        <f>"009284"</f>
        <v>0</v>
      </c>
      <c r="C146" t="s">
        <v>301</v>
      </c>
      <c r="D146" t="s">
        <v>302</v>
      </c>
      <c r="E146" t="str">
        <f>"3100602755151"</f>
        <v>0</v>
      </c>
      <c r="F146" t="str">
        <f>"000030"</f>
        <v>0</v>
      </c>
      <c r="G146" t="s">
        <v>21</v>
      </c>
    </row>
    <row r="147" spans="1:7">
      <c r="A147">
        <v>146</v>
      </c>
      <c r="B147" t="str">
        <f>"009450"</f>
        <v>0</v>
      </c>
      <c r="C147" t="s">
        <v>303</v>
      </c>
      <c r="D147" t="s">
        <v>304</v>
      </c>
      <c r="E147" t="str">
        <f>"3100905377919"</f>
        <v>0</v>
      </c>
      <c r="F147" t="str">
        <f>"000030"</f>
        <v>0</v>
      </c>
      <c r="G147" t="s">
        <v>21</v>
      </c>
    </row>
    <row r="148" spans="1:7">
      <c r="A148">
        <v>147</v>
      </c>
      <c r="B148" t="str">
        <f>"009652"</f>
        <v>0</v>
      </c>
      <c r="C148" t="s">
        <v>305</v>
      </c>
      <c r="D148" t="s">
        <v>306</v>
      </c>
      <c r="E148" t="str">
        <f>"3101401256515"</f>
        <v>0</v>
      </c>
      <c r="F148" t="str">
        <f>"000030"</f>
        <v>0</v>
      </c>
      <c r="G148" t="s">
        <v>21</v>
      </c>
    </row>
    <row r="149" spans="1:7">
      <c r="A149">
        <v>148</v>
      </c>
      <c r="B149" t="str">
        <f>"009715"</f>
        <v>0</v>
      </c>
      <c r="C149" t="s">
        <v>307</v>
      </c>
      <c r="D149" t="s">
        <v>308</v>
      </c>
      <c r="E149" t="str">
        <f>"3102000556951"</f>
        <v>0</v>
      </c>
      <c r="F149" t="str">
        <f>"000030"</f>
        <v>0</v>
      </c>
      <c r="G149" t="s">
        <v>21</v>
      </c>
    </row>
    <row r="150" spans="1:7">
      <c r="A150">
        <v>149</v>
      </c>
      <c r="B150" t="str">
        <f>"009774"</f>
        <v>0</v>
      </c>
      <c r="C150" t="s">
        <v>309</v>
      </c>
      <c r="D150" t="s">
        <v>310</v>
      </c>
      <c r="E150" t="str">
        <f>"3100500206124"</f>
        <v>0</v>
      </c>
      <c r="F150" t="str">
        <f>"000030"</f>
        <v>0</v>
      </c>
      <c r="G150" t="s">
        <v>21</v>
      </c>
    </row>
    <row r="151" spans="1:7">
      <c r="A151">
        <v>150</v>
      </c>
      <c r="B151" t="str">
        <f>"009775"</f>
        <v>0</v>
      </c>
      <c r="C151" t="s">
        <v>311</v>
      </c>
      <c r="D151" t="s">
        <v>139</v>
      </c>
      <c r="E151" t="str">
        <f>"3100600631552"</f>
        <v>0</v>
      </c>
      <c r="F151" t="str">
        <f>"000030"</f>
        <v>0</v>
      </c>
      <c r="G151" t="s">
        <v>21</v>
      </c>
    </row>
    <row r="152" spans="1:7">
      <c r="A152">
        <v>151</v>
      </c>
      <c r="B152" t="str">
        <f>"010260"</f>
        <v>0</v>
      </c>
      <c r="C152" t="s">
        <v>312</v>
      </c>
      <c r="D152" t="s">
        <v>313</v>
      </c>
      <c r="E152" t="str">
        <f>"3100600339061"</f>
        <v>0</v>
      </c>
      <c r="F152" t="str">
        <f>"000030"</f>
        <v>0</v>
      </c>
      <c r="G152" t="s">
        <v>21</v>
      </c>
    </row>
    <row r="153" spans="1:7">
      <c r="A153">
        <v>152</v>
      </c>
      <c r="B153" t="str">
        <f>"010277"</f>
        <v>0</v>
      </c>
      <c r="C153" t="s">
        <v>314</v>
      </c>
      <c r="D153" t="s">
        <v>315</v>
      </c>
      <c r="E153" t="str">
        <f>"3199900494711"</f>
        <v>0</v>
      </c>
      <c r="F153" t="str">
        <f>"000030"</f>
        <v>0</v>
      </c>
      <c r="G153" t="s">
        <v>21</v>
      </c>
    </row>
    <row r="154" spans="1:7">
      <c r="A154">
        <v>153</v>
      </c>
      <c r="B154" t="str">
        <f>"010370"</f>
        <v>0</v>
      </c>
      <c r="C154" t="s">
        <v>316</v>
      </c>
      <c r="D154" t="s">
        <v>317</v>
      </c>
      <c r="E154" t="str">
        <f>"3100601970989"</f>
        <v>0</v>
      </c>
      <c r="F154" t="str">
        <f>"000030"</f>
        <v>0</v>
      </c>
      <c r="G154" t="s">
        <v>21</v>
      </c>
    </row>
    <row r="155" spans="1:7">
      <c r="A155">
        <v>154</v>
      </c>
      <c r="B155" t="str">
        <f>"010371"</f>
        <v>0</v>
      </c>
      <c r="C155" t="s">
        <v>118</v>
      </c>
      <c r="D155" t="s">
        <v>318</v>
      </c>
      <c r="E155" t="str">
        <f>"3100905370434"</f>
        <v>0</v>
      </c>
      <c r="F155" t="str">
        <f>"000030"</f>
        <v>0</v>
      </c>
      <c r="G155" t="s">
        <v>21</v>
      </c>
    </row>
    <row r="156" spans="1:7">
      <c r="A156">
        <v>155</v>
      </c>
      <c r="B156" t="str">
        <f>"010402"</f>
        <v>0</v>
      </c>
      <c r="C156" t="s">
        <v>319</v>
      </c>
      <c r="D156" t="s">
        <v>320</v>
      </c>
      <c r="E156" t="str">
        <f>"3102002137378"</f>
        <v>0</v>
      </c>
      <c r="F156" t="str">
        <f>"000030"</f>
        <v>0</v>
      </c>
      <c r="G156" t="s">
        <v>21</v>
      </c>
    </row>
    <row r="157" spans="1:7">
      <c r="A157">
        <v>156</v>
      </c>
      <c r="B157" t="str">
        <f>"010435"</f>
        <v>0</v>
      </c>
      <c r="C157" t="s">
        <v>321</v>
      </c>
      <c r="D157" t="s">
        <v>242</v>
      </c>
      <c r="E157" t="str">
        <f>"3100500705538"</f>
        <v>0</v>
      </c>
      <c r="F157" t="str">
        <f>"000030"</f>
        <v>0</v>
      </c>
      <c r="G157" t="s">
        <v>21</v>
      </c>
    </row>
    <row r="158" spans="1:7">
      <c r="A158">
        <v>157</v>
      </c>
      <c r="B158" t="str">
        <f>"010438"</f>
        <v>0</v>
      </c>
      <c r="C158" t="s">
        <v>322</v>
      </c>
      <c r="D158" t="s">
        <v>323</v>
      </c>
      <c r="E158" t="str">
        <f>"3102101662691"</f>
        <v>0</v>
      </c>
      <c r="F158" t="str">
        <f>"000030"</f>
        <v>0</v>
      </c>
      <c r="G158" t="s">
        <v>21</v>
      </c>
    </row>
    <row r="159" spans="1:7">
      <c r="A159">
        <v>158</v>
      </c>
      <c r="B159" t="str">
        <f>"010618"</f>
        <v>0</v>
      </c>
      <c r="C159" t="s">
        <v>324</v>
      </c>
      <c r="D159" t="s">
        <v>325</v>
      </c>
      <c r="E159" t="str">
        <f>"3200200506202"</f>
        <v>0</v>
      </c>
      <c r="F159" t="str">
        <f>"000030"</f>
        <v>0</v>
      </c>
      <c r="G159" t="s">
        <v>21</v>
      </c>
    </row>
    <row r="160" spans="1:7">
      <c r="A160">
        <v>159</v>
      </c>
      <c r="B160" t="str">
        <f>"010753"</f>
        <v>0</v>
      </c>
      <c r="C160" t="s">
        <v>326</v>
      </c>
      <c r="D160" t="s">
        <v>327</v>
      </c>
      <c r="E160" t="str">
        <f>"3101402253081"</f>
        <v>0</v>
      </c>
      <c r="F160" t="str">
        <f>"000030"</f>
        <v>0</v>
      </c>
      <c r="G160" t="s">
        <v>21</v>
      </c>
    </row>
    <row r="161" spans="1:7">
      <c r="A161">
        <v>160</v>
      </c>
      <c r="B161" t="str">
        <f>"010797"</f>
        <v>0</v>
      </c>
      <c r="C161" t="s">
        <v>328</v>
      </c>
      <c r="D161" t="s">
        <v>329</v>
      </c>
      <c r="E161" t="str">
        <f>"3100600094123"</f>
        <v>0</v>
      </c>
      <c r="F161" t="str">
        <f>"000030"</f>
        <v>0</v>
      </c>
      <c r="G161" t="s">
        <v>21</v>
      </c>
    </row>
    <row r="162" spans="1:7">
      <c r="A162">
        <v>161</v>
      </c>
      <c r="B162" t="str">
        <f>"010897"</f>
        <v>0</v>
      </c>
      <c r="C162" t="s">
        <v>330</v>
      </c>
      <c r="D162" t="s">
        <v>331</v>
      </c>
      <c r="E162" t="str">
        <f>"3100202612931"</f>
        <v>0</v>
      </c>
      <c r="F162" t="str">
        <f>"000030"</f>
        <v>0</v>
      </c>
      <c r="G162" t="s">
        <v>21</v>
      </c>
    </row>
    <row r="163" spans="1:7">
      <c r="A163">
        <v>162</v>
      </c>
      <c r="B163" t="str">
        <f>"011086"</f>
        <v>0</v>
      </c>
      <c r="C163" t="s">
        <v>332</v>
      </c>
      <c r="D163" t="s">
        <v>333</v>
      </c>
      <c r="E163" t="str">
        <f>"3100502557251"</f>
        <v>0</v>
      </c>
      <c r="F163" t="str">
        <f>"000030"</f>
        <v>0</v>
      </c>
      <c r="G163" t="s">
        <v>21</v>
      </c>
    </row>
    <row r="164" spans="1:7">
      <c r="A164">
        <v>163</v>
      </c>
      <c r="B164" t="str">
        <f>"011126"</f>
        <v>0</v>
      </c>
      <c r="C164" t="s">
        <v>334</v>
      </c>
      <c r="D164" t="s">
        <v>335</v>
      </c>
      <c r="E164" t="str">
        <f>"3730600885460"</f>
        <v>0</v>
      </c>
      <c r="F164" t="str">
        <f>"000030"</f>
        <v>0</v>
      </c>
      <c r="G164" t="s">
        <v>21</v>
      </c>
    </row>
    <row r="165" spans="1:7">
      <c r="A165">
        <v>164</v>
      </c>
      <c r="B165" t="str">
        <f>"011379"</f>
        <v>0</v>
      </c>
      <c r="C165" t="s">
        <v>336</v>
      </c>
      <c r="D165" t="s">
        <v>337</v>
      </c>
      <c r="E165" t="str">
        <f>"3770600326100"</f>
        <v>0</v>
      </c>
      <c r="F165" t="str">
        <f>"000030"</f>
        <v>0</v>
      </c>
      <c r="G165" t="s">
        <v>21</v>
      </c>
    </row>
    <row r="166" spans="1:7">
      <c r="A166">
        <v>165</v>
      </c>
      <c r="B166" t="str">
        <f>"011408"</f>
        <v>0</v>
      </c>
      <c r="C166" t="s">
        <v>338</v>
      </c>
      <c r="D166" t="s">
        <v>339</v>
      </c>
      <c r="E166" t="str">
        <f>"3100500313800"</f>
        <v>0</v>
      </c>
      <c r="F166" t="str">
        <f>"000030"</f>
        <v>0</v>
      </c>
      <c r="G166" t="s">
        <v>21</v>
      </c>
    </row>
    <row r="167" spans="1:7">
      <c r="A167">
        <v>166</v>
      </c>
      <c r="B167" t="str">
        <f>"011528"</f>
        <v>0</v>
      </c>
      <c r="C167" t="s">
        <v>46</v>
      </c>
      <c r="D167" t="s">
        <v>340</v>
      </c>
      <c r="E167" t="str">
        <f>"3150600403207"</f>
        <v>0</v>
      </c>
      <c r="F167" t="str">
        <f>"000030"</f>
        <v>0</v>
      </c>
      <c r="G167" t="s">
        <v>21</v>
      </c>
    </row>
    <row r="168" spans="1:7">
      <c r="A168">
        <v>167</v>
      </c>
      <c r="B168" t="str">
        <f>"011807"</f>
        <v>0</v>
      </c>
      <c r="C168" t="s">
        <v>341</v>
      </c>
      <c r="D168" t="s">
        <v>47</v>
      </c>
      <c r="E168" t="str">
        <f>"3100503848429"</f>
        <v>0</v>
      </c>
      <c r="F168" t="str">
        <f>"000030"</f>
        <v>0</v>
      </c>
      <c r="G168" t="s">
        <v>21</v>
      </c>
    </row>
    <row r="169" spans="1:7">
      <c r="A169">
        <v>168</v>
      </c>
      <c r="B169" t="str">
        <f>"011860"</f>
        <v>0</v>
      </c>
      <c r="C169" t="s">
        <v>342</v>
      </c>
      <c r="D169" t="s">
        <v>343</v>
      </c>
      <c r="E169" t="str">
        <f>"3100501270560"</f>
        <v>0</v>
      </c>
      <c r="F169" t="str">
        <f>"000030"</f>
        <v>0</v>
      </c>
      <c r="G169" t="s">
        <v>21</v>
      </c>
    </row>
    <row r="170" spans="1:7">
      <c r="A170">
        <v>169</v>
      </c>
      <c r="B170" t="str">
        <f>"011861"</f>
        <v>0</v>
      </c>
      <c r="C170" t="s">
        <v>344</v>
      </c>
      <c r="D170" t="s">
        <v>345</v>
      </c>
      <c r="E170" t="str">
        <f>"3100800092001"</f>
        <v>0</v>
      </c>
      <c r="F170" t="str">
        <f>"000030"</f>
        <v>0</v>
      </c>
      <c r="G170" t="s">
        <v>21</v>
      </c>
    </row>
    <row r="171" spans="1:7">
      <c r="A171">
        <v>170</v>
      </c>
      <c r="B171" t="str">
        <f>"011949"</f>
        <v>0</v>
      </c>
      <c r="C171" t="s">
        <v>346</v>
      </c>
      <c r="D171" t="s">
        <v>347</v>
      </c>
      <c r="E171" t="str">
        <f>"3100602643019"</f>
        <v>0</v>
      </c>
      <c r="F171" t="str">
        <f>"000030"</f>
        <v>0</v>
      </c>
      <c r="G171" t="s">
        <v>21</v>
      </c>
    </row>
    <row r="172" spans="1:7">
      <c r="A172">
        <v>171</v>
      </c>
      <c r="B172" t="str">
        <f>"011950"</f>
        <v>0</v>
      </c>
      <c r="C172" t="s">
        <v>348</v>
      </c>
      <c r="D172" t="s">
        <v>349</v>
      </c>
      <c r="E172" t="str">
        <f>"3100601070163"</f>
        <v>0</v>
      </c>
      <c r="F172" t="str">
        <f>"000030"</f>
        <v>0</v>
      </c>
      <c r="G172" t="s">
        <v>21</v>
      </c>
    </row>
    <row r="173" spans="1:7">
      <c r="A173">
        <v>172</v>
      </c>
      <c r="B173" t="str">
        <f>"012121"</f>
        <v>0</v>
      </c>
      <c r="C173" t="s">
        <v>350</v>
      </c>
      <c r="D173" t="s">
        <v>351</v>
      </c>
      <c r="E173" t="str">
        <f>"3100602995802"</f>
        <v>0</v>
      </c>
      <c r="F173" t="str">
        <f>"000030"</f>
        <v>0</v>
      </c>
      <c r="G173" t="s">
        <v>21</v>
      </c>
    </row>
    <row r="174" spans="1:7">
      <c r="A174">
        <v>173</v>
      </c>
      <c r="B174" t="str">
        <f>"012192"</f>
        <v>0</v>
      </c>
      <c r="C174" t="s">
        <v>352</v>
      </c>
      <c r="D174" t="s">
        <v>353</v>
      </c>
      <c r="E174" t="str">
        <f>"3101701261298"</f>
        <v>0</v>
      </c>
      <c r="F174" t="str">
        <f>"000030"</f>
        <v>0</v>
      </c>
      <c r="G174" t="s">
        <v>21</v>
      </c>
    </row>
    <row r="175" spans="1:7">
      <c r="A175">
        <v>174</v>
      </c>
      <c r="B175" t="str">
        <f>"012193"</f>
        <v>0</v>
      </c>
      <c r="C175" t="s">
        <v>354</v>
      </c>
      <c r="D175" t="s">
        <v>355</v>
      </c>
      <c r="E175" t="str">
        <f>"3120100776284"</f>
        <v>0</v>
      </c>
      <c r="F175" t="str">
        <f>"000030"</f>
        <v>0</v>
      </c>
      <c r="G175" t="s">
        <v>21</v>
      </c>
    </row>
    <row r="176" spans="1:7">
      <c r="A176">
        <v>175</v>
      </c>
      <c r="B176" t="str">
        <f>"012273"</f>
        <v>0</v>
      </c>
      <c r="C176" t="s">
        <v>356</v>
      </c>
      <c r="D176" t="s">
        <v>357</v>
      </c>
      <c r="E176" t="str">
        <f>"3120100388322"</f>
        <v>0</v>
      </c>
      <c r="F176" t="str">
        <f>"000030"</f>
        <v>0</v>
      </c>
      <c r="G176" t="s">
        <v>21</v>
      </c>
    </row>
    <row r="177" spans="1:7">
      <c r="A177">
        <v>176</v>
      </c>
      <c r="B177" t="str">
        <f>"012370"</f>
        <v>0</v>
      </c>
      <c r="C177" t="s">
        <v>358</v>
      </c>
      <c r="D177" t="s">
        <v>359</v>
      </c>
      <c r="E177" t="str">
        <f>"3101201159575"</f>
        <v>0</v>
      </c>
      <c r="F177" t="str">
        <f>"000030"</f>
        <v>0</v>
      </c>
      <c r="G177" t="s">
        <v>21</v>
      </c>
    </row>
    <row r="178" spans="1:7">
      <c r="A178">
        <v>177</v>
      </c>
      <c r="B178" t="str">
        <f>"012397"</f>
        <v>0</v>
      </c>
      <c r="C178" t="s">
        <v>235</v>
      </c>
      <c r="D178" t="s">
        <v>360</v>
      </c>
      <c r="E178" t="str">
        <f>"3101700330971"</f>
        <v>0</v>
      </c>
      <c r="F178" t="str">
        <f>"000030"</f>
        <v>0</v>
      </c>
      <c r="G178" t="s">
        <v>21</v>
      </c>
    </row>
    <row r="179" spans="1:7">
      <c r="A179">
        <v>178</v>
      </c>
      <c r="B179" t="str">
        <f>"012465"</f>
        <v>0</v>
      </c>
      <c r="C179" t="s">
        <v>361</v>
      </c>
      <c r="D179" t="s">
        <v>362</v>
      </c>
      <c r="E179" t="str">
        <f>"3119900134901"</f>
        <v>0</v>
      </c>
      <c r="F179" t="str">
        <f>"000030"</f>
        <v>0</v>
      </c>
      <c r="G179" t="s">
        <v>21</v>
      </c>
    </row>
    <row r="180" spans="1:7">
      <c r="A180">
        <v>179</v>
      </c>
      <c r="B180" t="str">
        <f>"012468"</f>
        <v>0</v>
      </c>
      <c r="C180" t="s">
        <v>363</v>
      </c>
      <c r="D180" t="s">
        <v>364</v>
      </c>
      <c r="E180" t="str">
        <f>"3679900154648"</f>
        <v>0</v>
      </c>
      <c r="F180" t="str">
        <f>"000030"</f>
        <v>0</v>
      </c>
      <c r="G180" t="s">
        <v>21</v>
      </c>
    </row>
    <row r="181" spans="1:7">
      <c r="A181">
        <v>180</v>
      </c>
      <c r="B181" t="str">
        <f>"012505"</f>
        <v>0</v>
      </c>
      <c r="C181" t="s">
        <v>365</v>
      </c>
      <c r="D181" t="s">
        <v>366</v>
      </c>
      <c r="E181" t="str">
        <f>"3930100444187"</f>
        <v>0</v>
      </c>
      <c r="F181" t="str">
        <f>"000030"</f>
        <v>0</v>
      </c>
      <c r="G181" t="s">
        <v>21</v>
      </c>
    </row>
    <row r="182" spans="1:7">
      <c r="A182">
        <v>181</v>
      </c>
      <c r="B182" t="str">
        <f>"012519"</f>
        <v>0</v>
      </c>
      <c r="C182" t="s">
        <v>367</v>
      </c>
      <c r="D182" t="s">
        <v>261</v>
      </c>
      <c r="E182" t="str">
        <f>"3909900623904"</f>
        <v>0</v>
      </c>
      <c r="F182" t="str">
        <f>"000030"</f>
        <v>0</v>
      </c>
      <c r="G182" t="s">
        <v>21</v>
      </c>
    </row>
    <row r="183" spans="1:7">
      <c r="A183">
        <v>182</v>
      </c>
      <c r="B183" t="str">
        <f>"012685"</f>
        <v>0</v>
      </c>
      <c r="C183" t="s">
        <v>368</v>
      </c>
      <c r="D183" t="s">
        <v>357</v>
      </c>
      <c r="E183" t="str">
        <f>"3120100388314"</f>
        <v>0</v>
      </c>
      <c r="F183" t="str">
        <f>"000030"</f>
        <v>0</v>
      </c>
      <c r="G183" t="s">
        <v>21</v>
      </c>
    </row>
    <row r="184" spans="1:7">
      <c r="A184">
        <v>183</v>
      </c>
      <c r="B184" t="str">
        <f>"012745"</f>
        <v>0</v>
      </c>
      <c r="C184" t="s">
        <v>24</v>
      </c>
      <c r="D184" t="s">
        <v>369</v>
      </c>
      <c r="E184" t="str">
        <f>"3102002117105"</f>
        <v>0</v>
      </c>
      <c r="F184" t="str">
        <f>"000030"</f>
        <v>0</v>
      </c>
      <c r="G184" t="s">
        <v>21</v>
      </c>
    </row>
    <row r="185" spans="1:7">
      <c r="A185">
        <v>184</v>
      </c>
      <c r="B185" t="str">
        <f>"013197"</f>
        <v>0</v>
      </c>
      <c r="C185" t="s">
        <v>370</v>
      </c>
      <c r="D185" t="s">
        <v>371</v>
      </c>
      <c r="E185" t="str">
        <f>"3102002527648"</f>
        <v>0</v>
      </c>
      <c r="F185" t="str">
        <f>"000030"</f>
        <v>0</v>
      </c>
      <c r="G185" t="s">
        <v>21</v>
      </c>
    </row>
    <row r="186" spans="1:7">
      <c r="A186">
        <v>185</v>
      </c>
      <c r="B186" t="str">
        <f>"013199"</f>
        <v>0</v>
      </c>
      <c r="C186" t="s">
        <v>372</v>
      </c>
      <c r="D186" t="s">
        <v>265</v>
      </c>
      <c r="E186" t="str">
        <f>"3200600154117"</f>
        <v>0</v>
      </c>
      <c r="F186" t="str">
        <f>"000030"</f>
        <v>0</v>
      </c>
      <c r="G186" t="s">
        <v>21</v>
      </c>
    </row>
    <row r="187" spans="1:7">
      <c r="A187">
        <v>186</v>
      </c>
      <c r="B187" t="str">
        <f>"013253"</f>
        <v>0</v>
      </c>
      <c r="C187" t="s">
        <v>373</v>
      </c>
      <c r="D187" t="s">
        <v>374</v>
      </c>
      <c r="E187" t="str">
        <f>"3101500286226"</f>
        <v>0</v>
      </c>
      <c r="F187" t="str">
        <f>"000030"</f>
        <v>0</v>
      </c>
      <c r="G187" t="s">
        <v>21</v>
      </c>
    </row>
    <row r="188" spans="1:7">
      <c r="A188">
        <v>187</v>
      </c>
      <c r="B188" t="str">
        <f>"013489"</f>
        <v>0</v>
      </c>
      <c r="C188" t="s">
        <v>375</v>
      </c>
      <c r="D188" t="s">
        <v>376</v>
      </c>
      <c r="E188" t="str">
        <f>"3101300336106"</f>
        <v>0</v>
      </c>
      <c r="F188" t="str">
        <f>"000030"</f>
        <v>0</v>
      </c>
      <c r="G188" t="s">
        <v>21</v>
      </c>
    </row>
    <row r="189" spans="1:7">
      <c r="A189">
        <v>188</v>
      </c>
      <c r="B189" t="str">
        <f>"013520"</f>
        <v>0</v>
      </c>
      <c r="C189" t="s">
        <v>377</v>
      </c>
      <c r="D189" t="s">
        <v>378</v>
      </c>
      <c r="E189" t="str">
        <f>"3360700036859"</f>
        <v>0</v>
      </c>
      <c r="F189" t="str">
        <f>"000030"</f>
        <v>0</v>
      </c>
      <c r="G189" t="s">
        <v>21</v>
      </c>
    </row>
    <row r="190" spans="1:7">
      <c r="A190">
        <v>189</v>
      </c>
      <c r="B190" t="str">
        <f>"013586"</f>
        <v>0</v>
      </c>
      <c r="C190" t="s">
        <v>379</v>
      </c>
      <c r="D190" t="s">
        <v>380</v>
      </c>
      <c r="E190" t="str">
        <f>"3240600018981"</f>
        <v>0</v>
      </c>
      <c r="F190" t="str">
        <f>"000030"</f>
        <v>0</v>
      </c>
      <c r="G190" t="s">
        <v>21</v>
      </c>
    </row>
    <row r="191" spans="1:7">
      <c r="A191">
        <v>190</v>
      </c>
      <c r="B191" t="str">
        <f>"013595"</f>
        <v>0</v>
      </c>
      <c r="C191" t="s">
        <v>381</v>
      </c>
      <c r="D191" t="s">
        <v>382</v>
      </c>
      <c r="E191" t="str">
        <f>"3101600352239"</f>
        <v>0</v>
      </c>
      <c r="F191" t="str">
        <f>"000030"</f>
        <v>0</v>
      </c>
      <c r="G191" t="s">
        <v>21</v>
      </c>
    </row>
    <row r="192" spans="1:7">
      <c r="A192">
        <v>191</v>
      </c>
      <c r="B192" t="str">
        <f>"013626"</f>
        <v>0</v>
      </c>
      <c r="C192" t="s">
        <v>383</v>
      </c>
      <c r="D192" t="s">
        <v>384</v>
      </c>
      <c r="E192" t="str">
        <f>"3102100060272"</f>
        <v>0</v>
      </c>
      <c r="F192" t="str">
        <f>"000030"</f>
        <v>0</v>
      </c>
      <c r="G192" t="s">
        <v>21</v>
      </c>
    </row>
    <row r="193" spans="1:7">
      <c r="A193">
        <v>192</v>
      </c>
      <c r="B193" t="str">
        <f>"013679"</f>
        <v>0</v>
      </c>
      <c r="C193" t="s">
        <v>385</v>
      </c>
      <c r="D193" t="s">
        <v>386</v>
      </c>
      <c r="E193" t="str">
        <f>"3102300173551"</f>
        <v>0</v>
      </c>
      <c r="F193" t="str">
        <f>"000030"</f>
        <v>0</v>
      </c>
      <c r="G193" t="s">
        <v>21</v>
      </c>
    </row>
    <row r="194" spans="1:7">
      <c r="A194">
        <v>193</v>
      </c>
      <c r="B194" t="str">
        <f>"013780"</f>
        <v>0</v>
      </c>
      <c r="C194" t="s">
        <v>387</v>
      </c>
      <c r="D194" t="s">
        <v>388</v>
      </c>
      <c r="E194" t="str">
        <f>"3100603100591"</f>
        <v>0</v>
      </c>
      <c r="F194" t="str">
        <f>"000030"</f>
        <v>0</v>
      </c>
      <c r="G194" t="s">
        <v>21</v>
      </c>
    </row>
    <row r="195" spans="1:7">
      <c r="A195">
        <v>194</v>
      </c>
      <c r="B195" t="str">
        <f>"013817"</f>
        <v>0</v>
      </c>
      <c r="C195" t="s">
        <v>389</v>
      </c>
      <c r="D195" t="s">
        <v>390</v>
      </c>
      <c r="E195" t="str">
        <f>"3102001157740"</f>
        <v>0</v>
      </c>
      <c r="F195" t="str">
        <f>"000030"</f>
        <v>0</v>
      </c>
      <c r="G195" t="s">
        <v>21</v>
      </c>
    </row>
    <row r="196" spans="1:7">
      <c r="A196">
        <v>195</v>
      </c>
      <c r="B196" t="str">
        <f>"013830"</f>
        <v>0</v>
      </c>
      <c r="C196" t="s">
        <v>391</v>
      </c>
      <c r="D196" t="s">
        <v>392</v>
      </c>
      <c r="E196" t="str">
        <f>"3309900098368"</f>
        <v>0</v>
      </c>
      <c r="F196" t="str">
        <f>"000030"</f>
        <v>0</v>
      </c>
      <c r="G196" t="s">
        <v>21</v>
      </c>
    </row>
    <row r="197" spans="1:7">
      <c r="A197">
        <v>196</v>
      </c>
      <c r="B197" t="str">
        <f>"013867"</f>
        <v>0</v>
      </c>
      <c r="C197" t="s">
        <v>393</v>
      </c>
      <c r="D197" t="s">
        <v>394</v>
      </c>
      <c r="E197" t="str">
        <f>"3100600380720"</f>
        <v>0</v>
      </c>
      <c r="F197" t="str">
        <f>"000030"</f>
        <v>0</v>
      </c>
      <c r="G197" t="s">
        <v>21</v>
      </c>
    </row>
    <row r="198" spans="1:7">
      <c r="A198">
        <v>197</v>
      </c>
      <c r="B198" t="str">
        <f>"013995"</f>
        <v>0</v>
      </c>
      <c r="C198" t="s">
        <v>395</v>
      </c>
      <c r="D198" t="s">
        <v>396</v>
      </c>
      <c r="E198" t="str">
        <f>"3100500149821"</f>
        <v>0</v>
      </c>
      <c r="F198" t="str">
        <f>"000030"</f>
        <v>0</v>
      </c>
      <c r="G198" t="s">
        <v>21</v>
      </c>
    </row>
    <row r="199" spans="1:7">
      <c r="A199">
        <v>198</v>
      </c>
      <c r="B199" t="str">
        <f>"014125"</f>
        <v>0</v>
      </c>
      <c r="C199" t="s">
        <v>397</v>
      </c>
      <c r="D199" t="s">
        <v>398</v>
      </c>
      <c r="E199" t="str">
        <f>"3100602676324"</f>
        <v>0</v>
      </c>
      <c r="F199" t="str">
        <f>"000030"</f>
        <v>0</v>
      </c>
      <c r="G199" t="s">
        <v>21</v>
      </c>
    </row>
    <row r="200" spans="1:7">
      <c r="A200">
        <v>199</v>
      </c>
      <c r="B200" t="str">
        <f>"014159"</f>
        <v>0</v>
      </c>
      <c r="C200" t="s">
        <v>399</v>
      </c>
      <c r="D200" t="s">
        <v>400</v>
      </c>
      <c r="E200" t="str">
        <f>"3100503853988"</f>
        <v>0</v>
      </c>
      <c r="F200" t="str">
        <f>"000030"</f>
        <v>0</v>
      </c>
      <c r="G200" t="s">
        <v>21</v>
      </c>
    </row>
    <row r="201" spans="1:7">
      <c r="A201">
        <v>200</v>
      </c>
      <c r="B201" t="str">
        <f>"014278"</f>
        <v>0</v>
      </c>
      <c r="C201" t="s">
        <v>401</v>
      </c>
      <c r="D201" t="s">
        <v>402</v>
      </c>
      <c r="E201" t="str">
        <f>"3101501886502"</f>
        <v>0</v>
      </c>
      <c r="F201" t="str">
        <f>"000030"</f>
        <v>0</v>
      </c>
      <c r="G201" t="s">
        <v>21</v>
      </c>
    </row>
    <row r="202" spans="1:7">
      <c r="A202">
        <v>201</v>
      </c>
      <c r="B202" t="str">
        <f>"014321"</f>
        <v>0</v>
      </c>
      <c r="C202" t="s">
        <v>403</v>
      </c>
      <c r="D202" t="s">
        <v>404</v>
      </c>
      <c r="E202" t="str">
        <f>"3101200400970"</f>
        <v>0</v>
      </c>
      <c r="F202" t="str">
        <f>"000030"</f>
        <v>0</v>
      </c>
      <c r="G202" t="s">
        <v>21</v>
      </c>
    </row>
    <row r="203" spans="1:7">
      <c r="A203">
        <v>202</v>
      </c>
      <c r="B203" t="str">
        <f>"014322"</f>
        <v>0</v>
      </c>
      <c r="C203" t="s">
        <v>405</v>
      </c>
      <c r="D203" t="s">
        <v>406</v>
      </c>
      <c r="E203" t="str">
        <f>"3100700370475"</f>
        <v>0</v>
      </c>
      <c r="F203" t="str">
        <f>"000030"</f>
        <v>0</v>
      </c>
      <c r="G203" t="s">
        <v>21</v>
      </c>
    </row>
    <row r="204" spans="1:7">
      <c r="A204">
        <v>203</v>
      </c>
      <c r="B204" t="str">
        <f>"014324"</f>
        <v>0</v>
      </c>
      <c r="C204" t="s">
        <v>407</v>
      </c>
      <c r="D204" t="s">
        <v>408</v>
      </c>
      <c r="E204" t="str">
        <f>"3101403519106"</f>
        <v>0</v>
      </c>
      <c r="F204" t="str">
        <f>"000030"</f>
        <v>0</v>
      </c>
      <c r="G204" t="s">
        <v>21</v>
      </c>
    </row>
    <row r="205" spans="1:7">
      <c r="A205">
        <v>204</v>
      </c>
      <c r="B205" t="str">
        <f>"014369"</f>
        <v>0</v>
      </c>
      <c r="C205" t="s">
        <v>409</v>
      </c>
      <c r="D205" t="s">
        <v>410</v>
      </c>
      <c r="E205" t="str">
        <f>"3100400561941"</f>
        <v>0</v>
      </c>
      <c r="F205" t="str">
        <f>"000030"</f>
        <v>0</v>
      </c>
      <c r="G205" t="s">
        <v>21</v>
      </c>
    </row>
    <row r="206" spans="1:7">
      <c r="A206">
        <v>205</v>
      </c>
      <c r="B206" t="str">
        <f>"014681"</f>
        <v>0</v>
      </c>
      <c r="C206" t="s">
        <v>411</v>
      </c>
      <c r="D206" t="s">
        <v>412</v>
      </c>
      <c r="E206" t="str">
        <f>"3100600119924"</f>
        <v>0</v>
      </c>
      <c r="F206" t="str">
        <f>"000030"</f>
        <v>0</v>
      </c>
      <c r="G206" t="s">
        <v>21</v>
      </c>
    </row>
    <row r="207" spans="1:7">
      <c r="A207">
        <v>206</v>
      </c>
      <c r="B207" t="str">
        <f>"014828"</f>
        <v>0</v>
      </c>
      <c r="C207" t="s">
        <v>413</v>
      </c>
      <c r="D207" t="s">
        <v>414</v>
      </c>
      <c r="E207" t="str">
        <f>"3101800688494"</f>
        <v>0</v>
      </c>
      <c r="F207" t="str">
        <f>"000030"</f>
        <v>0</v>
      </c>
      <c r="G207" t="s">
        <v>21</v>
      </c>
    </row>
    <row r="208" spans="1:7">
      <c r="A208">
        <v>207</v>
      </c>
      <c r="B208" t="str">
        <f>"015194"</f>
        <v>0</v>
      </c>
      <c r="C208" t="s">
        <v>415</v>
      </c>
      <c r="D208" t="s">
        <v>416</v>
      </c>
      <c r="E208" t="str">
        <f>"3101500527126"</f>
        <v>0</v>
      </c>
      <c r="F208" t="str">
        <f>"000030"</f>
        <v>0</v>
      </c>
      <c r="G208" t="s">
        <v>21</v>
      </c>
    </row>
    <row r="209" spans="1:7">
      <c r="A209">
        <v>208</v>
      </c>
      <c r="B209" t="str">
        <f>"015199"</f>
        <v>0</v>
      </c>
      <c r="C209" t="s">
        <v>417</v>
      </c>
      <c r="D209" t="s">
        <v>418</v>
      </c>
      <c r="E209" t="str">
        <f>"3100500123351"</f>
        <v>0</v>
      </c>
      <c r="F209" t="str">
        <f>"000030"</f>
        <v>0</v>
      </c>
      <c r="G209" t="s">
        <v>21</v>
      </c>
    </row>
    <row r="210" spans="1:7">
      <c r="A210">
        <v>209</v>
      </c>
      <c r="B210" t="str">
        <f>"015202"</f>
        <v>0</v>
      </c>
      <c r="C210" t="s">
        <v>419</v>
      </c>
      <c r="D210" t="s">
        <v>420</v>
      </c>
      <c r="E210" t="str">
        <f>"3470400284902"</f>
        <v>0</v>
      </c>
      <c r="F210" t="str">
        <f>"000030"</f>
        <v>0</v>
      </c>
      <c r="G210" t="s">
        <v>21</v>
      </c>
    </row>
    <row r="211" spans="1:7">
      <c r="A211">
        <v>210</v>
      </c>
      <c r="B211" t="str">
        <f>"015411"</f>
        <v>0</v>
      </c>
      <c r="C211" t="s">
        <v>421</v>
      </c>
      <c r="D211" t="s">
        <v>422</v>
      </c>
      <c r="E211" t="str">
        <f>"3102001175896"</f>
        <v>0</v>
      </c>
      <c r="F211" t="str">
        <f>"000030"</f>
        <v>0</v>
      </c>
      <c r="G211" t="s">
        <v>21</v>
      </c>
    </row>
    <row r="212" spans="1:7">
      <c r="A212">
        <v>211</v>
      </c>
      <c r="B212" t="str">
        <f>"015491"</f>
        <v>0</v>
      </c>
      <c r="C212" t="s">
        <v>423</v>
      </c>
      <c r="D212" t="s">
        <v>424</v>
      </c>
      <c r="E212" t="str">
        <f>"3739900435450"</f>
        <v>0</v>
      </c>
      <c r="F212" t="str">
        <f>"000030"</f>
        <v>0</v>
      </c>
      <c r="G212" t="s">
        <v>21</v>
      </c>
    </row>
    <row r="213" spans="1:7">
      <c r="A213">
        <v>212</v>
      </c>
      <c r="B213" t="str">
        <f>"015543"</f>
        <v>0</v>
      </c>
      <c r="C213" t="s">
        <v>425</v>
      </c>
      <c r="D213" t="s">
        <v>426</v>
      </c>
      <c r="E213" t="str">
        <f>"3400600017380"</f>
        <v>0</v>
      </c>
      <c r="F213" t="str">
        <f>"000030"</f>
        <v>0</v>
      </c>
      <c r="G213" t="s">
        <v>21</v>
      </c>
    </row>
    <row r="214" spans="1:7">
      <c r="A214">
        <v>213</v>
      </c>
      <c r="B214" t="str">
        <f>"015587"</f>
        <v>0</v>
      </c>
      <c r="C214" t="s">
        <v>427</v>
      </c>
      <c r="D214" t="s">
        <v>428</v>
      </c>
      <c r="E214" t="str">
        <f>"3100502930148"</f>
        <v>0</v>
      </c>
      <c r="F214" t="str">
        <f>"000030"</f>
        <v>0</v>
      </c>
      <c r="G214" t="s">
        <v>21</v>
      </c>
    </row>
    <row r="215" spans="1:7">
      <c r="A215">
        <v>214</v>
      </c>
      <c r="B215" t="str">
        <f>"015595"</f>
        <v>0</v>
      </c>
      <c r="C215" t="s">
        <v>429</v>
      </c>
      <c r="D215" t="s">
        <v>430</v>
      </c>
      <c r="E215" t="str">
        <f>"3100500158341"</f>
        <v>0</v>
      </c>
      <c r="F215" t="str">
        <f>"000030"</f>
        <v>0</v>
      </c>
      <c r="G215" t="s">
        <v>21</v>
      </c>
    </row>
    <row r="216" spans="1:7">
      <c r="A216">
        <v>215</v>
      </c>
      <c r="B216" t="str">
        <f>"015596"</f>
        <v>0</v>
      </c>
      <c r="C216" t="s">
        <v>431</v>
      </c>
      <c r="D216" t="s">
        <v>432</v>
      </c>
      <c r="E216" t="str">
        <f>"3100501579838"</f>
        <v>0</v>
      </c>
      <c r="F216" t="str">
        <f>"000030"</f>
        <v>0</v>
      </c>
      <c r="G216" t="s">
        <v>21</v>
      </c>
    </row>
    <row r="217" spans="1:7">
      <c r="A217">
        <v>216</v>
      </c>
      <c r="B217" t="str">
        <f>"015605"</f>
        <v>0</v>
      </c>
      <c r="C217" t="s">
        <v>433</v>
      </c>
      <c r="D217" t="s">
        <v>434</v>
      </c>
      <c r="E217" t="str">
        <f>"3100501872586"</f>
        <v>0</v>
      </c>
      <c r="F217" t="str">
        <f>"000030"</f>
        <v>0</v>
      </c>
      <c r="G217" t="s">
        <v>21</v>
      </c>
    </row>
    <row r="218" spans="1:7">
      <c r="A218">
        <v>217</v>
      </c>
      <c r="B218" t="str">
        <f>"015611"</f>
        <v>0</v>
      </c>
      <c r="C218" t="s">
        <v>435</v>
      </c>
      <c r="D218" t="s">
        <v>436</v>
      </c>
      <c r="E218" t="str">
        <f>"3130700245310"</f>
        <v>0</v>
      </c>
      <c r="F218" t="str">
        <f>"000030"</f>
        <v>0</v>
      </c>
      <c r="G218" t="s">
        <v>21</v>
      </c>
    </row>
    <row r="219" spans="1:7">
      <c r="A219">
        <v>218</v>
      </c>
      <c r="B219" t="str">
        <f>"015617"</f>
        <v>0</v>
      </c>
      <c r="C219" t="s">
        <v>437</v>
      </c>
      <c r="D219" t="s">
        <v>438</v>
      </c>
      <c r="E219" t="str">
        <f>"3100501698667"</f>
        <v>0</v>
      </c>
      <c r="F219" t="str">
        <f>"000030"</f>
        <v>0</v>
      </c>
      <c r="G219" t="s">
        <v>21</v>
      </c>
    </row>
    <row r="220" spans="1:7">
      <c r="A220">
        <v>219</v>
      </c>
      <c r="B220" t="str">
        <f>"015792"</f>
        <v>0</v>
      </c>
      <c r="C220" t="s">
        <v>439</v>
      </c>
      <c r="D220" t="s">
        <v>440</v>
      </c>
      <c r="E220" t="str">
        <f>"4100600056262"</f>
        <v>0</v>
      </c>
      <c r="F220" t="str">
        <f>"000030"</f>
        <v>0</v>
      </c>
      <c r="G220" t="s">
        <v>21</v>
      </c>
    </row>
    <row r="221" spans="1:7">
      <c r="A221">
        <v>220</v>
      </c>
      <c r="B221" t="str">
        <f>"015876"</f>
        <v>0</v>
      </c>
      <c r="C221" t="s">
        <v>50</v>
      </c>
      <c r="D221" t="s">
        <v>441</v>
      </c>
      <c r="E221" t="str">
        <f>"3120100384769"</f>
        <v>0</v>
      </c>
      <c r="F221" t="str">
        <f>"000030"</f>
        <v>0</v>
      </c>
      <c r="G221" t="s">
        <v>21</v>
      </c>
    </row>
    <row r="222" spans="1:7">
      <c r="A222">
        <v>221</v>
      </c>
      <c r="B222" t="str">
        <f>"015958"</f>
        <v>0</v>
      </c>
      <c r="C222" t="s">
        <v>442</v>
      </c>
      <c r="D222" t="s">
        <v>443</v>
      </c>
      <c r="E222" t="str">
        <f>"3720700846229"</f>
        <v>0</v>
      </c>
      <c r="F222" t="str">
        <f>"000030"</f>
        <v>0</v>
      </c>
      <c r="G222" t="s">
        <v>21</v>
      </c>
    </row>
    <row r="223" spans="1:7">
      <c r="A223">
        <v>222</v>
      </c>
      <c r="B223" t="str">
        <f>"016169"</f>
        <v>0</v>
      </c>
      <c r="C223" t="s">
        <v>444</v>
      </c>
      <c r="D223" t="s">
        <v>339</v>
      </c>
      <c r="E223" t="str">
        <f>"3100500313826"</f>
        <v>0</v>
      </c>
      <c r="F223" t="str">
        <f>"000030"</f>
        <v>0</v>
      </c>
      <c r="G223" t="s">
        <v>21</v>
      </c>
    </row>
    <row r="224" spans="1:7">
      <c r="A224">
        <v>223</v>
      </c>
      <c r="B224" t="str">
        <f>"016403"</f>
        <v>0</v>
      </c>
      <c r="C224" t="s">
        <v>445</v>
      </c>
      <c r="D224" t="s">
        <v>446</v>
      </c>
      <c r="E224" t="str">
        <f>"3101700040069"</f>
        <v>0</v>
      </c>
      <c r="F224" t="str">
        <f>"000030"</f>
        <v>0</v>
      </c>
      <c r="G224" t="s">
        <v>21</v>
      </c>
    </row>
    <row r="225" spans="1:7">
      <c r="A225">
        <v>224</v>
      </c>
      <c r="B225" t="str">
        <f>"016411"</f>
        <v>0</v>
      </c>
      <c r="C225" t="s">
        <v>447</v>
      </c>
      <c r="D225" t="s">
        <v>448</v>
      </c>
      <c r="E225" t="str">
        <f>"3180300120200"</f>
        <v>0</v>
      </c>
      <c r="F225" t="str">
        <f>"000030"</f>
        <v>0</v>
      </c>
      <c r="G225" t="s">
        <v>21</v>
      </c>
    </row>
    <row r="226" spans="1:7">
      <c r="A226">
        <v>225</v>
      </c>
      <c r="B226" t="str">
        <f>"016456"</f>
        <v>0</v>
      </c>
      <c r="C226" t="s">
        <v>449</v>
      </c>
      <c r="D226" t="s">
        <v>450</v>
      </c>
      <c r="E226" t="str">
        <f>"3100601697441"</f>
        <v>0</v>
      </c>
      <c r="F226" t="str">
        <f>"000030"</f>
        <v>0</v>
      </c>
      <c r="G226" t="s">
        <v>21</v>
      </c>
    </row>
    <row r="227" spans="1:7">
      <c r="A227">
        <v>226</v>
      </c>
      <c r="B227" t="str">
        <f>"016724"</f>
        <v>0</v>
      </c>
      <c r="C227" t="s">
        <v>451</v>
      </c>
      <c r="D227" t="s">
        <v>452</v>
      </c>
      <c r="E227" t="str">
        <f>"3100601942462"</f>
        <v>0</v>
      </c>
      <c r="F227" t="str">
        <f>"000030"</f>
        <v>0</v>
      </c>
      <c r="G227" t="s">
        <v>21</v>
      </c>
    </row>
    <row r="228" spans="1:7">
      <c r="A228">
        <v>227</v>
      </c>
      <c r="B228" t="str">
        <f>"016732"</f>
        <v>0</v>
      </c>
      <c r="C228" t="s">
        <v>239</v>
      </c>
      <c r="D228" t="s">
        <v>453</v>
      </c>
      <c r="E228" t="str">
        <f>"3102200236941"</f>
        <v>0</v>
      </c>
      <c r="F228" t="str">
        <f>"000030"</f>
        <v>0</v>
      </c>
      <c r="G228" t="s">
        <v>21</v>
      </c>
    </row>
    <row r="229" spans="1:7">
      <c r="A229">
        <v>228</v>
      </c>
      <c r="B229" t="str">
        <f>"016751"</f>
        <v>0</v>
      </c>
      <c r="C229" t="s">
        <v>454</v>
      </c>
      <c r="D229" t="s">
        <v>455</v>
      </c>
      <c r="E229" t="str">
        <f>"3101501478846"</f>
        <v>0</v>
      </c>
      <c r="F229" t="str">
        <f>"000030"</f>
        <v>0</v>
      </c>
      <c r="G229" t="s">
        <v>21</v>
      </c>
    </row>
    <row r="230" spans="1:7">
      <c r="A230">
        <v>229</v>
      </c>
      <c r="B230" t="str">
        <f>"016760"</f>
        <v>0</v>
      </c>
      <c r="C230" t="s">
        <v>456</v>
      </c>
      <c r="D230" t="s">
        <v>457</v>
      </c>
      <c r="E230" t="str">
        <f>"3189900096561"</f>
        <v>0</v>
      </c>
      <c r="F230" t="str">
        <f>"000030"</f>
        <v>0</v>
      </c>
      <c r="G230" t="s">
        <v>21</v>
      </c>
    </row>
    <row r="231" spans="1:7">
      <c r="A231">
        <v>230</v>
      </c>
      <c r="B231" t="str">
        <f>"016798"</f>
        <v>0</v>
      </c>
      <c r="C231" t="s">
        <v>458</v>
      </c>
      <c r="D231" t="s">
        <v>459</v>
      </c>
      <c r="E231" t="str">
        <f>"3601000123382"</f>
        <v>0</v>
      </c>
      <c r="F231" t="str">
        <f>"000030"</f>
        <v>0</v>
      </c>
      <c r="G231" t="s">
        <v>21</v>
      </c>
    </row>
    <row r="232" spans="1:7">
      <c r="A232">
        <v>231</v>
      </c>
      <c r="B232" t="str">
        <f>"016853"</f>
        <v>0</v>
      </c>
      <c r="C232" t="s">
        <v>460</v>
      </c>
      <c r="D232" t="s">
        <v>461</v>
      </c>
      <c r="E232" t="str">
        <f>"3100602305865"</f>
        <v>0</v>
      </c>
      <c r="F232" t="str">
        <f>"000030"</f>
        <v>0</v>
      </c>
      <c r="G232" t="s">
        <v>21</v>
      </c>
    </row>
    <row r="233" spans="1:7">
      <c r="A233">
        <v>232</v>
      </c>
      <c r="B233" t="str">
        <f>"016890"</f>
        <v>0</v>
      </c>
      <c r="C233" t="s">
        <v>462</v>
      </c>
      <c r="D233" t="s">
        <v>463</v>
      </c>
      <c r="E233" t="str">
        <f>"3100200862352"</f>
        <v>0</v>
      </c>
      <c r="F233" t="str">
        <f>"000030"</f>
        <v>0</v>
      </c>
      <c r="G233" t="s">
        <v>21</v>
      </c>
    </row>
    <row r="234" spans="1:7">
      <c r="A234">
        <v>233</v>
      </c>
      <c r="B234" t="str">
        <f>"016943"</f>
        <v>0</v>
      </c>
      <c r="C234" t="s">
        <v>464</v>
      </c>
      <c r="D234" t="s">
        <v>465</v>
      </c>
      <c r="E234" t="str">
        <f>"3100601829208"</f>
        <v>0</v>
      </c>
      <c r="F234" t="str">
        <f>"000030"</f>
        <v>0</v>
      </c>
      <c r="G234" t="s">
        <v>21</v>
      </c>
    </row>
    <row r="235" spans="1:7">
      <c r="A235">
        <v>234</v>
      </c>
      <c r="B235" t="str">
        <f>"016945"</f>
        <v>0</v>
      </c>
      <c r="C235" t="s">
        <v>466</v>
      </c>
      <c r="D235" t="s">
        <v>467</v>
      </c>
      <c r="E235" t="str">
        <f>"3500600079651"</f>
        <v>0</v>
      </c>
      <c r="F235" t="str">
        <f>"000030"</f>
        <v>0</v>
      </c>
      <c r="G235" t="s">
        <v>21</v>
      </c>
    </row>
    <row r="236" spans="1:7">
      <c r="A236">
        <v>235</v>
      </c>
      <c r="B236" t="str">
        <f>"016955"</f>
        <v>0</v>
      </c>
      <c r="C236" t="s">
        <v>468</v>
      </c>
      <c r="D236" t="s">
        <v>469</v>
      </c>
      <c r="E236" t="str">
        <f>"4100600073949"</f>
        <v>0</v>
      </c>
      <c r="F236" t="str">
        <f>"000030"</f>
        <v>0</v>
      </c>
      <c r="G236" t="s">
        <v>21</v>
      </c>
    </row>
    <row r="237" spans="1:7">
      <c r="A237">
        <v>236</v>
      </c>
      <c r="B237" t="str">
        <f>"016959"</f>
        <v>0</v>
      </c>
      <c r="C237" t="s">
        <v>470</v>
      </c>
      <c r="D237" t="s">
        <v>471</v>
      </c>
      <c r="E237" t="str">
        <f>"3900700151385"</f>
        <v>0</v>
      </c>
      <c r="F237" t="str">
        <f>"000030"</f>
        <v>0</v>
      </c>
      <c r="G237" t="s">
        <v>21</v>
      </c>
    </row>
    <row r="238" spans="1:7">
      <c r="A238">
        <v>237</v>
      </c>
      <c r="B238" t="str">
        <f>"017017"</f>
        <v>0</v>
      </c>
      <c r="C238" t="s">
        <v>472</v>
      </c>
      <c r="D238" t="s">
        <v>473</v>
      </c>
      <c r="E238" t="str">
        <f>"3100200543885"</f>
        <v>0</v>
      </c>
      <c r="F238" t="str">
        <f>"000030"</f>
        <v>0</v>
      </c>
      <c r="G238" t="s">
        <v>21</v>
      </c>
    </row>
    <row r="239" spans="1:7">
      <c r="A239">
        <v>238</v>
      </c>
      <c r="B239" t="str">
        <f>"017018"</f>
        <v>0</v>
      </c>
      <c r="C239" t="s">
        <v>474</v>
      </c>
      <c r="D239" t="s">
        <v>475</v>
      </c>
      <c r="E239" t="str">
        <f>"3100601898412"</f>
        <v>0</v>
      </c>
      <c r="F239" t="str">
        <f>"000030"</f>
        <v>0</v>
      </c>
      <c r="G239" t="s">
        <v>21</v>
      </c>
    </row>
    <row r="240" spans="1:7">
      <c r="A240">
        <v>239</v>
      </c>
      <c r="B240" t="str">
        <f>"017082"</f>
        <v>0</v>
      </c>
      <c r="C240" t="s">
        <v>476</v>
      </c>
      <c r="D240" t="s">
        <v>353</v>
      </c>
      <c r="E240" t="str">
        <f>"3101701261271"</f>
        <v>0</v>
      </c>
      <c r="F240" t="str">
        <f>"000030"</f>
        <v>0</v>
      </c>
      <c r="G240" t="s">
        <v>21</v>
      </c>
    </row>
    <row r="241" spans="1:7">
      <c r="A241">
        <v>240</v>
      </c>
      <c r="B241" t="str">
        <f>"017102"</f>
        <v>0</v>
      </c>
      <c r="C241" t="s">
        <v>239</v>
      </c>
      <c r="D241" t="s">
        <v>477</v>
      </c>
      <c r="E241" t="str">
        <f>"3100600101707"</f>
        <v>0</v>
      </c>
      <c r="F241" t="str">
        <f>"000030"</f>
        <v>0</v>
      </c>
      <c r="G241" t="s">
        <v>21</v>
      </c>
    </row>
    <row r="242" spans="1:7">
      <c r="A242">
        <v>241</v>
      </c>
      <c r="B242" t="str">
        <f>"017294"</f>
        <v>0</v>
      </c>
      <c r="C242" t="s">
        <v>478</v>
      </c>
      <c r="D242" t="s">
        <v>479</v>
      </c>
      <c r="E242" t="str">
        <f>"3101600041802"</f>
        <v>0</v>
      </c>
      <c r="F242" t="str">
        <f>"000030"</f>
        <v>0</v>
      </c>
      <c r="G242" t="s">
        <v>21</v>
      </c>
    </row>
    <row r="243" spans="1:7">
      <c r="A243">
        <v>242</v>
      </c>
      <c r="B243" t="str">
        <f>"017358"</f>
        <v>0</v>
      </c>
      <c r="C243" t="s">
        <v>480</v>
      </c>
      <c r="D243" t="s">
        <v>481</v>
      </c>
      <c r="E243" t="str">
        <f>"3100600797396"</f>
        <v>0</v>
      </c>
      <c r="F243" t="str">
        <f>"000030"</f>
        <v>0</v>
      </c>
      <c r="G243" t="s">
        <v>21</v>
      </c>
    </row>
    <row r="244" spans="1:7">
      <c r="A244">
        <v>243</v>
      </c>
      <c r="B244" t="str">
        <f>"017361"</f>
        <v>0</v>
      </c>
      <c r="C244" t="s">
        <v>482</v>
      </c>
      <c r="D244" t="s">
        <v>483</v>
      </c>
      <c r="E244" t="str">
        <f>"3100502901474"</f>
        <v>0</v>
      </c>
      <c r="F244" t="str">
        <f>"000030"</f>
        <v>0</v>
      </c>
      <c r="G244" t="s">
        <v>21</v>
      </c>
    </row>
    <row r="245" spans="1:7">
      <c r="A245">
        <v>244</v>
      </c>
      <c r="B245" t="str">
        <f>"017363"</f>
        <v>0</v>
      </c>
      <c r="C245" t="s">
        <v>484</v>
      </c>
      <c r="D245" t="s">
        <v>485</v>
      </c>
      <c r="E245" t="str">
        <f>"4100900001781"</f>
        <v>0</v>
      </c>
      <c r="F245" t="str">
        <f>"000030"</f>
        <v>0</v>
      </c>
      <c r="G245" t="s">
        <v>21</v>
      </c>
    </row>
    <row r="246" spans="1:7">
      <c r="A246">
        <v>245</v>
      </c>
      <c r="B246" t="str">
        <f>"017366"</f>
        <v>0</v>
      </c>
      <c r="C246" t="s">
        <v>486</v>
      </c>
      <c r="D246" t="s">
        <v>487</v>
      </c>
      <c r="E246" t="str">
        <f>"3100500926844"</f>
        <v>0</v>
      </c>
      <c r="F246" t="str">
        <f>"000030"</f>
        <v>0</v>
      </c>
      <c r="G246" t="s">
        <v>21</v>
      </c>
    </row>
    <row r="247" spans="1:7">
      <c r="A247">
        <v>246</v>
      </c>
      <c r="B247" t="str">
        <f>"017428"</f>
        <v>0</v>
      </c>
      <c r="C247" t="s">
        <v>488</v>
      </c>
      <c r="D247" t="s">
        <v>489</v>
      </c>
      <c r="E247" t="str">
        <f>"3100503600621"</f>
        <v>0</v>
      </c>
      <c r="F247" t="str">
        <f>"000030"</f>
        <v>0</v>
      </c>
      <c r="G247" t="s">
        <v>21</v>
      </c>
    </row>
    <row r="248" spans="1:7">
      <c r="A248">
        <v>247</v>
      </c>
      <c r="B248" t="str">
        <f>"017481"</f>
        <v>0</v>
      </c>
      <c r="C248" t="s">
        <v>490</v>
      </c>
      <c r="D248" t="s">
        <v>491</v>
      </c>
      <c r="E248" t="str">
        <f>"3809900603114"</f>
        <v>0</v>
      </c>
      <c r="F248" t="str">
        <f>"000030"</f>
        <v>0</v>
      </c>
      <c r="G248" t="s">
        <v>21</v>
      </c>
    </row>
    <row r="249" spans="1:7">
      <c r="A249">
        <v>248</v>
      </c>
      <c r="B249" t="str">
        <f>"017495"</f>
        <v>0</v>
      </c>
      <c r="C249" t="s">
        <v>492</v>
      </c>
      <c r="D249" t="s">
        <v>493</v>
      </c>
      <c r="E249" t="str">
        <f>"3100400613003"</f>
        <v>0</v>
      </c>
      <c r="F249" t="str">
        <f>"000030"</f>
        <v>0</v>
      </c>
      <c r="G249" t="s">
        <v>21</v>
      </c>
    </row>
    <row r="250" spans="1:7">
      <c r="A250">
        <v>249</v>
      </c>
      <c r="B250" t="str">
        <f>"017496"</f>
        <v>0</v>
      </c>
      <c r="C250" t="s">
        <v>494</v>
      </c>
      <c r="D250" t="s">
        <v>495</v>
      </c>
      <c r="E250" t="str">
        <f>"3100602677959"</f>
        <v>0</v>
      </c>
      <c r="F250" t="str">
        <f>"000030"</f>
        <v>0</v>
      </c>
      <c r="G250" t="s">
        <v>21</v>
      </c>
    </row>
    <row r="251" spans="1:7">
      <c r="A251">
        <v>250</v>
      </c>
      <c r="B251" t="str">
        <f>"017500"</f>
        <v>0</v>
      </c>
      <c r="C251" t="s">
        <v>496</v>
      </c>
      <c r="D251" t="s">
        <v>497</v>
      </c>
      <c r="E251" t="str">
        <f>"3100504106132"</f>
        <v>0</v>
      </c>
      <c r="F251" t="str">
        <f>"000030"</f>
        <v>0</v>
      </c>
      <c r="G251" t="s">
        <v>21</v>
      </c>
    </row>
    <row r="252" spans="1:7">
      <c r="A252">
        <v>251</v>
      </c>
      <c r="B252" t="str">
        <f>"017523"</f>
        <v>0</v>
      </c>
      <c r="C252" t="s">
        <v>498</v>
      </c>
      <c r="D252" t="s">
        <v>499</v>
      </c>
      <c r="E252" t="str">
        <f>"3960700032122"</f>
        <v>0</v>
      </c>
      <c r="F252" t="str">
        <f>"000030"</f>
        <v>0</v>
      </c>
      <c r="G252" t="s">
        <v>21</v>
      </c>
    </row>
    <row r="253" spans="1:7">
      <c r="A253">
        <v>252</v>
      </c>
      <c r="B253" t="str">
        <f>"017559"</f>
        <v>0</v>
      </c>
      <c r="C253" t="s">
        <v>500</v>
      </c>
      <c r="D253" t="s">
        <v>362</v>
      </c>
      <c r="E253" t="str">
        <f>"3100905274486"</f>
        <v>0</v>
      </c>
      <c r="F253" t="str">
        <f>"000030"</f>
        <v>0</v>
      </c>
      <c r="G253" t="s">
        <v>21</v>
      </c>
    </row>
    <row r="254" spans="1:7">
      <c r="A254">
        <v>253</v>
      </c>
      <c r="B254" t="str">
        <f>"017592"</f>
        <v>0</v>
      </c>
      <c r="C254" t="s">
        <v>501</v>
      </c>
      <c r="D254" t="s">
        <v>502</v>
      </c>
      <c r="E254" t="str">
        <f>"5120699009456"</f>
        <v>0</v>
      </c>
      <c r="F254" t="str">
        <f>"000030"</f>
        <v>0</v>
      </c>
      <c r="G254" t="s">
        <v>21</v>
      </c>
    </row>
    <row r="255" spans="1:7">
      <c r="A255">
        <v>254</v>
      </c>
      <c r="B255" t="str">
        <f>"017670"</f>
        <v>0</v>
      </c>
      <c r="C255" t="s">
        <v>46</v>
      </c>
      <c r="D255" t="s">
        <v>503</v>
      </c>
      <c r="E255" t="str">
        <f>"3149900442702"</f>
        <v>0</v>
      </c>
      <c r="F255" t="str">
        <f>"000030"</f>
        <v>0</v>
      </c>
      <c r="G255" t="s">
        <v>21</v>
      </c>
    </row>
    <row r="256" spans="1:7">
      <c r="A256">
        <v>255</v>
      </c>
      <c r="B256" t="str">
        <f>"017677"</f>
        <v>0</v>
      </c>
      <c r="C256" t="s">
        <v>504</v>
      </c>
      <c r="D256" t="s">
        <v>505</v>
      </c>
      <c r="E256" t="str">
        <f>"3459900093063"</f>
        <v>0</v>
      </c>
      <c r="F256" t="str">
        <f>"000030"</f>
        <v>0</v>
      </c>
      <c r="G256" t="s">
        <v>21</v>
      </c>
    </row>
    <row r="257" spans="1:7">
      <c r="A257">
        <v>256</v>
      </c>
      <c r="B257" t="str">
        <f>"017679"</f>
        <v>0</v>
      </c>
      <c r="C257" t="s">
        <v>506</v>
      </c>
      <c r="D257" t="s">
        <v>507</v>
      </c>
      <c r="E257" t="str">
        <f>"3102002427619"</f>
        <v>0</v>
      </c>
      <c r="F257" t="str">
        <f>"000030"</f>
        <v>0</v>
      </c>
      <c r="G257" t="s">
        <v>21</v>
      </c>
    </row>
    <row r="258" spans="1:7">
      <c r="A258">
        <v>257</v>
      </c>
      <c r="B258" t="str">
        <f>"017685"</f>
        <v>0</v>
      </c>
      <c r="C258" t="s">
        <v>508</v>
      </c>
      <c r="D258" t="s">
        <v>509</v>
      </c>
      <c r="E258" t="str">
        <f>"4101700037821"</f>
        <v>0</v>
      </c>
      <c r="F258" t="str">
        <f>"000030"</f>
        <v>0</v>
      </c>
      <c r="G258" t="s">
        <v>21</v>
      </c>
    </row>
    <row r="259" spans="1:7">
      <c r="A259">
        <v>258</v>
      </c>
      <c r="B259" t="str">
        <f>"017739"</f>
        <v>0</v>
      </c>
      <c r="C259" t="s">
        <v>510</v>
      </c>
      <c r="D259" t="s">
        <v>511</v>
      </c>
      <c r="E259" t="str">
        <f>"3102100594552"</f>
        <v>0</v>
      </c>
      <c r="F259" t="str">
        <f>"000030"</f>
        <v>0</v>
      </c>
      <c r="G259" t="s">
        <v>21</v>
      </c>
    </row>
    <row r="260" spans="1:7">
      <c r="A260">
        <v>259</v>
      </c>
      <c r="B260" t="str">
        <f>"017741"</f>
        <v>0</v>
      </c>
      <c r="C260" t="s">
        <v>512</v>
      </c>
      <c r="D260" t="s">
        <v>513</v>
      </c>
      <c r="E260" t="str">
        <f>"3170200113198"</f>
        <v>0</v>
      </c>
      <c r="F260" t="str">
        <f>"000030"</f>
        <v>0</v>
      </c>
      <c r="G260" t="s">
        <v>21</v>
      </c>
    </row>
    <row r="261" spans="1:7">
      <c r="A261">
        <v>260</v>
      </c>
      <c r="B261" t="str">
        <f>"017764"</f>
        <v>0</v>
      </c>
      <c r="C261" t="s">
        <v>514</v>
      </c>
      <c r="D261" t="s">
        <v>515</v>
      </c>
      <c r="E261" t="str">
        <f>"3100601292000"</f>
        <v>0</v>
      </c>
      <c r="F261" t="str">
        <f>"000030"</f>
        <v>0</v>
      </c>
      <c r="G261" t="s">
        <v>21</v>
      </c>
    </row>
    <row r="262" spans="1:7">
      <c r="A262">
        <v>261</v>
      </c>
      <c r="B262" t="str">
        <f>"017839"</f>
        <v>0</v>
      </c>
      <c r="C262" t="s">
        <v>516</v>
      </c>
      <c r="D262" t="s">
        <v>517</v>
      </c>
      <c r="E262" t="str">
        <f>"3101200916941"</f>
        <v>0</v>
      </c>
      <c r="F262" t="str">
        <f>"000030"</f>
        <v>0</v>
      </c>
      <c r="G262" t="s">
        <v>21</v>
      </c>
    </row>
    <row r="263" spans="1:7">
      <c r="A263">
        <v>262</v>
      </c>
      <c r="B263" t="str">
        <f>"017910"</f>
        <v>0</v>
      </c>
      <c r="C263" t="s">
        <v>518</v>
      </c>
      <c r="D263" t="s">
        <v>519</v>
      </c>
      <c r="E263" t="str">
        <f>"3509900168526"</f>
        <v>0</v>
      </c>
      <c r="F263" t="str">
        <f>"000030"</f>
        <v>0</v>
      </c>
      <c r="G263" t="s">
        <v>21</v>
      </c>
    </row>
    <row r="264" spans="1:7">
      <c r="A264">
        <v>263</v>
      </c>
      <c r="B264" t="str">
        <f>"018027"</f>
        <v>0</v>
      </c>
      <c r="C264" t="s">
        <v>520</v>
      </c>
      <c r="D264" t="s">
        <v>521</v>
      </c>
      <c r="E264" t="str">
        <f>"3969900222942"</f>
        <v>0</v>
      </c>
      <c r="F264" t="str">
        <f>"000030"</f>
        <v>0</v>
      </c>
      <c r="G264" t="s">
        <v>21</v>
      </c>
    </row>
    <row r="265" spans="1:7">
      <c r="A265">
        <v>264</v>
      </c>
      <c r="B265" t="str">
        <f>"018145"</f>
        <v>0</v>
      </c>
      <c r="C265" t="s">
        <v>522</v>
      </c>
      <c r="D265" t="s">
        <v>523</v>
      </c>
      <c r="E265" t="str">
        <f>"3100602736416"</f>
        <v>0</v>
      </c>
      <c r="F265" t="str">
        <f>"000030"</f>
        <v>0</v>
      </c>
      <c r="G265" t="s">
        <v>21</v>
      </c>
    </row>
    <row r="266" spans="1:7">
      <c r="A266">
        <v>265</v>
      </c>
      <c r="B266" t="str">
        <f>"018178"</f>
        <v>0</v>
      </c>
      <c r="C266" t="s">
        <v>451</v>
      </c>
      <c r="D266" t="s">
        <v>524</v>
      </c>
      <c r="E266" t="str">
        <f>"3101100206365"</f>
        <v>0</v>
      </c>
      <c r="F266" t="str">
        <f>"000030"</f>
        <v>0</v>
      </c>
      <c r="G266" t="s">
        <v>21</v>
      </c>
    </row>
    <row r="267" spans="1:7">
      <c r="A267">
        <v>266</v>
      </c>
      <c r="B267" t="str">
        <f>"018196"</f>
        <v>0</v>
      </c>
      <c r="C267" t="s">
        <v>525</v>
      </c>
      <c r="D267" t="s">
        <v>526</v>
      </c>
      <c r="E267" t="str">
        <f>"5130400001331"</f>
        <v>0</v>
      </c>
      <c r="F267" t="str">
        <f>"000030"</f>
        <v>0</v>
      </c>
      <c r="G267" t="s">
        <v>21</v>
      </c>
    </row>
    <row r="268" spans="1:7">
      <c r="A268">
        <v>267</v>
      </c>
      <c r="B268" t="str">
        <f>"018207"</f>
        <v>0</v>
      </c>
      <c r="C268" t="s">
        <v>527</v>
      </c>
      <c r="D268" t="s">
        <v>528</v>
      </c>
      <c r="E268" t="str">
        <f>"3709800262961"</f>
        <v>0</v>
      </c>
      <c r="F268" t="str">
        <f>"000030"</f>
        <v>0</v>
      </c>
      <c r="G268" t="s">
        <v>21</v>
      </c>
    </row>
    <row r="269" spans="1:7">
      <c r="A269">
        <v>268</v>
      </c>
      <c r="B269" t="str">
        <f>"018300"</f>
        <v>0</v>
      </c>
      <c r="C269" t="s">
        <v>68</v>
      </c>
      <c r="D269" t="s">
        <v>101</v>
      </c>
      <c r="E269" t="str">
        <f>"3100500450319"</f>
        <v>0</v>
      </c>
      <c r="F269" t="str">
        <f>"000030"</f>
        <v>0</v>
      </c>
      <c r="G269" t="s">
        <v>21</v>
      </c>
    </row>
    <row r="270" spans="1:7">
      <c r="A270">
        <v>269</v>
      </c>
      <c r="B270" t="str">
        <f>"018317"</f>
        <v>0</v>
      </c>
      <c r="C270" t="s">
        <v>482</v>
      </c>
      <c r="D270" t="s">
        <v>374</v>
      </c>
      <c r="E270" t="str">
        <f>"4120600003738"</f>
        <v>0</v>
      </c>
      <c r="F270" t="str">
        <f>"000030"</f>
        <v>0</v>
      </c>
      <c r="G270" t="s">
        <v>21</v>
      </c>
    </row>
    <row r="271" spans="1:7">
      <c r="A271">
        <v>270</v>
      </c>
      <c r="B271" t="str">
        <f>"018351"</f>
        <v>0</v>
      </c>
      <c r="C271" t="s">
        <v>529</v>
      </c>
      <c r="D271" t="s">
        <v>530</v>
      </c>
      <c r="E271" t="str">
        <f>"3100600428366"</f>
        <v>0</v>
      </c>
      <c r="F271" t="str">
        <f>"000030"</f>
        <v>0</v>
      </c>
      <c r="G271" t="s">
        <v>21</v>
      </c>
    </row>
    <row r="272" spans="1:7">
      <c r="A272">
        <v>271</v>
      </c>
      <c r="B272" t="str">
        <f>"018442"</f>
        <v>0</v>
      </c>
      <c r="C272" t="s">
        <v>531</v>
      </c>
      <c r="D272" t="s">
        <v>532</v>
      </c>
      <c r="E272" t="str">
        <f>"3341000552740"</f>
        <v>0</v>
      </c>
      <c r="F272" t="str">
        <f>"000030"</f>
        <v>0</v>
      </c>
      <c r="G272" t="s">
        <v>21</v>
      </c>
    </row>
    <row r="273" spans="1:7">
      <c r="A273">
        <v>272</v>
      </c>
      <c r="B273" t="str">
        <f>"018474"</f>
        <v>0</v>
      </c>
      <c r="C273" t="s">
        <v>533</v>
      </c>
      <c r="D273" t="s">
        <v>327</v>
      </c>
      <c r="E273" t="str">
        <f>"3100600131177"</f>
        <v>0</v>
      </c>
      <c r="F273" t="str">
        <f>"000030"</f>
        <v>0</v>
      </c>
      <c r="G273" t="s">
        <v>21</v>
      </c>
    </row>
    <row r="274" spans="1:7">
      <c r="A274">
        <v>273</v>
      </c>
      <c r="B274" t="str">
        <f>"018517"</f>
        <v>0</v>
      </c>
      <c r="C274" t="s">
        <v>421</v>
      </c>
      <c r="D274" t="s">
        <v>534</v>
      </c>
      <c r="E274" t="str">
        <f>"3100602640419"</f>
        <v>0</v>
      </c>
      <c r="F274" t="str">
        <f>"000030"</f>
        <v>0</v>
      </c>
      <c r="G274" t="s">
        <v>21</v>
      </c>
    </row>
    <row r="275" spans="1:7">
      <c r="A275">
        <v>274</v>
      </c>
      <c r="B275" t="str">
        <f>"018599"</f>
        <v>0</v>
      </c>
      <c r="C275" t="s">
        <v>132</v>
      </c>
      <c r="D275" t="s">
        <v>65</v>
      </c>
      <c r="E275" t="str">
        <f>"3102001718474"</f>
        <v>0</v>
      </c>
      <c r="F275" t="str">
        <f>"000030"</f>
        <v>0</v>
      </c>
      <c r="G275" t="s">
        <v>21</v>
      </c>
    </row>
    <row r="276" spans="1:7">
      <c r="A276">
        <v>275</v>
      </c>
      <c r="B276" t="str">
        <f>"018627"</f>
        <v>0</v>
      </c>
      <c r="C276" t="s">
        <v>535</v>
      </c>
      <c r="D276" t="s">
        <v>536</v>
      </c>
      <c r="E276" t="str">
        <f>"3102200057885"</f>
        <v>0</v>
      </c>
      <c r="F276" t="str">
        <f>"000030"</f>
        <v>0</v>
      </c>
      <c r="G276" t="s">
        <v>21</v>
      </c>
    </row>
    <row r="277" spans="1:7">
      <c r="A277">
        <v>276</v>
      </c>
      <c r="B277" t="str">
        <f>"018630"</f>
        <v>0</v>
      </c>
      <c r="C277" t="s">
        <v>537</v>
      </c>
      <c r="D277" t="s">
        <v>538</v>
      </c>
      <c r="E277" t="str">
        <f>"5100599066601"</f>
        <v>0</v>
      </c>
      <c r="F277" t="str">
        <f>"000030"</f>
        <v>0</v>
      </c>
      <c r="G277" t="s">
        <v>21</v>
      </c>
    </row>
    <row r="278" spans="1:7">
      <c r="A278">
        <v>277</v>
      </c>
      <c r="B278" t="str">
        <f>"018633"</f>
        <v>0</v>
      </c>
      <c r="C278" t="s">
        <v>539</v>
      </c>
      <c r="D278" t="s">
        <v>540</v>
      </c>
      <c r="E278" t="str">
        <f>"3100503904868"</f>
        <v>0</v>
      </c>
      <c r="F278" t="str">
        <f>"000030"</f>
        <v>0</v>
      </c>
      <c r="G278" t="s">
        <v>21</v>
      </c>
    </row>
    <row r="279" spans="1:7">
      <c r="A279">
        <v>278</v>
      </c>
      <c r="B279" t="str">
        <f>"018637"</f>
        <v>0</v>
      </c>
      <c r="C279" t="s">
        <v>46</v>
      </c>
      <c r="D279" t="s">
        <v>541</v>
      </c>
      <c r="E279" t="str">
        <f>"4100600025430"</f>
        <v>0</v>
      </c>
      <c r="F279" t="str">
        <f>"000030"</f>
        <v>0</v>
      </c>
      <c r="G279" t="s">
        <v>21</v>
      </c>
    </row>
    <row r="280" spans="1:7">
      <c r="A280">
        <v>279</v>
      </c>
      <c r="B280" t="str">
        <f>"018802"</f>
        <v>0</v>
      </c>
      <c r="C280" t="s">
        <v>542</v>
      </c>
      <c r="D280" t="s">
        <v>543</v>
      </c>
      <c r="E280" t="str">
        <f>"3179900027128"</f>
        <v>0</v>
      </c>
      <c r="F280" t="str">
        <f>"000030"</f>
        <v>0</v>
      </c>
      <c r="G280" t="s">
        <v>21</v>
      </c>
    </row>
    <row r="281" spans="1:7">
      <c r="A281">
        <v>280</v>
      </c>
      <c r="B281" t="str">
        <f>"019071"</f>
        <v>0</v>
      </c>
      <c r="C281" t="s">
        <v>544</v>
      </c>
      <c r="D281" t="s">
        <v>545</v>
      </c>
      <c r="E281" t="str">
        <f>"3100602948596"</f>
        <v>0</v>
      </c>
      <c r="F281" t="str">
        <f>"000030"</f>
        <v>0</v>
      </c>
      <c r="G281" t="s">
        <v>21</v>
      </c>
    </row>
    <row r="282" spans="1:7">
      <c r="A282">
        <v>281</v>
      </c>
      <c r="B282" t="str">
        <f>"019142"</f>
        <v>0</v>
      </c>
      <c r="C282" t="s">
        <v>546</v>
      </c>
      <c r="D282" t="s">
        <v>547</v>
      </c>
      <c r="E282" t="str">
        <f>"5102100022601"</f>
        <v>0</v>
      </c>
      <c r="F282" t="str">
        <f>"000030"</f>
        <v>0</v>
      </c>
      <c r="G282" t="s">
        <v>21</v>
      </c>
    </row>
    <row r="283" spans="1:7">
      <c r="A283">
        <v>282</v>
      </c>
      <c r="B283" t="str">
        <f>"019146"</f>
        <v>0</v>
      </c>
      <c r="C283" t="s">
        <v>239</v>
      </c>
      <c r="D283" t="s">
        <v>548</v>
      </c>
      <c r="E283" t="str">
        <f>"3100900268461"</f>
        <v>0</v>
      </c>
      <c r="F283" t="str">
        <f>"000030"</f>
        <v>0</v>
      </c>
      <c r="G283" t="s">
        <v>21</v>
      </c>
    </row>
    <row r="284" spans="1:7">
      <c r="A284">
        <v>283</v>
      </c>
      <c r="B284" t="str">
        <f>"019149"</f>
        <v>0</v>
      </c>
      <c r="C284" t="s">
        <v>130</v>
      </c>
      <c r="D284" t="s">
        <v>549</v>
      </c>
      <c r="E284" t="str">
        <f>"3200100906721"</f>
        <v>0</v>
      </c>
      <c r="F284" t="str">
        <f>"000030"</f>
        <v>0</v>
      </c>
      <c r="G284" t="s">
        <v>21</v>
      </c>
    </row>
    <row r="285" spans="1:7">
      <c r="A285">
        <v>284</v>
      </c>
      <c r="B285" t="str">
        <f>"019227"</f>
        <v>0</v>
      </c>
      <c r="C285" t="s">
        <v>550</v>
      </c>
      <c r="D285" t="s">
        <v>551</v>
      </c>
      <c r="E285" t="str">
        <f>"3419900547315"</f>
        <v>0</v>
      </c>
      <c r="F285" t="str">
        <f>"000030"</f>
        <v>0</v>
      </c>
      <c r="G285" t="s">
        <v>21</v>
      </c>
    </row>
    <row r="286" spans="1:7">
      <c r="A286">
        <v>285</v>
      </c>
      <c r="B286" t="str">
        <f>"019245"</f>
        <v>0</v>
      </c>
      <c r="C286" t="s">
        <v>552</v>
      </c>
      <c r="D286" t="s">
        <v>553</v>
      </c>
      <c r="E286" t="str">
        <f>"3102000609116"</f>
        <v>0</v>
      </c>
      <c r="F286" t="str">
        <f>"000030"</f>
        <v>0</v>
      </c>
      <c r="G286" t="s">
        <v>21</v>
      </c>
    </row>
    <row r="287" spans="1:7">
      <c r="A287">
        <v>286</v>
      </c>
      <c r="B287" t="str">
        <f>"019249"</f>
        <v>0</v>
      </c>
      <c r="C287" t="s">
        <v>554</v>
      </c>
      <c r="D287" t="s">
        <v>308</v>
      </c>
      <c r="E287" t="str">
        <f>"3102000556934"</f>
        <v>0</v>
      </c>
      <c r="F287" t="str">
        <f>"000030"</f>
        <v>0</v>
      </c>
      <c r="G287" t="s">
        <v>21</v>
      </c>
    </row>
    <row r="288" spans="1:7">
      <c r="A288">
        <v>287</v>
      </c>
      <c r="B288" t="str">
        <f>"019255"</f>
        <v>0</v>
      </c>
      <c r="C288" t="s">
        <v>555</v>
      </c>
      <c r="D288" t="s">
        <v>556</v>
      </c>
      <c r="E288" t="str">
        <f>"3120200256479"</f>
        <v>0</v>
      </c>
      <c r="F288" t="str">
        <f>"000030"</f>
        <v>0</v>
      </c>
      <c r="G288" t="s">
        <v>21</v>
      </c>
    </row>
    <row r="289" spans="1:7">
      <c r="A289">
        <v>288</v>
      </c>
      <c r="B289" t="str">
        <f>"019258"</f>
        <v>0</v>
      </c>
      <c r="C289" t="s">
        <v>557</v>
      </c>
      <c r="D289" t="s">
        <v>558</v>
      </c>
      <c r="E289" t="str">
        <f>"3100503508211"</f>
        <v>0</v>
      </c>
      <c r="F289" t="str">
        <f>"000030"</f>
        <v>0</v>
      </c>
      <c r="G289" t="s">
        <v>21</v>
      </c>
    </row>
    <row r="290" spans="1:7">
      <c r="A290">
        <v>289</v>
      </c>
      <c r="B290" t="str">
        <f>"019319"</f>
        <v>0</v>
      </c>
      <c r="C290" t="s">
        <v>559</v>
      </c>
      <c r="D290" t="s">
        <v>560</v>
      </c>
      <c r="E290" t="str">
        <f>"3100200338262"</f>
        <v>0</v>
      </c>
      <c r="F290" t="str">
        <f>"000030"</f>
        <v>0</v>
      </c>
      <c r="G290" t="s">
        <v>21</v>
      </c>
    </row>
    <row r="291" spans="1:7">
      <c r="A291">
        <v>290</v>
      </c>
      <c r="B291" t="str">
        <f>"019432"</f>
        <v>0</v>
      </c>
      <c r="C291" t="s">
        <v>561</v>
      </c>
      <c r="D291" t="s">
        <v>562</v>
      </c>
      <c r="E291" t="str">
        <f>"3100600561244"</f>
        <v>0</v>
      </c>
      <c r="F291" t="str">
        <f>"000030"</f>
        <v>0</v>
      </c>
      <c r="G291" t="s">
        <v>21</v>
      </c>
    </row>
    <row r="292" spans="1:7">
      <c r="A292">
        <v>291</v>
      </c>
      <c r="B292" t="str">
        <f>"019437"</f>
        <v>0</v>
      </c>
      <c r="C292" t="s">
        <v>563</v>
      </c>
      <c r="D292" t="s">
        <v>564</v>
      </c>
      <c r="E292" t="str">
        <f>"3219900158922"</f>
        <v>0</v>
      </c>
      <c r="F292" t="str">
        <f>"000030"</f>
        <v>0</v>
      </c>
      <c r="G292" t="s">
        <v>21</v>
      </c>
    </row>
    <row r="293" spans="1:7">
      <c r="A293">
        <v>292</v>
      </c>
      <c r="B293" t="str">
        <f>"019575"</f>
        <v>0</v>
      </c>
      <c r="C293" t="s">
        <v>56</v>
      </c>
      <c r="D293" t="s">
        <v>565</v>
      </c>
      <c r="E293" t="str">
        <f>"3160400596524"</f>
        <v>0</v>
      </c>
      <c r="F293" t="str">
        <f>"000030"</f>
        <v>0</v>
      </c>
      <c r="G293" t="s">
        <v>21</v>
      </c>
    </row>
    <row r="294" spans="1:7">
      <c r="A294">
        <v>293</v>
      </c>
      <c r="B294" t="str">
        <f>"019591"</f>
        <v>0</v>
      </c>
      <c r="C294" t="s">
        <v>566</v>
      </c>
      <c r="D294" t="s">
        <v>567</v>
      </c>
      <c r="E294" t="str">
        <f>"4102000029096"</f>
        <v>0</v>
      </c>
      <c r="F294" t="str">
        <f>"000030"</f>
        <v>0</v>
      </c>
      <c r="G294" t="s">
        <v>21</v>
      </c>
    </row>
    <row r="295" spans="1:7">
      <c r="A295">
        <v>294</v>
      </c>
      <c r="B295" t="str">
        <f>"019613"</f>
        <v>0</v>
      </c>
      <c r="C295" t="s">
        <v>568</v>
      </c>
      <c r="D295" t="s">
        <v>569</v>
      </c>
      <c r="E295" t="str">
        <f>"3102401325267"</f>
        <v>0</v>
      </c>
      <c r="F295" t="str">
        <f>"000030"</f>
        <v>0</v>
      </c>
      <c r="G295" t="s">
        <v>21</v>
      </c>
    </row>
    <row r="296" spans="1:7">
      <c r="A296">
        <v>295</v>
      </c>
      <c r="B296" t="str">
        <f>"019652"</f>
        <v>0</v>
      </c>
      <c r="C296" t="s">
        <v>570</v>
      </c>
      <c r="D296" t="s">
        <v>571</v>
      </c>
      <c r="E296" t="str">
        <f>"3149990001964"</f>
        <v>0</v>
      </c>
      <c r="F296" t="str">
        <f>"000030"</f>
        <v>0</v>
      </c>
      <c r="G296" t="s">
        <v>21</v>
      </c>
    </row>
    <row r="297" spans="1:7">
      <c r="A297">
        <v>296</v>
      </c>
      <c r="B297" t="str">
        <f>"019789"</f>
        <v>0</v>
      </c>
      <c r="C297" t="s">
        <v>572</v>
      </c>
      <c r="D297" t="s">
        <v>573</v>
      </c>
      <c r="E297" t="str">
        <f>"3101900344665"</f>
        <v>0</v>
      </c>
      <c r="F297" t="str">
        <f>"000030"</f>
        <v>0</v>
      </c>
      <c r="G297" t="s">
        <v>21</v>
      </c>
    </row>
    <row r="298" spans="1:7">
      <c r="A298">
        <v>297</v>
      </c>
      <c r="B298" t="str">
        <f>"019901"</f>
        <v>0</v>
      </c>
      <c r="C298" t="s">
        <v>574</v>
      </c>
      <c r="D298" t="s">
        <v>575</v>
      </c>
      <c r="E298" t="str">
        <f>"3750100269301"</f>
        <v>0</v>
      </c>
      <c r="F298" t="str">
        <f>"000030"</f>
        <v>0</v>
      </c>
      <c r="G298" t="s">
        <v>21</v>
      </c>
    </row>
    <row r="299" spans="1:7">
      <c r="A299">
        <v>298</v>
      </c>
      <c r="B299" t="str">
        <f>"020037"</f>
        <v>0</v>
      </c>
      <c r="C299" t="s">
        <v>576</v>
      </c>
      <c r="D299" t="s">
        <v>577</v>
      </c>
      <c r="E299" t="str">
        <f>"3100202099095"</f>
        <v>0</v>
      </c>
      <c r="F299" t="str">
        <f>"000030"</f>
        <v>0</v>
      </c>
      <c r="G299" t="s">
        <v>21</v>
      </c>
    </row>
    <row r="300" spans="1:7">
      <c r="A300">
        <v>299</v>
      </c>
      <c r="B300" t="str">
        <f>"020064"</f>
        <v>0</v>
      </c>
      <c r="C300" t="s">
        <v>578</v>
      </c>
      <c r="D300" t="s">
        <v>579</v>
      </c>
      <c r="E300" t="str">
        <f>"3100503513567"</f>
        <v>0</v>
      </c>
      <c r="F300" t="str">
        <f>"000030"</f>
        <v>0</v>
      </c>
      <c r="G300" t="s">
        <v>21</v>
      </c>
    </row>
    <row r="301" spans="1:7">
      <c r="A301">
        <v>300</v>
      </c>
      <c r="B301" t="str">
        <f>"020104"</f>
        <v>0</v>
      </c>
      <c r="C301" t="s">
        <v>580</v>
      </c>
      <c r="D301" t="s">
        <v>551</v>
      </c>
      <c r="E301" t="str">
        <f>"3102001758026"</f>
        <v>0</v>
      </c>
      <c r="F301" t="str">
        <f>"000030"</f>
        <v>0</v>
      </c>
      <c r="G301" t="s">
        <v>21</v>
      </c>
    </row>
    <row r="302" spans="1:7">
      <c r="A302">
        <v>301</v>
      </c>
      <c r="B302" t="str">
        <f>"020138"</f>
        <v>0</v>
      </c>
      <c r="C302" t="s">
        <v>581</v>
      </c>
      <c r="D302" t="s">
        <v>582</v>
      </c>
      <c r="E302" t="str">
        <f>"3120100697295"</f>
        <v>0</v>
      </c>
      <c r="F302" t="str">
        <f>"000030"</f>
        <v>0</v>
      </c>
      <c r="G302" t="s">
        <v>21</v>
      </c>
    </row>
    <row r="303" spans="1:7">
      <c r="A303">
        <v>302</v>
      </c>
      <c r="B303" t="str">
        <f>"020167"</f>
        <v>0</v>
      </c>
      <c r="C303" t="s">
        <v>583</v>
      </c>
      <c r="D303" t="s">
        <v>584</v>
      </c>
      <c r="E303" t="str">
        <f>"3640500103665"</f>
        <v>0</v>
      </c>
      <c r="F303" t="str">
        <f>"000030"</f>
        <v>0</v>
      </c>
      <c r="G303" t="s">
        <v>21</v>
      </c>
    </row>
    <row r="304" spans="1:7">
      <c r="A304">
        <v>303</v>
      </c>
      <c r="B304" t="str">
        <f>"020226"</f>
        <v>0</v>
      </c>
      <c r="C304" t="s">
        <v>585</v>
      </c>
      <c r="D304" t="s">
        <v>586</v>
      </c>
      <c r="E304" t="str">
        <f>"3360100043374"</f>
        <v>0</v>
      </c>
      <c r="F304" t="str">
        <f>"000030"</f>
        <v>0</v>
      </c>
      <c r="G304" t="s">
        <v>21</v>
      </c>
    </row>
    <row r="305" spans="1:7">
      <c r="A305">
        <v>304</v>
      </c>
      <c r="B305" t="str">
        <f>"020363"</f>
        <v>0</v>
      </c>
      <c r="C305" t="s">
        <v>587</v>
      </c>
      <c r="D305" t="s">
        <v>588</v>
      </c>
      <c r="E305" t="str">
        <f>"3480600066402"</f>
        <v>0</v>
      </c>
      <c r="F305" t="str">
        <f>"000030"</f>
        <v>0</v>
      </c>
      <c r="G305" t="s">
        <v>21</v>
      </c>
    </row>
    <row r="306" spans="1:7">
      <c r="A306">
        <v>305</v>
      </c>
      <c r="B306" t="str">
        <f>"020369"</f>
        <v>0</v>
      </c>
      <c r="C306" t="s">
        <v>273</v>
      </c>
      <c r="D306" t="s">
        <v>589</v>
      </c>
      <c r="E306" t="str">
        <f>"3100500160256"</f>
        <v>0</v>
      </c>
      <c r="F306" t="str">
        <f>"000030"</f>
        <v>0</v>
      </c>
      <c r="G306" t="s">
        <v>21</v>
      </c>
    </row>
    <row r="307" spans="1:7">
      <c r="A307">
        <v>306</v>
      </c>
      <c r="B307" t="str">
        <f>"020447"</f>
        <v>0</v>
      </c>
      <c r="C307" t="s">
        <v>590</v>
      </c>
      <c r="D307" t="s">
        <v>591</v>
      </c>
      <c r="E307" t="str">
        <f>"3430200094182"</f>
        <v>0</v>
      </c>
      <c r="F307" t="str">
        <f>"000030"</f>
        <v>0</v>
      </c>
      <c r="G307" t="s">
        <v>21</v>
      </c>
    </row>
    <row r="308" spans="1:7">
      <c r="A308">
        <v>307</v>
      </c>
      <c r="B308" t="str">
        <f>"020487"</f>
        <v>0</v>
      </c>
      <c r="C308" t="s">
        <v>592</v>
      </c>
      <c r="D308" t="s">
        <v>593</v>
      </c>
      <c r="E308" t="str">
        <f>"3140600223853"</f>
        <v>0</v>
      </c>
      <c r="F308" t="str">
        <f>"000030"</f>
        <v>0</v>
      </c>
      <c r="G308" t="s">
        <v>21</v>
      </c>
    </row>
    <row r="309" spans="1:7">
      <c r="A309">
        <v>308</v>
      </c>
      <c r="B309" t="str">
        <f>"020493"</f>
        <v>0</v>
      </c>
      <c r="C309" t="s">
        <v>594</v>
      </c>
      <c r="D309" t="s">
        <v>595</v>
      </c>
      <c r="E309" t="str">
        <f>"5120300016573"</f>
        <v>0</v>
      </c>
      <c r="F309" t="str">
        <f>"000030"</f>
        <v>0</v>
      </c>
      <c r="G309" t="s">
        <v>21</v>
      </c>
    </row>
    <row r="310" spans="1:7">
      <c r="A310">
        <v>309</v>
      </c>
      <c r="B310" t="str">
        <f>"020548"</f>
        <v>0</v>
      </c>
      <c r="C310" t="s">
        <v>596</v>
      </c>
      <c r="D310" t="s">
        <v>597</v>
      </c>
      <c r="E310" t="str">
        <f>"3100503146220"</f>
        <v>0</v>
      </c>
      <c r="F310" t="str">
        <f>"000030"</f>
        <v>0</v>
      </c>
      <c r="G310" t="s">
        <v>21</v>
      </c>
    </row>
    <row r="311" spans="1:7">
      <c r="A311">
        <v>310</v>
      </c>
      <c r="B311" t="str">
        <f>"021900"</f>
        <v>0</v>
      </c>
      <c r="C311" t="s">
        <v>598</v>
      </c>
      <c r="D311" t="s">
        <v>599</v>
      </c>
      <c r="E311" t="str">
        <f>"3100203102430"</f>
        <v>0</v>
      </c>
      <c r="F311" t="str">
        <f>"000030"</f>
        <v>0</v>
      </c>
      <c r="G311" t="s">
        <v>21</v>
      </c>
    </row>
    <row r="312" spans="1:7">
      <c r="A312">
        <v>311</v>
      </c>
      <c r="B312" t="str">
        <f>"021902"</f>
        <v>0</v>
      </c>
      <c r="C312" t="s">
        <v>600</v>
      </c>
      <c r="D312" t="s">
        <v>601</v>
      </c>
      <c r="E312" t="str">
        <f>"3119800049332"</f>
        <v>0</v>
      </c>
      <c r="F312" t="str">
        <f>"000030"</f>
        <v>0</v>
      </c>
      <c r="G312" t="s">
        <v>21</v>
      </c>
    </row>
    <row r="313" spans="1:7">
      <c r="A313">
        <v>312</v>
      </c>
      <c r="B313" t="str">
        <f>"022233"</f>
        <v>0</v>
      </c>
      <c r="C313" t="s">
        <v>602</v>
      </c>
      <c r="D313" t="s">
        <v>603</v>
      </c>
      <c r="E313" t="str">
        <f>"3101600235895"</f>
        <v>0</v>
      </c>
      <c r="F313" t="str">
        <f>"000030"</f>
        <v>0</v>
      </c>
      <c r="G313" t="s">
        <v>21</v>
      </c>
    </row>
    <row r="314" spans="1:7">
      <c r="A314">
        <v>313</v>
      </c>
      <c r="B314" t="str">
        <f>"022352"</f>
        <v>0</v>
      </c>
      <c r="C314" t="s">
        <v>604</v>
      </c>
      <c r="D314" t="s">
        <v>605</v>
      </c>
      <c r="E314" t="str">
        <f>"3120101824321"</f>
        <v>0</v>
      </c>
      <c r="F314" t="str">
        <f>"000030"</f>
        <v>0</v>
      </c>
      <c r="G314" t="s">
        <v>21</v>
      </c>
    </row>
    <row r="315" spans="1:7">
      <c r="A315">
        <v>314</v>
      </c>
      <c r="B315" t="str">
        <f>"022432"</f>
        <v>0</v>
      </c>
      <c r="C315" t="s">
        <v>606</v>
      </c>
      <c r="D315" t="s">
        <v>607</v>
      </c>
      <c r="E315" t="str">
        <f>"3100603041578"</f>
        <v>0</v>
      </c>
      <c r="F315" t="str">
        <f>"000030"</f>
        <v>0</v>
      </c>
      <c r="G315" t="s">
        <v>21</v>
      </c>
    </row>
    <row r="316" spans="1:7">
      <c r="A316">
        <v>315</v>
      </c>
      <c r="B316" t="str">
        <f>"022434"</f>
        <v>0</v>
      </c>
      <c r="C316" t="s">
        <v>608</v>
      </c>
      <c r="D316" t="s">
        <v>609</v>
      </c>
      <c r="E316" t="str">
        <f>"3100601215617"</f>
        <v>0</v>
      </c>
      <c r="F316" t="str">
        <f>"000030"</f>
        <v>0</v>
      </c>
      <c r="G316" t="s">
        <v>21</v>
      </c>
    </row>
    <row r="317" spans="1:7">
      <c r="A317">
        <v>316</v>
      </c>
      <c r="B317" t="str">
        <f>"022604"</f>
        <v>0</v>
      </c>
      <c r="C317" t="s">
        <v>610</v>
      </c>
      <c r="D317" t="s">
        <v>611</v>
      </c>
      <c r="E317" t="str">
        <f>"3101000222504"</f>
        <v>0</v>
      </c>
      <c r="F317" t="str">
        <f>"000030"</f>
        <v>0</v>
      </c>
      <c r="G317" t="s">
        <v>21</v>
      </c>
    </row>
    <row r="318" spans="1:7">
      <c r="A318">
        <v>317</v>
      </c>
      <c r="B318" t="str">
        <f>"022908"</f>
        <v>0</v>
      </c>
      <c r="C318" t="s">
        <v>612</v>
      </c>
      <c r="D318" t="s">
        <v>613</v>
      </c>
      <c r="E318" t="str">
        <f>"5839990005358"</f>
        <v>0</v>
      </c>
      <c r="F318" t="str">
        <f>"000030"</f>
        <v>0</v>
      </c>
      <c r="G318" t="s">
        <v>21</v>
      </c>
    </row>
    <row r="319" spans="1:7">
      <c r="A319">
        <v>318</v>
      </c>
      <c r="B319" t="str">
        <f>"023074"</f>
        <v>0</v>
      </c>
      <c r="C319" t="s">
        <v>614</v>
      </c>
      <c r="D319" t="s">
        <v>615</v>
      </c>
      <c r="E319" t="str">
        <f>"3750100269310"</f>
        <v>0</v>
      </c>
      <c r="F319" t="str">
        <f>"000030"</f>
        <v>0</v>
      </c>
      <c r="G319" t="s">
        <v>21</v>
      </c>
    </row>
    <row r="320" spans="1:7">
      <c r="A320">
        <v>319</v>
      </c>
      <c r="B320" t="str">
        <f>"023160"</f>
        <v>0</v>
      </c>
      <c r="C320" t="s">
        <v>616</v>
      </c>
      <c r="D320" t="s">
        <v>617</v>
      </c>
      <c r="E320" t="str">
        <f>"4259900002785"</f>
        <v>0</v>
      </c>
      <c r="F320" t="str">
        <f>"000030"</f>
        <v>0</v>
      </c>
      <c r="G320" t="s">
        <v>21</v>
      </c>
    </row>
    <row r="321" spans="1:7">
      <c r="A321">
        <v>320</v>
      </c>
      <c r="B321" t="str">
        <f>"023183"</f>
        <v>0</v>
      </c>
      <c r="C321" t="s">
        <v>618</v>
      </c>
      <c r="D321" t="s">
        <v>619</v>
      </c>
      <c r="E321" t="str">
        <f>"3779900004777"</f>
        <v>0</v>
      </c>
      <c r="F321" t="str">
        <f>"000030"</f>
        <v>0</v>
      </c>
      <c r="G321" t="s">
        <v>21</v>
      </c>
    </row>
    <row r="322" spans="1:7">
      <c r="A322">
        <v>321</v>
      </c>
      <c r="B322" t="str">
        <f>"023281"</f>
        <v>0</v>
      </c>
      <c r="C322" t="s">
        <v>620</v>
      </c>
      <c r="D322" t="s">
        <v>621</v>
      </c>
      <c r="E322" t="str">
        <f>"3101501436191"</f>
        <v>0</v>
      </c>
      <c r="F322" t="str">
        <f>"000030"</f>
        <v>0</v>
      </c>
      <c r="G322" t="s">
        <v>21</v>
      </c>
    </row>
    <row r="323" spans="1:7">
      <c r="A323">
        <v>322</v>
      </c>
      <c r="B323" t="str">
        <f>"023552"</f>
        <v>0</v>
      </c>
      <c r="C323" t="s">
        <v>44</v>
      </c>
      <c r="D323" t="s">
        <v>622</v>
      </c>
      <c r="E323" t="str">
        <f>"4499900019457"</f>
        <v>0</v>
      </c>
      <c r="F323" t="str">
        <f>"000030"</f>
        <v>0</v>
      </c>
      <c r="G323" t="s">
        <v>21</v>
      </c>
    </row>
    <row r="324" spans="1:7">
      <c r="A324">
        <v>323</v>
      </c>
      <c r="B324" t="str">
        <f>"023902"</f>
        <v>0</v>
      </c>
      <c r="C324" t="s">
        <v>231</v>
      </c>
      <c r="D324" t="s">
        <v>623</v>
      </c>
      <c r="E324" t="str">
        <f>"3101400387152"</f>
        <v>0</v>
      </c>
      <c r="F324" t="str">
        <f>"000030"</f>
        <v>0</v>
      </c>
      <c r="G324" t="s">
        <v>21</v>
      </c>
    </row>
    <row r="325" spans="1:7">
      <c r="A325">
        <v>324</v>
      </c>
      <c r="B325" t="str">
        <f>"023932"</f>
        <v>0</v>
      </c>
      <c r="C325" t="s">
        <v>624</v>
      </c>
      <c r="D325" t="s">
        <v>625</v>
      </c>
      <c r="E325" t="str">
        <f>"3100602642764"</f>
        <v>0</v>
      </c>
      <c r="F325" t="str">
        <f>"000030"</f>
        <v>0</v>
      </c>
      <c r="G325" t="s">
        <v>21</v>
      </c>
    </row>
    <row r="326" spans="1:7">
      <c r="A326">
        <v>325</v>
      </c>
      <c r="B326" t="str">
        <f>"024451"</f>
        <v>0</v>
      </c>
      <c r="C326" t="s">
        <v>626</v>
      </c>
      <c r="D326" t="s">
        <v>627</v>
      </c>
      <c r="E326" t="str">
        <f>"3102000928815"</f>
        <v>0</v>
      </c>
      <c r="F326" t="str">
        <f>"000030"</f>
        <v>0</v>
      </c>
      <c r="G326" t="s">
        <v>21</v>
      </c>
    </row>
    <row r="327" spans="1:7">
      <c r="A327">
        <v>326</v>
      </c>
      <c r="B327" t="str">
        <f>"024705"</f>
        <v>0</v>
      </c>
      <c r="C327" t="s">
        <v>628</v>
      </c>
      <c r="D327" t="s">
        <v>629</v>
      </c>
      <c r="E327" t="str">
        <f>"3102200915270"</f>
        <v>0</v>
      </c>
      <c r="F327" t="str">
        <f>"000030"</f>
        <v>0</v>
      </c>
      <c r="G327" t="s">
        <v>21</v>
      </c>
    </row>
    <row r="328" spans="1:7">
      <c r="A328">
        <v>327</v>
      </c>
      <c r="B328" t="str">
        <f>"024719"</f>
        <v>0</v>
      </c>
      <c r="C328" t="s">
        <v>630</v>
      </c>
      <c r="D328" t="s">
        <v>631</v>
      </c>
      <c r="E328" t="str">
        <f>"3480600066500"</f>
        <v>0</v>
      </c>
      <c r="F328" t="str">
        <f>"000030"</f>
        <v>0</v>
      </c>
      <c r="G328" t="s">
        <v>21</v>
      </c>
    </row>
    <row r="329" spans="1:7">
      <c r="A329">
        <v>328</v>
      </c>
      <c r="B329" t="str">
        <f>"025371"</f>
        <v>0</v>
      </c>
      <c r="C329" t="s">
        <v>632</v>
      </c>
      <c r="D329" t="s">
        <v>633</v>
      </c>
      <c r="E329" t="str">
        <f>"3100203093775"</f>
        <v>0</v>
      </c>
      <c r="F329" t="str">
        <f>"000030"</f>
        <v>0</v>
      </c>
      <c r="G329" t="s">
        <v>21</v>
      </c>
    </row>
    <row r="330" spans="1:7">
      <c r="A330">
        <v>329</v>
      </c>
      <c r="B330" t="str">
        <f>"026061"</f>
        <v>0</v>
      </c>
      <c r="C330" t="s">
        <v>634</v>
      </c>
      <c r="D330" t="s">
        <v>635</v>
      </c>
      <c r="E330" t="str">
        <f>"3100600205391"</f>
        <v>0</v>
      </c>
      <c r="F330" t="str">
        <f>"000030"</f>
        <v>0</v>
      </c>
      <c r="G330" t="s">
        <v>21</v>
      </c>
    </row>
    <row r="331" spans="1:7">
      <c r="A331">
        <v>330</v>
      </c>
      <c r="B331" t="str">
        <f>"026277"</f>
        <v>0</v>
      </c>
      <c r="C331" t="s">
        <v>636</v>
      </c>
      <c r="D331" t="s">
        <v>637</v>
      </c>
      <c r="E331" t="str">
        <f>"3100500306862"</f>
        <v>0</v>
      </c>
      <c r="F331" t="str">
        <f>"000030"</f>
        <v>0</v>
      </c>
      <c r="G331" t="s">
        <v>21</v>
      </c>
    </row>
    <row r="332" spans="1:7">
      <c r="A332">
        <v>331</v>
      </c>
      <c r="B332" t="str">
        <f>"026555"</f>
        <v>0</v>
      </c>
      <c r="C332" t="s">
        <v>638</v>
      </c>
      <c r="D332" t="s">
        <v>639</v>
      </c>
      <c r="E332" t="str">
        <f>"3160101357447"</f>
        <v>0</v>
      </c>
      <c r="F332" t="str">
        <f>"000030"</f>
        <v>0</v>
      </c>
      <c r="G332" t="s">
        <v>21</v>
      </c>
    </row>
    <row r="333" spans="1:7">
      <c r="A333">
        <v>332</v>
      </c>
      <c r="B333" t="str">
        <f>"026603"</f>
        <v>0</v>
      </c>
      <c r="C333" t="s">
        <v>640</v>
      </c>
      <c r="D333" t="s">
        <v>641</v>
      </c>
      <c r="E333" t="str">
        <f>"3100503955501"</f>
        <v>0</v>
      </c>
      <c r="F333" t="str">
        <f>"000030"</f>
        <v>0</v>
      </c>
      <c r="G333" t="s">
        <v>21</v>
      </c>
    </row>
    <row r="334" spans="1:7">
      <c r="A334">
        <v>333</v>
      </c>
      <c r="B334" t="str">
        <f>"026869"</f>
        <v>0</v>
      </c>
      <c r="C334" t="s">
        <v>642</v>
      </c>
      <c r="D334" t="s">
        <v>643</v>
      </c>
      <c r="E334" t="str">
        <f>"3101701306135"</f>
        <v>0</v>
      </c>
      <c r="F334" t="str">
        <f>"000030"</f>
        <v>0</v>
      </c>
      <c r="G334" t="s">
        <v>21</v>
      </c>
    </row>
    <row r="335" spans="1:7">
      <c r="A335">
        <v>334</v>
      </c>
      <c r="B335" t="str">
        <f>"027012"</f>
        <v>0</v>
      </c>
      <c r="C335" t="s">
        <v>644</v>
      </c>
      <c r="D335" t="s">
        <v>331</v>
      </c>
      <c r="E335" t="str">
        <f>"3100501853557"</f>
        <v>0</v>
      </c>
      <c r="F335" t="str">
        <f>"000030"</f>
        <v>0</v>
      </c>
      <c r="G335" t="s">
        <v>21</v>
      </c>
    </row>
    <row r="336" spans="1:7">
      <c r="A336">
        <v>335</v>
      </c>
      <c r="B336" t="str">
        <f>"027038"</f>
        <v>0</v>
      </c>
      <c r="C336" t="s">
        <v>645</v>
      </c>
      <c r="D336" t="s">
        <v>646</v>
      </c>
      <c r="E336" t="str">
        <f>"3100603089333"</f>
        <v>0</v>
      </c>
      <c r="F336" t="str">
        <f>"000030"</f>
        <v>0</v>
      </c>
      <c r="G336" t="s">
        <v>21</v>
      </c>
    </row>
    <row r="337" spans="1:7">
      <c r="A337">
        <v>336</v>
      </c>
      <c r="B337" t="str">
        <f>"027432"</f>
        <v>0</v>
      </c>
      <c r="C337" t="s">
        <v>647</v>
      </c>
      <c r="D337" t="s">
        <v>648</v>
      </c>
      <c r="E337" t="str">
        <f>"3100501665173"</f>
        <v>0</v>
      </c>
      <c r="F337" t="str">
        <f>"000030"</f>
        <v>0</v>
      </c>
      <c r="G337" t="s">
        <v>21</v>
      </c>
    </row>
    <row r="338" spans="1:7">
      <c r="A338">
        <v>337</v>
      </c>
      <c r="B338" t="str">
        <f>"000287"</f>
        <v>0</v>
      </c>
      <c r="C338" t="s">
        <v>649</v>
      </c>
      <c r="D338" t="s">
        <v>650</v>
      </c>
      <c r="E338" t="str">
        <f>"3101701614921"</f>
        <v>0</v>
      </c>
      <c r="F338" t="str">
        <f>"000030"</f>
        <v>0</v>
      </c>
      <c r="G338" t="s">
        <v>21</v>
      </c>
    </row>
    <row r="339" spans="1:7">
      <c r="A339">
        <v>338</v>
      </c>
      <c r="B339" t="str">
        <f>"001020"</f>
        <v>0</v>
      </c>
      <c r="C339" t="s">
        <v>651</v>
      </c>
      <c r="D339" t="s">
        <v>652</v>
      </c>
      <c r="E339" t="str">
        <f>"3100300258112"</f>
        <v>0</v>
      </c>
      <c r="F339" t="str">
        <f>"000030"</f>
        <v>0</v>
      </c>
      <c r="G339" t="s">
        <v>21</v>
      </c>
    </row>
    <row r="340" spans="1:7">
      <c r="A340">
        <v>339</v>
      </c>
      <c r="B340" t="str">
        <f>"003833"</f>
        <v>0</v>
      </c>
      <c r="C340" t="s">
        <v>653</v>
      </c>
      <c r="D340" t="s">
        <v>654</v>
      </c>
      <c r="E340" t="str">
        <f>"3139900023416"</f>
        <v>0</v>
      </c>
      <c r="F340" t="str">
        <f>"000030"</f>
        <v>0</v>
      </c>
      <c r="G340" t="s">
        <v>21</v>
      </c>
    </row>
    <row r="341" spans="1:7">
      <c r="A341">
        <v>340</v>
      </c>
      <c r="B341" t="str">
        <f>"004171"</f>
        <v>0</v>
      </c>
      <c r="C341" t="s">
        <v>655</v>
      </c>
      <c r="D341" t="s">
        <v>656</v>
      </c>
      <c r="E341" t="str">
        <f>"3100800364205"</f>
        <v>0</v>
      </c>
      <c r="F341" t="str">
        <f>"000030"</f>
        <v>0</v>
      </c>
      <c r="G341" t="s">
        <v>21</v>
      </c>
    </row>
    <row r="342" spans="1:7">
      <c r="A342">
        <v>341</v>
      </c>
      <c r="B342" t="str">
        <f>"004702"</f>
        <v>0</v>
      </c>
      <c r="C342" t="s">
        <v>657</v>
      </c>
      <c r="D342" t="s">
        <v>658</v>
      </c>
      <c r="E342" t="str">
        <f>"3100100846983"</f>
        <v>0</v>
      </c>
      <c r="F342" t="str">
        <f>"000030"</f>
        <v>0</v>
      </c>
      <c r="G342" t="s">
        <v>21</v>
      </c>
    </row>
    <row r="343" spans="1:7">
      <c r="A343">
        <v>342</v>
      </c>
      <c r="B343" t="str">
        <f>"004704"</f>
        <v>0</v>
      </c>
      <c r="C343" t="s">
        <v>659</v>
      </c>
      <c r="D343" t="s">
        <v>660</v>
      </c>
      <c r="E343" t="str">
        <f>"3101801393170"</f>
        <v>0</v>
      </c>
      <c r="F343" t="str">
        <f>"000030"</f>
        <v>0</v>
      </c>
      <c r="G343" t="s">
        <v>21</v>
      </c>
    </row>
    <row r="344" spans="1:7">
      <c r="A344">
        <v>343</v>
      </c>
      <c r="B344" t="str">
        <f>"005033"</f>
        <v>0</v>
      </c>
      <c r="C344" t="s">
        <v>661</v>
      </c>
      <c r="D344" t="s">
        <v>662</v>
      </c>
      <c r="E344" t="str">
        <f>"3101701235998"</f>
        <v>0</v>
      </c>
      <c r="F344" t="str">
        <f>"000030"</f>
        <v>0</v>
      </c>
      <c r="G344" t="s">
        <v>21</v>
      </c>
    </row>
    <row r="345" spans="1:7">
      <c r="A345">
        <v>344</v>
      </c>
      <c r="B345" t="str">
        <f>"005357"</f>
        <v>0</v>
      </c>
      <c r="C345" t="s">
        <v>663</v>
      </c>
      <c r="D345" t="s">
        <v>664</v>
      </c>
      <c r="E345" t="str">
        <f>"3100503832212"</f>
        <v>0</v>
      </c>
      <c r="F345" t="str">
        <f>"000030"</f>
        <v>0</v>
      </c>
      <c r="G345" t="s">
        <v>21</v>
      </c>
    </row>
    <row r="346" spans="1:7">
      <c r="A346">
        <v>345</v>
      </c>
      <c r="B346" t="str">
        <f>"005358"</f>
        <v>0</v>
      </c>
      <c r="C346" t="s">
        <v>665</v>
      </c>
      <c r="D346" t="s">
        <v>666</v>
      </c>
      <c r="E346" t="str">
        <f>"3100602643884"</f>
        <v>0</v>
      </c>
      <c r="F346" t="str">
        <f>"000030"</f>
        <v>0</v>
      </c>
      <c r="G346" t="s">
        <v>21</v>
      </c>
    </row>
    <row r="347" spans="1:7">
      <c r="A347">
        <v>346</v>
      </c>
      <c r="B347" t="str">
        <f>"005575"</f>
        <v>0</v>
      </c>
      <c r="C347" t="s">
        <v>447</v>
      </c>
      <c r="D347" t="s">
        <v>667</v>
      </c>
      <c r="E347" t="str">
        <f>"3100202634268"</f>
        <v>0</v>
      </c>
      <c r="F347" t="str">
        <f>"000030"</f>
        <v>0</v>
      </c>
      <c r="G347" t="s">
        <v>21</v>
      </c>
    </row>
    <row r="348" spans="1:7">
      <c r="A348">
        <v>347</v>
      </c>
      <c r="B348" t="str">
        <f>"005943"</f>
        <v>0</v>
      </c>
      <c r="C348" t="s">
        <v>668</v>
      </c>
      <c r="D348" t="s">
        <v>669</v>
      </c>
      <c r="E348" t="str">
        <f>"3102002313648"</f>
        <v>0</v>
      </c>
      <c r="F348" t="str">
        <f>"000030"</f>
        <v>0</v>
      </c>
      <c r="G348" t="s">
        <v>21</v>
      </c>
    </row>
    <row r="349" spans="1:7">
      <c r="A349">
        <v>348</v>
      </c>
      <c r="B349" t="str">
        <f>"006159"</f>
        <v>0</v>
      </c>
      <c r="C349" t="s">
        <v>670</v>
      </c>
      <c r="D349" t="s">
        <v>671</v>
      </c>
      <c r="E349" t="str">
        <f>"3102001062765"</f>
        <v>0</v>
      </c>
      <c r="F349" t="str">
        <f>"000030"</f>
        <v>0</v>
      </c>
      <c r="G349" t="s">
        <v>21</v>
      </c>
    </row>
    <row r="350" spans="1:7">
      <c r="A350">
        <v>349</v>
      </c>
      <c r="B350" t="str">
        <f>"006307"</f>
        <v>0</v>
      </c>
      <c r="C350" t="s">
        <v>672</v>
      </c>
      <c r="D350" t="s">
        <v>673</v>
      </c>
      <c r="E350" t="str">
        <f>"3710100678112"</f>
        <v>0</v>
      </c>
      <c r="F350" t="str">
        <f>"000030"</f>
        <v>0</v>
      </c>
      <c r="G350" t="s">
        <v>21</v>
      </c>
    </row>
    <row r="351" spans="1:7">
      <c r="A351">
        <v>350</v>
      </c>
      <c r="B351" t="str">
        <f>"006489"</f>
        <v>0</v>
      </c>
      <c r="C351" t="s">
        <v>674</v>
      </c>
      <c r="D351" t="s">
        <v>675</v>
      </c>
      <c r="E351" t="str">
        <f>"3101700503051"</f>
        <v>0</v>
      </c>
      <c r="F351" t="str">
        <f>"000030"</f>
        <v>0</v>
      </c>
      <c r="G351" t="s">
        <v>21</v>
      </c>
    </row>
    <row r="352" spans="1:7">
      <c r="A352">
        <v>351</v>
      </c>
      <c r="B352" t="str">
        <f>"006744"</f>
        <v>0</v>
      </c>
      <c r="C352" t="s">
        <v>676</v>
      </c>
      <c r="D352" t="s">
        <v>489</v>
      </c>
      <c r="E352" t="str">
        <f>"3100503600630"</f>
        <v>0</v>
      </c>
      <c r="F352" t="str">
        <f>"000030"</f>
        <v>0</v>
      </c>
      <c r="G352" t="s">
        <v>21</v>
      </c>
    </row>
    <row r="353" spans="1:7">
      <c r="A353">
        <v>352</v>
      </c>
      <c r="B353" t="str">
        <f>"008317"</f>
        <v>0</v>
      </c>
      <c r="C353" t="s">
        <v>677</v>
      </c>
      <c r="D353" t="s">
        <v>412</v>
      </c>
      <c r="E353" t="str">
        <f>"5101700060571"</f>
        <v>0</v>
      </c>
      <c r="F353" t="str">
        <f>"000030"</f>
        <v>0</v>
      </c>
      <c r="G353" t="s">
        <v>21</v>
      </c>
    </row>
    <row r="354" spans="1:7">
      <c r="A354">
        <v>353</v>
      </c>
      <c r="B354" t="str">
        <f>"008759"</f>
        <v>0</v>
      </c>
      <c r="C354" t="s">
        <v>678</v>
      </c>
      <c r="D354" t="s">
        <v>679</v>
      </c>
      <c r="E354" t="str">
        <f>"3100501761229"</f>
        <v>0</v>
      </c>
      <c r="F354" t="str">
        <f>"000030"</f>
        <v>0</v>
      </c>
      <c r="G354" t="s">
        <v>21</v>
      </c>
    </row>
    <row r="355" spans="1:7">
      <c r="A355">
        <v>354</v>
      </c>
      <c r="B355" t="str">
        <f>"008760"</f>
        <v>0</v>
      </c>
      <c r="C355" t="s">
        <v>680</v>
      </c>
      <c r="D355" t="s">
        <v>681</v>
      </c>
      <c r="E355" t="str">
        <f>"5101200029721"</f>
        <v>0</v>
      </c>
      <c r="F355" t="str">
        <f>"000030"</f>
        <v>0</v>
      </c>
      <c r="G355" t="s">
        <v>21</v>
      </c>
    </row>
    <row r="356" spans="1:7">
      <c r="A356">
        <v>355</v>
      </c>
      <c r="B356" t="str">
        <f>"009551"</f>
        <v>0</v>
      </c>
      <c r="C356" t="s">
        <v>682</v>
      </c>
      <c r="D356" t="s">
        <v>683</v>
      </c>
      <c r="E356" t="str">
        <f>"3120600070186"</f>
        <v>0</v>
      </c>
      <c r="F356" t="str">
        <f>"000030"</f>
        <v>0</v>
      </c>
      <c r="G356" t="s">
        <v>21</v>
      </c>
    </row>
    <row r="357" spans="1:7">
      <c r="A357">
        <v>356</v>
      </c>
      <c r="B357" t="str">
        <f>"009989"</f>
        <v>0</v>
      </c>
      <c r="C357" t="s">
        <v>684</v>
      </c>
      <c r="D357" t="s">
        <v>685</v>
      </c>
      <c r="E357" t="str">
        <f>"3120100606818"</f>
        <v>0</v>
      </c>
      <c r="F357" t="str">
        <f>"000030"</f>
        <v>0</v>
      </c>
      <c r="G357" t="s">
        <v>21</v>
      </c>
    </row>
    <row r="358" spans="1:7">
      <c r="A358">
        <v>357</v>
      </c>
      <c r="B358" t="str">
        <f>"010037"</f>
        <v>0</v>
      </c>
      <c r="C358" t="s">
        <v>686</v>
      </c>
      <c r="D358" t="s">
        <v>687</v>
      </c>
      <c r="E358" t="str">
        <f>"3100602198210"</f>
        <v>0</v>
      </c>
      <c r="F358" t="str">
        <f>"000030"</f>
        <v>0</v>
      </c>
      <c r="G358" t="s">
        <v>21</v>
      </c>
    </row>
    <row r="359" spans="1:7">
      <c r="A359">
        <v>358</v>
      </c>
      <c r="B359" t="str">
        <f>"011173"</f>
        <v>0</v>
      </c>
      <c r="C359" t="s">
        <v>688</v>
      </c>
      <c r="D359" t="s">
        <v>689</v>
      </c>
      <c r="E359" t="str">
        <f>"5110400029111"</f>
        <v>0</v>
      </c>
      <c r="F359" t="str">
        <f>"000030"</f>
        <v>0</v>
      </c>
      <c r="G359" t="s">
        <v>21</v>
      </c>
    </row>
    <row r="360" spans="1:7">
      <c r="A360">
        <v>359</v>
      </c>
      <c r="B360" t="str">
        <f>"011406"</f>
        <v>0</v>
      </c>
      <c r="C360" t="s">
        <v>690</v>
      </c>
      <c r="D360" t="s">
        <v>691</v>
      </c>
      <c r="E360" t="str">
        <f>"3101900406466"</f>
        <v>0</v>
      </c>
      <c r="F360" t="str">
        <f>"000030"</f>
        <v>0</v>
      </c>
      <c r="G360" t="s">
        <v>21</v>
      </c>
    </row>
    <row r="361" spans="1:7">
      <c r="A361">
        <v>360</v>
      </c>
      <c r="B361" t="str">
        <f>"011688"</f>
        <v>0</v>
      </c>
      <c r="C361" t="s">
        <v>692</v>
      </c>
      <c r="D361" t="s">
        <v>693</v>
      </c>
      <c r="E361" t="str">
        <f>"3100904650107"</f>
        <v>0</v>
      </c>
      <c r="F361" t="str">
        <f>"000030"</f>
        <v>0</v>
      </c>
      <c r="G361" t="s">
        <v>21</v>
      </c>
    </row>
    <row r="362" spans="1:7">
      <c r="A362">
        <v>361</v>
      </c>
      <c r="B362" t="str">
        <f>"011764"</f>
        <v>0</v>
      </c>
      <c r="C362" t="s">
        <v>694</v>
      </c>
      <c r="D362" t="s">
        <v>695</v>
      </c>
      <c r="E362" t="str">
        <f>"3130600040856"</f>
        <v>0</v>
      </c>
      <c r="F362" t="str">
        <f>"000030"</f>
        <v>0</v>
      </c>
      <c r="G362" t="s">
        <v>21</v>
      </c>
    </row>
    <row r="363" spans="1:7">
      <c r="A363">
        <v>362</v>
      </c>
      <c r="B363" t="str">
        <f>"011810"</f>
        <v>0</v>
      </c>
      <c r="C363" t="s">
        <v>696</v>
      </c>
      <c r="D363" t="s">
        <v>697</v>
      </c>
      <c r="E363" t="str">
        <f>"3130200211106"</f>
        <v>0</v>
      </c>
      <c r="F363" t="str">
        <f>"000030"</f>
        <v>0</v>
      </c>
      <c r="G363" t="s">
        <v>21</v>
      </c>
    </row>
    <row r="364" spans="1:7">
      <c r="A364">
        <v>363</v>
      </c>
      <c r="B364" t="str">
        <f>"012146"</f>
        <v>0</v>
      </c>
      <c r="C364" t="s">
        <v>698</v>
      </c>
      <c r="D364" t="s">
        <v>699</v>
      </c>
      <c r="E364" t="str">
        <f>"3100901244213"</f>
        <v>0</v>
      </c>
      <c r="F364" t="str">
        <f>"000030"</f>
        <v>0</v>
      </c>
      <c r="G364" t="s">
        <v>21</v>
      </c>
    </row>
    <row r="365" spans="1:7">
      <c r="A365">
        <v>364</v>
      </c>
      <c r="B365" t="str">
        <f>"012547"</f>
        <v>0</v>
      </c>
      <c r="C365" t="s">
        <v>88</v>
      </c>
      <c r="D365" t="s">
        <v>700</v>
      </c>
      <c r="E365" t="str">
        <f>"3102200773203"</f>
        <v>0</v>
      </c>
      <c r="F365" t="str">
        <f>"000030"</f>
        <v>0</v>
      </c>
      <c r="G365" t="s">
        <v>21</v>
      </c>
    </row>
    <row r="366" spans="1:7">
      <c r="A366">
        <v>365</v>
      </c>
      <c r="B366" t="str">
        <f>"012651"</f>
        <v>0</v>
      </c>
      <c r="C366" t="s">
        <v>701</v>
      </c>
      <c r="D366" t="s">
        <v>702</v>
      </c>
      <c r="E366" t="str">
        <f>"3100503832891"</f>
        <v>0</v>
      </c>
      <c r="F366" t="str">
        <f>"000030"</f>
        <v>0</v>
      </c>
      <c r="G366" t="s">
        <v>21</v>
      </c>
    </row>
    <row r="367" spans="1:7">
      <c r="A367">
        <v>366</v>
      </c>
      <c r="B367" t="str">
        <f>"013014"</f>
        <v>0</v>
      </c>
      <c r="C367" t="s">
        <v>703</v>
      </c>
      <c r="D367" t="s">
        <v>704</v>
      </c>
      <c r="E367" t="str">
        <f>"3100200957558"</f>
        <v>0</v>
      </c>
      <c r="F367" t="str">
        <f>"000030"</f>
        <v>0</v>
      </c>
      <c r="G367" t="s">
        <v>21</v>
      </c>
    </row>
    <row r="368" spans="1:7">
      <c r="A368">
        <v>367</v>
      </c>
      <c r="B368" t="str">
        <f>"013016"</f>
        <v>0</v>
      </c>
      <c r="C368" t="s">
        <v>705</v>
      </c>
      <c r="D368" t="s">
        <v>706</v>
      </c>
      <c r="E368" t="str">
        <f>"3130200017971"</f>
        <v>0</v>
      </c>
      <c r="F368" t="str">
        <f>"000030"</f>
        <v>0</v>
      </c>
      <c r="G368" t="s">
        <v>21</v>
      </c>
    </row>
    <row r="369" spans="1:7">
      <c r="A369">
        <v>368</v>
      </c>
      <c r="B369" t="str">
        <f>"013450"</f>
        <v>0</v>
      </c>
      <c r="C369" t="s">
        <v>707</v>
      </c>
      <c r="D369" t="s">
        <v>708</v>
      </c>
      <c r="E369" t="str">
        <f>"3100502184021"</f>
        <v>0</v>
      </c>
      <c r="F369" t="str">
        <f>"000030"</f>
        <v>0</v>
      </c>
      <c r="G369" t="s">
        <v>21</v>
      </c>
    </row>
    <row r="370" spans="1:7">
      <c r="A370">
        <v>369</v>
      </c>
      <c r="B370" t="str">
        <f>"014773"</f>
        <v>0</v>
      </c>
      <c r="C370" t="s">
        <v>709</v>
      </c>
      <c r="D370" t="s">
        <v>710</v>
      </c>
      <c r="E370" t="str">
        <f>"3100603077254"</f>
        <v>0</v>
      </c>
      <c r="F370" t="str">
        <f>"000030"</f>
        <v>0</v>
      </c>
      <c r="G370" t="s">
        <v>21</v>
      </c>
    </row>
    <row r="371" spans="1:7">
      <c r="A371">
        <v>370</v>
      </c>
      <c r="B371" t="str">
        <f>"015166"</f>
        <v>0</v>
      </c>
      <c r="C371" t="s">
        <v>711</v>
      </c>
      <c r="D371" t="s">
        <v>712</v>
      </c>
      <c r="E371" t="str">
        <f>"3100300198144"</f>
        <v>0</v>
      </c>
      <c r="F371" t="str">
        <f>"000030"</f>
        <v>0</v>
      </c>
      <c r="G371" t="s">
        <v>21</v>
      </c>
    </row>
    <row r="372" spans="1:7">
      <c r="A372">
        <v>371</v>
      </c>
      <c r="B372" t="str">
        <f>"015196"</f>
        <v>0</v>
      </c>
      <c r="C372" t="s">
        <v>239</v>
      </c>
      <c r="D372" t="s">
        <v>713</v>
      </c>
      <c r="E372" t="str">
        <f>"3100501946580"</f>
        <v>0</v>
      </c>
      <c r="F372" t="str">
        <f>"000030"</f>
        <v>0</v>
      </c>
      <c r="G372" t="s">
        <v>21</v>
      </c>
    </row>
    <row r="373" spans="1:7">
      <c r="A373">
        <v>372</v>
      </c>
      <c r="B373" t="str">
        <f>"016265"</f>
        <v>0</v>
      </c>
      <c r="C373" t="s">
        <v>714</v>
      </c>
      <c r="D373" t="s">
        <v>715</v>
      </c>
      <c r="E373" t="str">
        <f>"3100904309669"</f>
        <v>0</v>
      </c>
      <c r="F373" t="str">
        <f>"000030"</f>
        <v>0</v>
      </c>
      <c r="G373" t="s">
        <v>21</v>
      </c>
    </row>
    <row r="374" spans="1:7">
      <c r="A374">
        <v>373</v>
      </c>
      <c r="B374" t="str">
        <f>"017623"</f>
        <v>0</v>
      </c>
      <c r="C374" t="s">
        <v>46</v>
      </c>
      <c r="D374" t="s">
        <v>716</v>
      </c>
      <c r="E374" t="str">
        <f>"3120100433654"</f>
        <v>0</v>
      </c>
      <c r="F374" t="str">
        <f>"000030"</f>
        <v>0</v>
      </c>
      <c r="G374" t="s">
        <v>21</v>
      </c>
    </row>
    <row r="375" spans="1:7">
      <c r="A375">
        <v>374</v>
      </c>
      <c r="B375" t="str">
        <f>"018197"</f>
        <v>0</v>
      </c>
      <c r="C375" t="s">
        <v>717</v>
      </c>
      <c r="D375" t="s">
        <v>718</v>
      </c>
      <c r="E375" t="str">
        <f>"3101801017801"</f>
        <v>0</v>
      </c>
      <c r="F375" t="str">
        <f>"000030"</f>
        <v>0</v>
      </c>
      <c r="G375" t="s">
        <v>21</v>
      </c>
    </row>
    <row r="376" spans="1:7">
      <c r="A376">
        <v>375</v>
      </c>
      <c r="B376" t="str">
        <f>"018384"</f>
        <v>0</v>
      </c>
      <c r="C376" t="s">
        <v>719</v>
      </c>
      <c r="D376" t="s">
        <v>720</v>
      </c>
      <c r="E376" t="str">
        <f>"3102002044329"</f>
        <v>0</v>
      </c>
      <c r="F376" t="str">
        <f>"000030"</f>
        <v>0</v>
      </c>
      <c r="G376" t="s">
        <v>21</v>
      </c>
    </row>
    <row r="377" spans="1:7">
      <c r="A377">
        <v>376</v>
      </c>
      <c r="B377" t="str">
        <f>"019346"</f>
        <v>0</v>
      </c>
      <c r="C377" t="s">
        <v>721</v>
      </c>
      <c r="D377" t="s">
        <v>722</v>
      </c>
      <c r="E377" t="str">
        <f>"3101900516652"</f>
        <v>0</v>
      </c>
      <c r="F377" t="str">
        <f>"000030"</f>
        <v>0</v>
      </c>
      <c r="G377" t="s">
        <v>21</v>
      </c>
    </row>
    <row r="378" spans="1:7">
      <c r="A378">
        <v>377</v>
      </c>
      <c r="B378" t="str">
        <f>"020052"</f>
        <v>0</v>
      </c>
      <c r="C378" t="s">
        <v>723</v>
      </c>
      <c r="D378" t="s">
        <v>724</v>
      </c>
      <c r="E378" t="str">
        <f>"3100100869100"</f>
        <v>0</v>
      </c>
      <c r="F378" t="str">
        <f>"000030"</f>
        <v>0</v>
      </c>
      <c r="G378" t="s">
        <v>21</v>
      </c>
    </row>
    <row r="379" spans="1:7">
      <c r="A379">
        <v>378</v>
      </c>
      <c r="B379" t="str">
        <f>"020124"</f>
        <v>0</v>
      </c>
      <c r="C379" t="s">
        <v>725</v>
      </c>
      <c r="D379" t="s">
        <v>726</v>
      </c>
      <c r="E379" t="str">
        <f>"3102200192561"</f>
        <v>0</v>
      </c>
      <c r="F379" t="str">
        <f>"000030"</f>
        <v>0</v>
      </c>
      <c r="G379" t="s">
        <v>21</v>
      </c>
    </row>
    <row r="380" spans="1:7">
      <c r="A380">
        <v>379</v>
      </c>
      <c r="B380" t="str">
        <f>"021904"</f>
        <v>0</v>
      </c>
      <c r="C380" t="s">
        <v>727</v>
      </c>
      <c r="D380" t="s">
        <v>728</v>
      </c>
      <c r="E380" t="str">
        <f>"3101600041888"</f>
        <v>0</v>
      </c>
      <c r="F380" t="str">
        <f>"000030"</f>
        <v>0</v>
      </c>
      <c r="G380" t="s">
        <v>21</v>
      </c>
    </row>
    <row r="381" spans="1:7">
      <c r="A381">
        <v>380</v>
      </c>
      <c r="B381" t="str">
        <f>"024894"</f>
        <v>0</v>
      </c>
      <c r="C381" t="s">
        <v>729</v>
      </c>
      <c r="D381" t="s">
        <v>730</v>
      </c>
      <c r="E381" t="str">
        <f>"3100601387019"</f>
        <v>0</v>
      </c>
      <c r="F381" t="str">
        <f>"000030"</f>
        <v>0</v>
      </c>
      <c r="G381" t="s">
        <v>21</v>
      </c>
    </row>
    <row r="382" spans="1:7">
      <c r="A382">
        <v>381</v>
      </c>
      <c r="B382" t="str">
        <f>"019920"</f>
        <v>0</v>
      </c>
      <c r="C382" t="s">
        <v>731</v>
      </c>
      <c r="D382" t="s">
        <v>151</v>
      </c>
      <c r="E382" t="str">
        <f>"3330400872619"</f>
        <v>0</v>
      </c>
      <c r="F382" t="str">
        <f>"000030"</f>
        <v>0</v>
      </c>
      <c r="G382" t="s">
        <v>21</v>
      </c>
    </row>
    <row r="383" spans="1:7">
      <c r="A383">
        <v>382</v>
      </c>
      <c r="B383" t="str">
        <f>"022544"</f>
        <v>0</v>
      </c>
      <c r="C383" t="s">
        <v>732</v>
      </c>
      <c r="D383" t="s">
        <v>733</v>
      </c>
      <c r="E383" t="str">
        <f>"1102200003631"</f>
        <v>0</v>
      </c>
      <c r="F383" t="str">
        <f>"000030"</f>
        <v>0</v>
      </c>
      <c r="G383" t="s">
        <v>21</v>
      </c>
    </row>
    <row r="384" spans="1:7">
      <c r="A384">
        <v>383</v>
      </c>
      <c r="B384" t="str">
        <f>"022583"</f>
        <v>0</v>
      </c>
      <c r="C384" t="s">
        <v>734</v>
      </c>
      <c r="D384" t="s">
        <v>735</v>
      </c>
      <c r="E384" t="str">
        <f>"1199900042252"</f>
        <v>0</v>
      </c>
      <c r="F384" t="str">
        <f>"000030"</f>
        <v>0</v>
      </c>
      <c r="G384" t="s">
        <v>21</v>
      </c>
    </row>
    <row r="385" spans="1:7">
      <c r="A385">
        <v>384</v>
      </c>
      <c r="B385" t="str">
        <f>"023094"</f>
        <v>0</v>
      </c>
      <c r="C385" t="s">
        <v>736</v>
      </c>
      <c r="D385" t="s">
        <v>687</v>
      </c>
      <c r="E385" t="str">
        <f>"1101400752041"</f>
        <v>0</v>
      </c>
      <c r="F385" t="str">
        <f>"000030"</f>
        <v>0</v>
      </c>
      <c r="G385" t="s">
        <v>21</v>
      </c>
    </row>
    <row r="386" spans="1:7">
      <c r="A386">
        <v>385</v>
      </c>
      <c r="B386" t="str">
        <f>"023252"</f>
        <v>0</v>
      </c>
      <c r="C386" t="s">
        <v>737</v>
      </c>
      <c r="D386" t="s">
        <v>738</v>
      </c>
      <c r="E386" t="str">
        <f>"1489900062692"</f>
        <v>0</v>
      </c>
      <c r="F386" t="str">
        <f>"000030"</f>
        <v>0</v>
      </c>
      <c r="G386" t="s">
        <v>21</v>
      </c>
    </row>
    <row r="387" spans="1:7">
      <c r="A387">
        <v>386</v>
      </c>
      <c r="B387" t="str">
        <f>"023699"</f>
        <v>0</v>
      </c>
      <c r="C387" t="s">
        <v>739</v>
      </c>
      <c r="D387" t="s">
        <v>740</v>
      </c>
      <c r="E387" t="str">
        <f>"1309700005211"</f>
        <v>0</v>
      </c>
      <c r="F387" t="str">
        <f>"000030"</f>
        <v>0</v>
      </c>
      <c r="G387" t="s">
        <v>21</v>
      </c>
    </row>
    <row r="388" spans="1:7">
      <c r="A388">
        <v>387</v>
      </c>
      <c r="B388" t="str">
        <f>"024904"</f>
        <v>0</v>
      </c>
      <c r="C388" t="s">
        <v>741</v>
      </c>
      <c r="D388" t="s">
        <v>742</v>
      </c>
      <c r="E388" t="str">
        <f>"3710600024880"</f>
        <v>0</v>
      </c>
      <c r="F388" t="str">
        <f>"000030"</f>
        <v>0</v>
      </c>
      <c r="G388" t="s">
        <v>21</v>
      </c>
    </row>
    <row r="389" spans="1:7">
      <c r="A389">
        <v>388</v>
      </c>
      <c r="B389" t="str">
        <f>"025375"</f>
        <v>0</v>
      </c>
      <c r="C389" t="s">
        <v>743</v>
      </c>
      <c r="D389" t="s">
        <v>744</v>
      </c>
      <c r="E389" t="str">
        <f>"3570100333559"</f>
        <v>0</v>
      </c>
      <c r="F389" t="str">
        <f>"000030"</f>
        <v>0</v>
      </c>
      <c r="G389" t="s">
        <v>21</v>
      </c>
    </row>
    <row r="390" spans="1:7">
      <c r="A390">
        <v>389</v>
      </c>
      <c r="B390" t="str">
        <f>"026011"</f>
        <v>0</v>
      </c>
      <c r="C390" t="s">
        <v>745</v>
      </c>
      <c r="D390" t="s">
        <v>746</v>
      </c>
      <c r="E390" t="str">
        <f>"3349900607696"</f>
        <v>0</v>
      </c>
      <c r="F390" t="str">
        <f>"000030"</f>
        <v>0</v>
      </c>
      <c r="G390" t="s">
        <v>21</v>
      </c>
    </row>
    <row r="391" spans="1:7">
      <c r="A391">
        <v>390</v>
      </c>
      <c r="B391" t="str">
        <f>"026067"</f>
        <v>0</v>
      </c>
      <c r="C391" t="s">
        <v>747</v>
      </c>
      <c r="D391" t="s">
        <v>748</v>
      </c>
      <c r="E391" t="str">
        <f>"3540500143439"</f>
        <v>0</v>
      </c>
      <c r="F391" t="str">
        <f>"000030"</f>
        <v>0</v>
      </c>
      <c r="G391" t="s">
        <v>21</v>
      </c>
    </row>
    <row r="392" spans="1:7">
      <c r="A392">
        <v>391</v>
      </c>
      <c r="B392" t="str">
        <f>"026370"</f>
        <v>0</v>
      </c>
      <c r="C392" t="s">
        <v>749</v>
      </c>
      <c r="D392" t="s">
        <v>750</v>
      </c>
      <c r="E392" t="str">
        <f>"1169800075841"</f>
        <v>0</v>
      </c>
      <c r="F392" t="str">
        <f>"000030"</f>
        <v>0</v>
      </c>
      <c r="G392" t="s">
        <v>21</v>
      </c>
    </row>
    <row r="393" spans="1:7">
      <c r="A393">
        <v>392</v>
      </c>
      <c r="B393" t="str">
        <f>"026540"</f>
        <v>0</v>
      </c>
      <c r="C393" t="s">
        <v>751</v>
      </c>
      <c r="D393" t="s">
        <v>752</v>
      </c>
      <c r="E393" t="str">
        <f>"1100800587241"</f>
        <v>0</v>
      </c>
      <c r="F393" t="str">
        <f>"000030"</f>
        <v>0</v>
      </c>
      <c r="G393" t="s">
        <v>21</v>
      </c>
    </row>
    <row r="394" spans="1:7">
      <c r="A394">
        <v>393</v>
      </c>
      <c r="B394" t="str">
        <f>"026981"</f>
        <v>0</v>
      </c>
      <c r="C394" t="s">
        <v>753</v>
      </c>
      <c r="D394" t="s">
        <v>754</v>
      </c>
      <c r="E394" t="str">
        <f>"3720100058289"</f>
        <v>0</v>
      </c>
      <c r="F394" t="str">
        <f>"000030"</f>
        <v>0</v>
      </c>
      <c r="G394" t="s">
        <v>21</v>
      </c>
    </row>
    <row r="395" spans="1:7">
      <c r="A395">
        <v>394</v>
      </c>
      <c r="B395" t="str">
        <f>"000371"</f>
        <v>0</v>
      </c>
      <c r="C395" t="s">
        <v>755</v>
      </c>
      <c r="D395" t="s">
        <v>756</v>
      </c>
      <c r="E395" t="str">
        <f>"3102201149899"</f>
        <v>0</v>
      </c>
      <c r="F395" t="str">
        <f>"000030"</f>
        <v>0</v>
      </c>
      <c r="G395" t="s">
        <v>21</v>
      </c>
    </row>
    <row r="396" spans="1:7">
      <c r="A396">
        <v>395</v>
      </c>
      <c r="B396" t="str">
        <f>"001192"</f>
        <v>0</v>
      </c>
      <c r="C396" t="s">
        <v>757</v>
      </c>
      <c r="D396" t="s">
        <v>758</v>
      </c>
      <c r="E396" t="str">
        <f>"3120100697317"</f>
        <v>0</v>
      </c>
      <c r="F396" t="str">
        <f>"000030"</f>
        <v>0</v>
      </c>
      <c r="G396" t="s">
        <v>21</v>
      </c>
    </row>
    <row r="397" spans="1:7">
      <c r="A397">
        <v>396</v>
      </c>
      <c r="B397" t="str">
        <f>"006322"</f>
        <v>0</v>
      </c>
      <c r="C397" t="s">
        <v>759</v>
      </c>
      <c r="D397" t="s">
        <v>760</v>
      </c>
      <c r="E397" t="str">
        <f>"3100503798910"</f>
        <v>0</v>
      </c>
      <c r="F397" t="str">
        <f>"000030"</f>
        <v>0</v>
      </c>
      <c r="G397" t="s">
        <v>21</v>
      </c>
    </row>
    <row r="398" spans="1:7">
      <c r="A398">
        <v>397</v>
      </c>
      <c r="B398" t="str">
        <f>"008758"</f>
        <v>0</v>
      </c>
      <c r="C398" t="s">
        <v>761</v>
      </c>
      <c r="D398" t="s">
        <v>762</v>
      </c>
      <c r="E398" t="str">
        <f>"3100503840975"</f>
        <v>0</v>
      </c>
      <c r="F398" t="str">
        <f>"000030"</f>
        <v>0</v>
      </c>
      <c r="G398" t="s">
        <v>21</v>
      </c>
    </row>
    <row r="399" spans="1:7">
      <c r="A399">
        <v>398</v>
      </c>
      <c r="B399" t="str">
        <f>"010134"</f>
        <v>0</v>
      </c>
      <c r="C399" t="s">
        <v>763</v>
      </c>
      <c r="D399" t="s">
        <v>764</v>
      </c>
      <c r="E399" t="str">
        <f>"3100503832867"</f>
        <v>0</v>
      </c>
      <c r="F399" t="str">
        <f>"000030"</f>
        <v>0</v>
      </c>
      <c r="G399" t="s">
        <v>21</v>
      </c>
    </row>
    <row r="400" spans="1:7">
      <c r="A400">
        <v>399</v>
      </c>
      <c r="B400" t="str">
        <f>"011463"</f>
        <v>0</v>
      </c>
      <c r="C400" t="s">
        <v>765</v>
      </c>
      <c r="D400" t="s">
        <v>766</v>
      </c>
      <c r="E400" t="str">
        <f>"3120100658311"</f>
        <v>0</v>
      </c>
      <c r="F400" t="str">
        <f>"000030"</f>
        <v>0</v>
      </c>
      <c r="G400" t="s">
        <v>21</v>
      </c>
    </row>
    <row r="401" spans="1:7">
      <c r="A401">
        <v>400</v>
      </c>
      <c r="B401" t="str">
        <f>"013895"</f>
        <v>0</v>
      </c>
      <c r="C401" t="s">
        <v>767</v>
      </c>
      <c r="D401" t="s">
        <v>768</v>
      </c>
      <c r="E401" t="str">
        <f>"3100903040003"</f>
        <v>0</v>
      </c>
      <c r="F401" t="str">
        <f>"000030"</f>
        <v>0</v>
      </c>
      <c r="G401" t="s">
        <v>21</v>
      </c>
    </row>
    <row r="402" spans="1:7">
      <c r="A402">
        <v>401</v>
      </c>
      <c r="B402" t="str">
        <f>"013999"</f>
        <v>0</v>
      </c>
      <c r="C402" t="s">
        <v>769</v>
      </c>
      <c r="D402" t="s">
        <v>770</v>
      </c>
      <c r="E402" t="str">
        <f>"3900100163013"</f>
        <v>0</v>
      </c>
      <c r="F402" t="str">
        <f>"000030"</f>
        <v>0</v>
      </c>
      <c r="G402" t="s">
        <v>21</v>
      </c>
    </row>
    <row r="403" spans="1:7">
      <c r="A403">
        <v>402</v>
      </c>
      <c r="B403" t="str">
        <f>"015405"</f>
        <v>0</v>
      </c>
      <c r="C403" t="s">
        <v>771</v>
      </c>
      <c r="D403" t="s">
        <v>390</v>
      </c>
      <c r="E403" t="str">
        <f>"3101600027974"</f>
        <v>0</v>
      </c>
      <c r="F403" t="str">
        <f>"000030"</f>
        <v>0</v>
      </c>
      <c r="G403" t="s">
        <v>21</v>
      </c>
    </row>
    <row r="404" spans="1:7">
      <c r="A404">
        <v>403</v>
      </c>
      <c r="B404" t="str">
        <f>"016448"</f>
        <v>0</v>
      </c>
      <c r="C404" t="s">
        <v>772</v>
      </c>
      <c r="D404" t="s">
        <v>773</v>
      </c>
      <c r="E404" t="str">
        <f>"3102000555326"</f>
        <v>0</v>
      </c>
      <c r="F404" t="str">
        <f>"000030"</f>
        <v>0</v>
      </c>
      <c r="G404" t="s">
        <v>21</v>
      </c>
    </row>
    <row r="405" spans="1:7">
      <c r="A405">
        <v>404</v>
      </c>
      <c r="B405" t="str">
        <f>"017591"</f>
        <v>0</v>
      </c>
      <c r="C405" t="s">
        <v>774</v>
      </c>
      <c r="D405" t="s">
        <v>775</v>
      </c>
      <c r="E405" t="str">
        <f>"3100501083841"</f>
        <v>0</v>
      </c>
      <c r="F405" t="str">
        <f>"000030"</f>
        <v>0</v>
      </c>
      <c r="G405" t="s">
        <v>21</v>
      </c>
    </row>
    <row r="406" spans="1:7">
      <c r="A406">
        <v>405</v>
      </c>
      <c r="B406" t="str">
        <f>"017744"</f>
        <v>0</v>
      </c>
      <c r="C406" t="s">
        <v>776</v>
      </c>
      <c r="D406" t="s">
        <v>777</v>
      </c>
      <c r="E406" t="str">
        <f>"3100600713672"</f>
        <v>0</v>
      </c>
      <c r="F406" t="str">
        <f>"000030"</f>
        <v>0</v>
      </c>
      <c r="G406" t="s">
        <v>21</v>
      </c>
    </row>
    <row r="407" spans="1:7">
      <c r="A407">
        <v>406</v>
      </c>
      <c r="B407" t="str">
        <f>"018304"</f>
        <v>0</v>
      </c>
      <c r="C407" t="s">
        <v>778</v>
      </c>
      <c r="D407" t="s">
        <v>779</v>
      </c>
      <c r="E407" t="str">
        <f>"3100602467652"</f>
        <v>0</v>
      </c>
      <c r="F407" t="str">
        <f>"000030"</f>
        <v>0</v>
      </c>
      <c r="G407" t="s">
        <v>21</v>
      </c>
    </row>
    <row r="408" spans="1:7">
      <c r="A408">
        <v>407</v>
      </c>
      <c r="B408" t="str">
        <f>"019172"</f>
        <v>0</v>
      </c>
      <c r="C408" t="s">
        <v>780</v>
      </c>
      <c r="D408" t="s">
        <v>781</v>
      </c>
      <c r="E408" t="str">
        <f>"3749900293647"</f>
        <v>0</v>
      </c>
      <c r="F408" t="str">
        <f>"000030"</f>
        <v>0</v>
      </c>
      <c r="G408" t="s">
        <v>21</v>
      </c>
    </row>
    <row r="409" spans="1:7">
      <c r="A409">
        <v>408</v>
      </c>
      <c r="B409" t="str">
        <f>"019311"</f>
        <v>0</v>
      </c>
      <c r="C409" t="s">
        <v>782</v>
      </c>
      <c r="D409" t="s">
        <v>783</v>
      </c>
      <c r="E409" t="str">
        <f>"3100200052555"</f>
        <v>0</v>
      </c>
      <c r="F409" t="str">
        <f>"000030"</f>
        <v>0</v>
      </c>
      <c r="G409" t="s">
        <v>21</v>
      </c>
    </row>
    <row r="410" spans="1:7">
      <c r="A410">
        <v>409</v>
      </c>
      <c r="B410" t="str">
        <f>"020151"</f>
        <v>0</v>
      </c>
      <c r="C410" t="s">
        <v>181</v>
      </c>
      <c r="D410" t="s">
        <v>784</v>
      </c>
      <c r="E410" t="str">
        <f>"3100601132762"</f>
        <v>0</v>
      </c>
      <c r="F410" t="str">
        <f>"000030"</f>
        <v>0</v>
      </c>
      <c r="G410" t="s">
        <v>21</v>
      </c>
    </row>
    <row r="411" spans="1:7">
      <c r="A411">
        <v>410</v>
      </c>
      <c r="B411" t="str">
        <f>"020712"</f>
        <v>0</v>
      </c>
      <c r="C411" t="s">
        <v>785</v>
      </c>
      <c r="D411" t="s">
        <v>786</v>
      </c>
      <c r="E411" t="str">
        <f>"3100502984485"</f>
        <v>0</v>
      </c>
      <c r="F411" t="str">
        <f>"000030"</f>
        <v>0</v>
      </c>
      <c r="G411" t="s">
        <v>21</v>
      </c>
    </row>
    <row r="412" spans="1:7">
      <c r="A412">
        <v>411</v>
      </c>
      <c r="B412" t="str">
        <f>"023583"</f>
        <v>0</v>
      </c>
      <c r="C412" t="s">
        <v>787</v>
      </c>
      <c r="D412" t="s">
        <v>788</v>
      </c>
      <c r="E412" t="str">
        <f>"3839900044069"</f>
        <v>0</v>
      </c>
      <c r="F412" t="str">
        <f>"000030"</f>
        <v>0</v>
      </c>
      <c r="G412" t="s">
        <v>21</v>
      </c>
    </row>
    <row r="413" spans="1:7">
      <c r="A413">
        <v>412</v>
      </c>
      <c r="B413" t="str">
        <f>"000080"</f>
        <v>0</v>
      </c>
      <c r="C413" t="s">
        <v>789</v>
      </c>
      <c r="D413" t="s">
        <v>790</v>
      </c>
      <c r="E413" t="str">
        <f>"3102000671148"</f>
        <v>0</v>
      </c>
      <c r="F413" t="str">
        <f>"000030"</f>
        <v>0</v>
      </c>
      <c r="G413" t="s">
        <v>21</v>
      </c>
    </row>
    <row r="414" spans="1:7">
      <c r="A414">
        <v>413</v>
      </c>
      <c r="B414" t="str">
        <f>"000117"</f>
        <v>0</v>
      </c>
      <c r="C414" t="s">
        <v>791</v>
      </c>
      <c r="D414" t="s">
        <v>792</v>
      </c>
      <c r="E414" t="str">
        <f>"3101401117574"</f>
        <v>0</v>
      </c>
      <c r="F414" t="str">
        <f>"000030"</f>
        <v>0</v>
      </c>
      <c r="G414" t="s">
        <v>21</v>
      </c>
    </row>
    <row r="415" spans="1:7">
      <c r="A415">
        <v>414</v>
      </c>
      <c r="B415" t="str">
        <f>"001036"</f>
        <v>0</v>
      </c>
      <c r="C415" t="s">
        <v>793</v>
      </c>
      <c r="D415" t="s">
        <v>794</v>
      </c>
      <c r="E415" t="str">
        <f>"3700500758156"</f>
        <v>0</v>
      </c>
      <c r="F415" t="str">
        <f>"000030"</f>
        <v>0</v>
      </c>
      <c r="G415" t="s">
        <v>21</v>
      </c>
    </row>
    <row r="416" spans="1:7">
      <c r="A416">
        <v>415</v>
      </c>
      <c r="B416" t="str">
        <f>"001265"</f>
        <v>0</v>
      </c>
      <c r="C416" t="s">
        <v>795</v>
      </c>
      <c r="D416" t="s">
        <v>796</v>
      </c>
      <c r="E416" t="str">
        <f>"3101701066983"</f>
        <v>0</v>
      </c>
      <c r="F416" t="str">
        <f>"000030"</f>
        <v>0</v>
      </c>
      <c r="G416" t="s">
        <v>21</v>
      </c>
    </row>
    <row r="417" spans="1:7">
      <c r="A417">
        <v>416</v>
      </c>
      <c r="B417" t="str">
        <f>"001593"</f>
        <v>0</v>
      </c>
      <c r="C417" t="s">
        <v>797</v>
      </c>
      <c r="D417" t="s">
        <v>79</v>
      </c>
      <c r="E417" t="str">
        <f>"3102101208486"</f>
        <v>0</v>
      </c>
      <c r="F417" t="str">
        <f>"000030"</f>
        <v>0</v>
      </c>
      <c r="G417" t="s">
        <v>21</v>
      </c>
    </row>
    <row r="418" spans="1:7">
      <c r="A418">
        <v>417</v>
      </c>
      <c r="B418" t="str">
        <f>"001942"</f>
        <v>0</v>
      </c>
      <c r="C418" t="s">
        <v>798</v>
      </c>
      <c r="D418" t="s">
        <v>799</v>
      </c>
      <c r="E418" t="str">
        <f>"3101600977727"</f>
        <v>0</v>
      </c>
      <c r="F418" t="str">
        <f>"000030"</f>
        <v>0</v>
      </c>
      <c r="G418" t="s">
        <v>21</v>
      </c>
    </row>
    <row r="419" spans="1:7">
      <c r="A419">
        <v>418</v>
      </c>
      <c r="B419" t="str">
        <f>"002642"</f>
        <v>0</v>
      </c>
      <c r="C419" t="s">
        <v>800</v>
      </c>
      <c r="D419" t="s">
        <v>801</v>
      </c>
      <c r="E419" t="str">
        <f>"3199900409462"</f>
        <v>0</v>
      </c>
      <c r="F419" t="str">
        <f>"000030"</f>
        <v>0</v>
      </c>
      <c r="G419" t="s">
        <v>21</v>
      </c>
    </row>
    <row r="420" spans="1:7">
      <c r="A420">
        <v>419</v>
      </c>
      <c r="B420" t="str">
        <f>"002897"</f>
        <v>0</v>
      </c>
      <c r="C420" t="s">
        <v>802</v>
      </c>
      <c r="D420" t="s">
        <v>803</v>
      </c>
      <c r="E420" t="str">
        <f>"5500100018498"</f>
        <v>0</v>
      </c>
      <c r="F420" t="str">
        <f>"000030"</f>
        <v>0</v>
      </c>
      <c r="G420" t="s">
        <v>21</v>
      </c>
    </row>
    <row r="421" spans="1:7">
      <c r="A421">
        <v>420</v>
      </c>
      <c r="B421" t="str">
        <f>"004384"</f>
        <v>0</v>
      </c>
      <c r="C421" t="s">
        <v>804</v>
      </c>
      <c r="D421" t="s">
        <v>805</v>
      </c>
      <c r="E421" t="str">
        <f>"3100501888491"</f>
        <v>0</v>
      </c>
      <c r="F421" t="str">
        <f>"000030"</f>
        <v>0</v>
      </c>
      <c r="G421" t="s">
        <v>21</v>
      </c>
    </row>
    <row r="422" spans="1:7">
      <c r="A422">
        <v>421</v>
      </c>
      <c r="B422" t="str">
        <f>"010895"</f>
        <v>0</v>
      </c>
      <c r="C422" t="s">
        <v>806</v>
      </c>
      <c r="D422" t="s">
        <v>807</v>
      </c>
      <c r="E422" t="str">
        <f>"3100101155275"</f>
        <v>0</v>
      </c>
      <c r="F422" t="str">
        <f>"000030"</f>
        <v>0</v>
      </c>
      <c r="G422" t="s">
        <v>21</v>
      </c>
    </row>
    <row r="423" spans="1:7">
      <c r="A423">
        <v>422</v>
      </c>
      <c r="B423" t="str">
        <f>"011582"</f>
        <v>0</v>
      </c>
      <c r="C423" t="s">
        <v>379</v>
      </c>
      <c r="D423" t="s">
        <v>808</v>
      </c>
      <c r="E423" t="str">
        <f>"3759900114530"</f>
        <v>0</v>
      </c>
      <c r="F423" t="str">
        <f>"000030"</f>
        <v>0</v>
      </c>
      <c r="G423" t="s">
        <v>21</v>
      </c>
    </row>
    <row r="424" spans="1:7">
      <c r="A424">
        <v>423</v>
      </c>
      <c r="B424" t="str">
        <f>"012245"</f>
        <v>0</v>
      </c>
      <c r="C424" t="s">
        <v>809</v>
      </c>
      <c r="D424" t="s">
        <v>810</v>
      </c>
      <c r="E424" t="str">
        <f>"3101500615271"</f>
        <v>0</v>
      </c>
      <c r="F424" t="str">
        <f>"000030"</f>
        <v>0</v>
      </c>
      <c r="G424" t="s">
        <v>21</v>
      </c>
    </row>
    <row r="425" spans="1:7">
      <c r="A425">
        <v>424</v>
      </c>
      <c r="B425" t="str">
        <f>"012319"</f>
        <v>0</v>
      </c>
      <c r="C425" t="s">
        <v>811</v>
      </c>
      <c r="D425" t="s">
        <v>812</v>
      </c>
      <c r="E425" t="str">
        <f>"5100500105103"</f>
        <v>0</v>
      </c>
      <c r="F425" t="str">
        <f>"000030"</f>
        <v>0</v>
      </c>
      <c r="G425" t="s">
        <v>21</v>
      </c>
    </row>
    <row r="426" spans="1:7">
      <c r="A426">
        <v>425</v>
      </c>
      <c r="B426" t="str">
        <f>"013301"</f>
        <v>0</v>
      </c>
      <c r="C426" t="s">
        <v>197</v>
      </c>
      <c r="D426" t="s">
        <v>813</v>
      </c>
      <c r="E426" t="str">
        <f>"3100502051268"</f>
        <v>0</v>
      </c>
      <c r="F426" t="str">
        <f>"000030"</f>
        <v>0</v>
      </c>
      <c r="G426" t="s">
        <v>21</v>
      </c>
    </row>
    <row r="427" spans="1:7">
      <c r="A427">
        <v>426</v>
      </c>
      <c r="B427" t="str">
        <f>"013338"</f>
        <v>0</v>
      </c>
      <c r="C427" t="s">
        <v>814</v>
      </c>
      <c r="D427" t="s">
        <v>815</v>
      </c>
      <c r="E427" t="str">
        <f>"3900100054222"</f>
        <v>0</v>
      </c>
      <c r="F427" t="str">
        <f>"000030"</f>
        <v>0</v>
      </c>
      <c r="G427" t="s">
        <v>21</v>
      </c>
    </row>
    <row r="428" spans="1:7">
      <c r="A428">
        <v>427</v>
      </c>
      <c r="B428" t="str">
        <f>"013858"</f>
        <v>0</v>
      </c>
      <c r="C428" t="s">
        <v>816</v>
      </c>
      <c r="D428" t="s">
        <v>817</v>
      </c>
      <c r="E428" t="str">
        <f>"3101702095901"</f>
        <v>0</v>
      </c>
      <c r="F428" t="str">
        <f>"000030"</f>
        <v>0</v>
      </c>
      <c r="G428" t="s">
        <v>21</v>
      </c>
    </row>
    <row r="429" spans="1:7">
      <c r="A429">
        <v>428</v>
      </c>
      <c r="B429" t="str">
        <f>"015032"</f>
        <v>0</v>
      </c>
      <c r="C429" t="s">
        <v>818</v>
      </c>
      <c r="D429" t="s">
        <v>819</v>
      </c>
      <c r="E429" t="str">
        <f>"3100504084759"</f>
        <v>0</v>
      </c>
      <c r="F429" t="str">
        <f>"000030"</f>
        <v>0</v>
      </c>
      <c r="G429" t="s">
        <v>21</v>
      </c>
    </row>
    <row r="430" spans="1:7">
      <c r="A430">
        <v>429</v>
      </c>
      <c r="B430" t="str">
        <f>"015563"</f>
        <v>0</v>
      </c>
      <c r="C430" t="s">
        <v>820</v>
      </c>
      <c r="D430" t="s">
        <v>821</v>
      </c>
      <c r="E430" t="str">
        <f>"3102400384618"</f>
        <v>0</v>
      </c>
      <c r="F430" t="str">
        <f>"000030"</f>
        <v>0</v>
      </c>
      <c r="G430" t="s">
        <v>21</v>
      </c>
    </row>
    <row r="431" spans="1:7">
      <c r="A431">
        <v>430</v>
      </c>
      <c r="B431" t="str">
        <f>"015614"</f>
        <v>0</v>
      </c>
      <c r="C431" t="s">
        <v>822</v>
      </c>
      <c r="D431" t="s">
        <v>823</v>
      </c>
      <c r="E431" t="str">
        <f>"3102201775960"</f>
        <v>0</v>
      </c>
      <c r="F431" t="str">
        <f>"000030"</f>
        <v>0</v>
      </c>
      <c r="G431" t="s">
        <v>21</v>
      </c>
    </row>
    <row r="432" spans="1:7">
      <c r="A432">
        <v>431</v>
      </c>
      <c r="B432" t="str">
        <f>"015796"</f>
        <v>0</v>
      </c>
      <c r="C432" t="s">
        <v>423</v>
      </c>
      <c r="D432" t="s">
        <v>824</v>
      </c>
      <c r="E432" t="str">
        <f>"3102001932131"</f>
        <v>0</v>
      </c>
      <c r="F432" t="str">
        <f>"000030"</f>
        <v>0</v>
      </c>
      <c r="G432" t="s">
        <v>21</v>
      </c>
    </row>
    <row r="433" spans="1:7">
      <c r="A433">
        <v>432</v>
      </c>
      <c r="B433" t="str">
        <f>"015978"</f>
        <v>0</v>
      </c>
      <c r="C433" t="s">
        <v>825</v>
      </c>
      <c r="D433" t="s">
        <v>826</v>
      </c>
      <c r="E433" t="str">
        <f>"3100905030919"</f>
        <v>0</v>
      </c>
      <c r="F433" t="str">
        <f>"000030"</f>
        <v>0</v>
      </c>
      <c r="G433" t="s">
        <v>21</v>
      </c>
    </row>
    <row r="434" spans="1:7">
      <c r="A434">
        <v>433</v>
      </c>
      <c r="B434" t="str">
        <f>"016009"</f>
        <v>0</v>
      </c>
      <c r="C434" t="s">
        <v>827</v>
      </c>
      <c r="D434" t="s">
        <v>29</v>
      </c>
      <c r="E434" t="str">
        <f>"3101800225176"</f>
        <v>0</v>
      </c>
      <c r="F434" t="str">
        <f>"000030"</f>
        <v>0</v>
      </c>
      <c r="G434" t="s">
        <v>21</v>
      </c>
    </row>
    <row r="435" spans="1:7">
      <c r="A435">
        <v>434</v>
      </c>
      <c r="B435" t="str">
        <f>"017020"</f>
        <v>0</v>
      </c>
      <c r="C435" t="s">
        <v>828</v>
      </c>
      <c r="D435" t="s">
        <v>829</v>
      </c>
      <c r="E435" t="str">
        <f>"3101400392903"</f>
        <v>0</v>
      </c>
      <c r="F435" t="str">
        <f>"000030"</f>
        <v>0</v>
      </c>
      <c r="G435" t="s">
        <v>21</v>
      </c>
    </row>
    <row r="436" spans="1:7">
      <c r="A436">
        <v>435</v>
      </c>
      <c r="B436" t="str">
        <f>"017121"</f>
        <v>0</v>
      </c>
      <c r="C436" t="s">
        <v>830</v>
      </c>
      <c r="D436" t="s">
        <v>831</v>
      </c>
      <c r="E436" t="str">
        <f>"3100600377168"</f>
        <v>0</v>
      </c>
      <c r="F436" t="str">
        <f>"000030"</f>
        <v>0</v>
      </c>
      <c r="G436" t="s">
        <v>21</v>
      </c>
    </row>
    <row r="437" spans="1:7">
      <c r="A437">
        <v>436</v>
      </c>
      <c r="B437" t="str">
        <f>"018042"</f>
        <v>0</v>
      </c>
      <c r="C437" t="s">
        <v>832</v>
      </c>
      <c r="D437" t="s">
        <v>833</v>
      </c>
      <c r="E437" t="str">
        <f>"3800900110209"</f>
        <v>0</v>
      </c>
      <c r="F437" t="str">
        <f>"000030"</f>
        <v>0</v>
      </c>
      <c r="G437" t="s">
        <v>21</v>
      </c>
    </row>
    <row r="438" spans="1:7">
      <c r="A438">
        <v>437</v>
      </c>
      <c r="B438" t="str">
        <f>"018198"</f>
        <v>0</v>
      </c>
      <c r="C438" t="s">
        <v>834</v>
      </c>
      <c r="D438" t="s">
        <v>835</v>
      </c>
      <c r="E438" t="str">
        <f>"3100300149534"</f>
        <v>0</v>
      </c>
      <c r="F438" t="str">
        <f>"000030"</f>
        <v>0</v>
      </c>
      <c r="G438" t="s">
        <v>21</v>
      </c>
    </row>
    <row r="439" spans="1:7">
      <c r="A439">
        <v>438</v>
      </c>
      <c r="B439" t="str">
        <f>"018208"</f>
        <v>0</v>
      </c>
      <c r="C439" t="s">
        <v>361</v>
      </c>
      <c r="D439" t="s">
        <v>836</v>
      </c>
      <c r="E439" t="str">
        <f>"3670600376680"</f>
        <v>0</v>
      </c>
      <c r="F439" t="str">
        <f>"000030"</f>
        <v>0</v>
      </c>
      <c r="G439" t="s">
        <v>21</v>
      </c>
    </row>
    <row r="440" spans="1:7">
      <c r="A440">
        <v>439</v>
      </c>
      <c r="B440" t="str">
        <f>"018381"</f>
        <v>0</v>
      </c>
      <c r="C440" t="s">
        <v>837</v>
      </c>
      <c r="D440" t="s">
        <v>838</v>
      </c>
      <c r="E440" t="str">
        <f>"3100501543493"</f>
        <v>0</v>
      </c>
      <c r="F440" t="str">
        <f>"000030"</f>
        <v>0</v>
      </c>
      <c r="G440" t="s">
        <v>21</v>
      </c>
    </row>
    <row r="441" spans="1:7">
      <c r="A441">
        <v>440</v>
      </c>
      <c r="B441" t="str">
        <f>"018694"</f>
        <v>0</v>
      </c>
      <c r="C441" t="s">
        <v>839</v>
      </c>
      <c r="D441" t="s">
        <v>840</v>
      </c>
      <c r="E441" t="str">
        <f>"4100900104190"</f>
        <v>0</v>
      </c>
      <c r="F441" t="str">
        <f>"000030"</f>
        <v>0</v>
      </c>
      <c r="G441" t="s">
        <v>21</v>
      </c>
    </row>
    <row r="442" spans="1:7">
      <c r="A442">
        <v>441</v>
      </c>
      <c r="B442" t="str">
        <f>"018961"</f>
        <v>0</v>
      </c>
      <c r="C442" t="s">
        <v>841</v>
      </c>
      <c r="D442" t="s">
        <v>842</v>
      </c>
      <c r="E442" t="str">
        <f>"3100501412488"</f>
        <v>0</v>
      </c>
      <c r="F442" t="str">
        <f>"000030"</f>
        <v>0</v>
      </c>
      <c r="G442" t="s">
        <v>21</v>
      </c>
    </row>
    <row r="443" spans="1:7">
      <c r="A443">
        <v>442</v>
      </c>
      <c r="B443" t="str">
        <f>"019148"</f>
        <v>0</v>
      </c>
      <c r="C443" t="s">
        <v>843</v>
      </c>
      <c r="D443" t="s">
        <v>844</v>
      </c>
      <c r="E443" t="str">
        <f>"3100503724789"</f>
        <v>0</v>
      </c>
      <c r="F443" t="str">
        <f>"000030"</f>
        <v>0</v>
      </c>
      <c r="G443" t="s">
        <v>21</v>
      </c>
    </row>
    <row r="444" spans="1:7">
      <c r="A444">
        <v>443</v>
      </c>
      <c r="B444" t="str">
        <f>"019309"</f>
        <v>0</v>
      </c>
      <c r="C444" t="s">
        <v>845</v>
      </c>
      <c r="D444" t="s">
        <v>846</v>
      </c>
      <c r="E444" t="str">
        <f>"3100100944900"</f>
        <v>0</v>
      </c>
      <c r="F444" t="str">
        <f>"000030"</f>
        <v>0</v>
      </c>
      <c r="G444" t="s">
        <v>21</v>
      </c>
    </row>
    <row r="445" spans="1:7">
      <c r="A445">
        <v>444</v>
      </c>
      <c r="B445" t="str">
        <f>"019530"</f>
        <v>0</v>
      </c>
      <c r="C445" t="s">
        <v>847</v>
      </c>
      <c r="D445" t="s">
        <v>807</v>
      </c>
      <c r="E445" t="str">
        <f>"3240400472751"</f>
        <v>0</v>
      </c>
      <c r="F445" t="str">
        <f>"000030"</f>
        <v>0</v>
      </c>
      <c r="G445" t="s">
        <v>21</v>
      </c>
    </row>
    <row r="446" spans="1:7">
      <c r="A446">
        <v>445</v>
      </c>
      <c r="B446" t="str">
        <f>"019590"</f>
        <v>0</v>
      </c>
      <c r="C446" t="s">
        <v>848</v>
      </c>
      <c r="D446" t="s">
        <v>849</v>
      </c>
      <c r="E446" t="str">
        <f>"3501900113287"</f>
        <v>0</v>
      </c>
      <c r="F446" t="str">
        <f>"000030"</f>
        <v>0</v>
      </c>
      <c r="G446" t="s">
        <v>21</v>
      </c>
    </row>
    <row r="447" spans="1:7">
      <c r="A447">
        <v>446</v>
      </c>
      <c r="B447" t="str">
        <f>"019665"</f>
        <v>0</v>
      </c>
      <c r="C447" t="s">
        <v>850</v>
      </c>
      <c r="D447" t="s">
        <v>851</v>
      </c>
      <c r="E447" t="str">
        <f>"3101403059890"</f>
        <v>0</v>
      </c>
      <c r="F447" t="str">
        <f>"000030"</f>
        <v>0</v>
      </c>
      <c r="G447" t="s">
        <v>21</v>
      </c>
    </row>
    <row r="448" spans="1:7">
      <c r="A448">
        <v>447</v>
      </c>
      <c r="B448" t="str">
        <f>"019704"</f>
        <v>0</v>
      </c>
      <c r="C448" t="s">
        <v>852</v>
      </c>
      <c r="D448" t="s">
        <v>853</v>
      </c>
      <c r="E448" t="str">
        <f>"3102200950202"</f>
        <v>0</v>
      </c>
      <c r="F448" t="str">
        <f>"000030"</f>
        <v>0</v>
      </c>
      <c r="G448" t="s">
        <v>21</v>
      </c>
    </row>
    <row r="449" spans="1:7">
      <c r="A449">
        <v>448</v>
      </c>
      <c r="B449" t="str">
        <f>"021768"</f>
        <v>0</v>
      </c>
      <c r="C449" t="s">
        <v>494</v>
      </c>
      <c r="D449" t="s">
        <v>854</v>
      </c>
      <c r="E449" t="str">
        <f>"3140800482003"</f>
        <v>0</v>
      </c>
      <c r="F449" t="str">
        <f>"000030"</f>
        <v>0</v>
      </c>
      <c r="G449" t="s">
        <v>21</v>
      </c>
    </row>
    <row r="450" spans="1:7">
      <c r="A450">
        <v>449</v>
      </c>
      <c r="B450" t="str">
        <f>"021806"</f>
        <v>0</v>
      </c>
      <c r="C450" t="s">
        <v>855</v>
      </c>
      <c r="D450" t="s">
        <v>856</v>
      </c>
      <c r="E450" t="str">
        <f>"3209800067755"</f>
        <v>0</v>
      </c>
      <c r="F450" t="str">
        <f>"000030"</f>
        <v>0</v>
      </c>
      <c r="G450" t="s">
        <v>21</v>
      </c>
    </row>
    <row r="451" spans="1:7">
      <c r="A451">
        <v>450</v>
      </c>
      <c r="B451" t="str">
        <f>"022600"</f>
        <v>0</v>
      </c>
      <c r="C451" t="s">
        <v>857</v>
      </c>
      <c r="D451" t="s">
        <v>858</v>
      </c>
      <c r="E451" t="str">
        <f>"3102002222731"</f>
        <v>0</v>
      </c>
      <c r="F451" t="str">
        <f>"000030"</f>
        <v>0</v>
      </c>
      <c r="G451" t="s">
        <v>21</v>
      </c>
    </row>
    <row r="452" spans="1:7">
      <c r="A452">
        <v>451</v>
      </c>
      <c r="B452" t="str">
        <f>"022601"</f>
        <v>0</v>
      </c>
      <c r="C452" t="s">
        <v>859</v>
      </c>
      <c r="D452" t="s">
        <v>858</v>
      </c>
      <c r="E452" t="str">
        <f>"3102002222740"</f>
        <v>0</v>
      </c>
      <c r="F452" t="str">
        <f>"000030"</f>
        <v>0</v>
      </c>
      <c r="G452" t="s">
        <v>21</v>
      </c>
    </row>
    <row r="453" spans="1:7">
      <c r="A453">
        <v>452</v>
      </c>
      <c r="B453" t="str">
        <f>"023135"</f>
        <v>0</v>
      </c>
      <c r="C453" t="s">
        <v>860</v>
      </c>
      <c r="D453" t="s">
        <v>861</v>
      </c>
      <c r="E453" t="str">
        <f>"3102400048707"</f>
        <v>0</v>
      </c>
      <c r="F453" t="str">
        <f>"000030"</f>
        <v>0</v>
      </c>
      <c r="G453" t="s">
        <v>21</v>
      </c>
    </row>
    <row r="454" spans="1:7">
      <c r="A454">
        <v>453</v>
      </c>
      <c r="B454" t="str">
        <f>"023605"</f>
        <v>0</v>
      </c>
      <c r="C454" t="s">
        <v>862</v>
      </c>
      <c r="D454" t="s">
        <v>863</v>
      </c>
      <c r="E454" t="str">
        <f>"3560101152175"</f>
        <v>0</v>
      </c>
      <c r="F454" t="str">
        <f>"000030"</f>
        <v>0</v>
      </c>
      <c r="G454" t="s">
        <v>21</v>
      </c>
    </row>
    <row r="455" spans="1:7">
      <c r="A455">
        <v>454</v>
      </c>
      <c r="B455" t="str">
        <f>"024903"</f>
        <v>0</v>
      </c>
      <c r="C455" t="s">
        <v>864</v>
      </c>
      <c r="D455" t="s">
        <v>865</v>
      </c>
      <c r="E455" t="str">
        <f>"1509900417597"</f>
        <v>0</v>
      </c>
      <c r="F455" t="str">
        <f>"000030"</f>
        <v>0</v>
      </c>
      <c r="G455" t="s">
        <v>21</v>
      </c>
    </row>
    <row r="456" spans="1:7">
      <c r="A456">
        <v>455</v>
      </c>
      <c r="B456" t="str">
        <f>"018044"</f>
        <v>0</v>
      </c>
      <c r="C456" t="s">
        <v>866</v>
      </c>
      <c r="D456" t="s">
        <v>867</v>
      </c>
      <c r="E456" t="str">
        <f>"3260200254408"</f>
        <v>0</v>
      </c>
      <c r="F456" t="str">
        <f>"000030"</f>
        <v>0</v>
      </c>
      <c r="G456" t="s">
        <v>21</v>
      </c>
    </row>
    <row r="457" spans="1:7">
      <c r="A457">
        <v>456</v>
      </c>
      <c r="B457" t="str">
        <f>"019198"</f>
        <v>0</v>
      </c>
      <c r="C457" t="s">
        <v>868</v>
      </c>
      <c r="D457" t="s">
        <v>869</v>
      </c>
      <c r="E457" t="str">
        <f>"3640300009258"</f>
        <v>0</v>
      </c>
      <c r="F457" t="str">
        <f>"000030"</f>
        <v>0</v>
      </c>
      <c r="G457" t="s">
        <v>21</v>
      </c>
    </row>
    <row r="458" spans="1:7">
      <c r="A458">
        <v>457</v>
      </c>
      <c r="B458" t="str">
        <f>"020830"</f>
        <v>0</v>
      </c>
      <c r="C458" t="s">
        <v>870</v>
      </c>
      <c r="D458" t="s">
        <v>871</v>
      </c>
      <c r="E458" t="str">
        <f>"3310500218252"</f>
        <v>0</v>
      </c>
      <c r="F458" t="str">
        <f>"000030"</f>
        <v>0</v>
      </c>
      <c r="G458" t="s">
        <v>21</v>
      </c>
    </row>
    <row r="459" spans="1:7">
      <c r="A459">
        <v>458</v>
      </c>
      <c r="B459" t="str">
        <f>"022423"</f>
        <v>0</v>
      </c>
      <c r="C459" t="s">
        <v>872</v>
      </c>
      <c r="D459" t="s">
        <v>873</v>
      </c>
      <c r="E459" t="str">
        <f>"1102000108030"</f>
        <v>0</v>
      </c>
      <c r="F459" t="str">
        <f>"000030"</f>
        <v>0</v>
      </c>
      <c r="G459" t="s">
        <v>21</v>
      </c>
    </row>
    <row r="460" spans="1:7">
      <c r="A460">
        <v>459</v>
      </c>
      <c r="B460" t="str">
        <f>"022560"</f>
        <v>0</v>
      </c>
      <c r="C460" t="s">
        <v>874</v>
      </c>
      <c r="D460" t="s">
        <v>875</v>
      </c>
      <c r="E460" t="str">
        <f>"1909900074190"</f>
        <v>0</v>
      </c>
      <c r="F460" t="str">
        <f>"000030"</f>
        <v>0</v>
      </c>
      <c r="G460" t="s">
        <v>21</v>
      </c>
    </row>
    <row r="461" spans="1:7">
      <c r="A461">
        <v>460</v>
      </c>
      <c r="B461" t="str">
        <f>"009323"</f>
        <v>0</v>
      </c>
      <c r="C461" t="s">
        <v>876</v>
      </c>
      <c r="D461" t="s">
        <v>877</v>
      </c>
      <c r="E461" t="str">
        <f>"3300600580107"</f>
        <v>0</v>
      </c>
      <c r="F461" t="str">
        <f>"000030"</f>
        <v>0</v>
      </c>
      <c r="G461" t="s">
        <v>21</v>
      </c>
    </row>
    <row r="462" spans="1:7">
      <c r="A462">
        <v>461</v>
      </c>
      <c r="B462" t="str">
        <f>"017355"</f>
        <v>0</v>
      </c>
      <c r="C462" t="s">
        <v>878</v>
      </c>
      <c r="D462" t="s">
        <v>192</v>
      </c>
      <c r="E462" t="str">
        <f>"3101401813082"</f>
        <v>0</v>
      </c>
      <c r="F462" t="str">
        <f>"000030"</f>
        <v>0</v>
      </c>
      <c r="G462" t="s">
        <v>21</v>
      </c>
    </row>
    <row r="463" spans="1:7">
      <c r="A463">
        <v>462</v>
      </c>
      <c r="B463" t="str">
        <f>"021087"</f>
        <v>0</v>
      </c>
      <c r="C463" t="s">
        <v>789</v>
      </c>
      <c r="D463" t="s">
        <v>497</v>
      </c>
      <c r="E463" t="str">
        <f>"3120101255482"</f>
        <v>0</v>
      </c>
      <c r="F463" t="str">
        <f>"000030"</f>
        <v>0</v>
      </c>
      <c r="G463" t="s">
        <v>21</v>
      </c>
    </row>
    <row r="464" spans="1:7">
      <c r="A464">
        <v>463</v>
      </c>
      <c r="B464" t="str">
        <f>"021403"</f>
        <v>0</v>
      </c>
      <c r="C464" t="s">
        <v>879</v>
      </c>
      <c r="D464" t="s">
        <v>880</v>
      </c>
      <c r="E464" t="str">
        <f>"3100904858263"</f>
        <v>0</v>
      </c>
      <c r="F464" t="str">
        <f>"000030"</f>
        <v>0</v>
      </c>
      <c r="G464" t="s">
        <v>21</v>
      </c>
    </row>
    <row r="465" spans="1:7">
      <c r="A465">
        <v>464</v>
      </c>
      <c r="B465" t="str">
        <f>"023799"</f>
        <v>0</v>
      </c>
      <c r="C465" t="s">
        <v>881</v>
      </c>
      <c r="D465" t="s">
        <v>882</v>
      </c>
      <c r="E465" t="str">
        <f>"3720900335571"</f>
        <v>0</v>
      </c>
      <c r="F465" t="str">
        <f>"000030"</f>
        <v>0</v>
      </c>
      <c r="G465" t="s">
        <v>21</v>
      </c>
    </row>
    <row r="466" spans="1:7">
      <c r="A466">
        <v>465</v>
      </c>
      <c r="B466" t="str">
        <f>"013132"</f>
        <v>0</v>
      </c>
      <c r="C466" t="s">
        <v>802</v>
      </c>
      <c r="D466" t="s">
        <v>883</v>
      </c>
      <c r="E466" t="str">
        <f>"3100601263123"</f>
        <v>0</v>
      </c>
      <c r="F466" t="str">
        <f>"000030"</f>
        <v>0</v>
      </c>
      <c r="G466" t="s">
        <v>21</v>
      </c>
    </row>
    <row r="467" spans="1:7">
      <c r="A467">
        <v>466</v>
      </c>
      <c r="B467" t="str">
        <f>"013290"</f>
        <v>0</v>
      </c>
      <c r="C467" t="s">
        <v>884</v>
      </c>
      <c r="D467" t="s">
        <v>807</v>
      </c>
      <c r="E467" t="str">
        <f>"3120100550936"</f>
        <v>0</v>
      </c>
      <c r="F467" t="str">
        <f>"000030"</f>
        <v>0</v>
      </c>
      <c r="G467" t="s">
        <v>21</v>
      </c>
    </row>
    <row r="468" spans="1:7">
      <c r="A468">
        <v>467</v>
      </c>
      <c r="B468" t="str">
        <f>"013600"</f>
        <v>0</v>
      </c>
      <c r="C468" t="s">
        <v>885</v>
      </c>
      <c r="D468" t="s">
        <v>883</v>
      </c>
      <c r="E468" t="str">
        <f>"3100100045361"</f>
        <v>0</v>
      </c>
      <c r="F468" t="str">
        <f>"000030"</f>
        <v>0</v>
      </c>
      <c r="G468" t="s">
        <v>21</v>
      </c>
    </row>
    <row r="469" spans="1:7">
      <c r="A469">
        <v>468</v>
      </c>
      <c r="B469" t="str">
        <f>"015164"</f>
        <v>0</v>
      </c>
      <c r="C469" t="s">
        <v>886</v>
      </c>
      <c r="D469" t="s">
        <v>808</v>
      </c>
      <c r="E469" t="str">
        <f>"3180200097231"</f>
        <v>0</v>
      </c>
      <c r="F469" t="str">
        <f>"000030"</f>
        <v>0</v>
      </c>
      <c r="G469" t="s">
        <v>21</v>
      </c>
    </row>
    <row r="470" spans="1:7">
      <c r="A470">
        <v>469</v>
      </c>
      <c r="B470" t="str">
        <f>"016930"</f>
        <v>0</v>
      </c>
      <c r="C470" t="s">
        <v>887</v>
      </c>
      <c r="D470" t="s">
        <v>888</v>
      </c>
      <c r="E470" t="str">
        <f>"3600800357204"</f>
        <v>0</v>
      </c>
      <c r="F470" t="str">
        <f>"000030"</f>
        <v>0</v>
      </c>
      <c r="G470" t="s">
        <v>21</v>
      </c>
    </row>
    <row r="471" spans="1:7">
      <c r="A471">
        <v>470</v>
      </c>
      <c r="B471" t="str">
        <f>"017256"</f>
        <v>0</v>
      </c>
      <c r="C471" t="s">
        <v>889</v>
      </c>
      <c r="D471" t="s">
        <v>890</v>
      </c>
      <c r="E471" t="str">
        <f>"3100602014615"</f>
        <v>0</v>
      </c>
      <c r="F471" t="str">
        <f>"000030"</f>
        <v>0</v>
      </c>
      <c r="G471" t="s">
        <v>21</v>
      </c>
    </row>
    <row r="472" spans="1:7">
      <c r="A472">
        <v>471</v>
      </c>
      <c r="B472" t="str">
        <f>"018199"</f>
        <v>0</v>
      </c>
      <c r="C472" t="s">
        <v>314</v>
      </c>
      <c r="D472" t="s">
        <v>891</v>
      </c>
      <c r="E472" t="str">
        <f>"3100300087423"</f>
        <v>0</v>
      </c>
      <c r="F472" t="str">
        <f>"000030"</f>
        <v>0</v>
      </c>
      <c r="G472" t="s">
        <v>21</v>
      </c>
    </row>
    <row r="473" spans="1:7">
      <c r="A473">
        <v>472</v>
      </c>
      <c r="B473" t="str">
        <f>"018513"</f>
        <v>0</v>
      </c>
      <c r="C473" t="s">
        <v>892</v>
      </c>
      <c r="D473" t="s">
        <v>893</v>
      </c>
      <c r="E473" t="str">
        <f>"3860700194611"</f>
        <v>0</v>
      </c>
      <c r="F473" t="str">
        <f>"000030"</f>
        <v>0</v>
      </c>
      <c r="G473" t="s">
        <v>21</v>
      </c>
    </row>
    <row r="474" spans="1:7">
      <c r="A474">
        <v>473</v>
      </c>
      <c r="B474" t="str">
        <f>"018870"</f>
        <v>0</v>
      </c>
      <c r="C474" t="s">
        <v>894</v>
      </c>
      <c r="D474" t="s">
        <v>895</v>
      </c>
      <c r="E474" t="str">
        <f>"3720400189265"</f>
        <v>0</v>
      </c>
      <c r="F474" t="str">
        <f>"000030"</f>
        <v>0</v>
      </c>
      <c r="G474" t="s">
        <v>21</v>
      </c>
    </row>
    <row r="475" spans="1:7">
      <c r="A475">
        <v>474</v>
      </c>
      <c r="B475" t="str">
        <f>"019059"</f>
        <v>0</v>
      </c>
      <c r="C475" t="s">
        <v>896</v>
      </c>
      <c r="D475" t="s">
        <v>897</v>
      </c>
      <c r="E475" t="str">
        <f>"3501400714656"</f>
        <v>0</v>
      </c>
      <c r="F475" t="str">
        <f>"000030"</f>
        <v>0</v>
      </c>
      <c r="G475" t="s">
        <v>21</v>
      </c>
    </row>
    <row r="476" spans="1:7">
      <c r="A476">
        <v>475</v>
      </c>
      <c r="B476" t="str">
        <f>"019308"</f>
        <v>0</v>
      </c>
      <c r="C476" t="s">
        <v>522</v>
      </c>
      <c r="D476" t="s">
        <v>898</v>
      </c>
      <c r="E476" t="str">
        <f>"3101000584341"</f>
        <v>0</v>
      </c>
      <c r="F476" t="str">
        <f>"000030"</f>
        <v>0</v>
      </c>
      <c r="G476" t="s">
        <v>21</v>
      </c>
    </row>
    <row r="477" spans="1:7">
      <c r="A477">
        <v>476</v>
      </c>
      <c r="B477" t="str">
        <f>"019607"</f>
        <v>0</v>
      </c>
      <c r="C477" t="s">
        <v>899</v>
      </c>
      <c r="D477" t="s">
        <v>900</v>
      </c>
      <c r="E477" t="str">
        <f>"3660500140897"</f>
        <v>0</v>
      </c>
      <c r="F477" t="str">
        <f>"000030"</f>
        <v>0</v>
      </c>
      <c r="G477" t="s">
        <v>21</v>
      </c>
    </row>
    <row r="478" spans="1:7">
      <c r="A478">
        <v>477</v>
      </c>
      <c r="B478" t="str">
        <f>"019697"</f>
        <v>0</v>
      </c>
      <c r="C478" t="s">
        <v>901</v>
      </c>
      <c r="D478" t="s">
        <v>902</v>
      </c>
      <c r="E478" t="str">
        <f>"3102200065209"</f>
        <v>0</v>
      </c>
      <c r="F478" t="str">
        <f>"000030"</f>
        <v>0</v>
      </c>
      <c r="G478" t="s">
        <v>21</v>
      </c>
    </row>
    <row r="479" spans="1:7">
      <c r="A479">
        <v>478</v>
      </c>
      <c r="B479" t="str">
        <f>"019774"</f>
        <v>0</v>
      </c>
      <c r="C479" t="s">
        <v>903</v>
      </c>
      <c r="D479" t="s">
        <v>904</v>
      </c>
      <c r="E479" t="str">
        <f>"3100503720155"</f>
        <v>0</v>
      </c>
      <c r="F479" t="str">
        <f>"000030"</f>
        <v>0</v>
      </c>
      <c r="G479" t="s">
        <v>21</v>
      </c>
    </row>
    <row r="480" spans="1:7">
      <c r="A480">
        <v>479</v>
      </c>
      <c r="B480" t="str">
        <f>"020461"</f>
        <v>0</v>
      </c>
      <c r="C480" t="s">
        <v>905</v>
      </c>
      <c r="D480" t="s">
        <v>906</v>
      </c>
      <c r="E480" t="str">
        <f>"3350600513400"</f>
        <v>0</v>
      </c>
      <c r="F480" t="str">
        <f>"000030"</f>
        <v>0</v>
      </c>
      <c r="G480" t="s">
        <v>21</v>
      </c>
    </row>
    <row r="481" spans="1:7">
      <c r="A481">
        <v>480</v>
      </c>
      <c r="B481" t="str">
        <f>"020829"</f>
        <v>0</v>
      </c>
      <c r="C481" t="s">
        <v>907</v>
      </c>
      <c r="D481" t="s">
        <v>908</v>
      </c>
      <c r="E481" t="str">
        <f>"3120500046828"</f>
        <v>0</v>
      </c>
      <c r="F481" t="str">
        <f>"000030"</f>
        <v>0</v>
      </c>
      <c r="G481" t="s">
        <v>21</v>
      </c>
    </row>
    <row r="482" spans="1:7">
      <c r="A482">
        <v>481</v>
      </c>
      <c r="B482" t="str">
        <f>"025221"</f>
        <v>0</v>
      </c>
      <c r="C482" t="s">
        <v>909</v>
      </c>
      <c r="D482" t="s">
        <v>910</v>
      </c>
      <c r="E482" t="str">
        <f>"1103700313109"</f>
        <v>0</v>
      </c>
      <c r="F482" t="str">
        <f>"000030"</f>
        <v>0</v>
      </c>
      <c r="G482" t="s">
        <v>21</v>
      </c>
    </row>
    <row r="483" spans="1:7">
      <c r="A483">
        <v>482</v>
      </c>
      <c r="B483" t="str">
        <f>"027301"</f>
        <v>0</v>
      </c>
      <c r="C483" t="s">
        <v>911</v>
      </c>
      <c r="D483" t="s">
        <v>912</v>
      </c>
      <c r="E483" t="str">
        <f>"1650200001585"</f>
        <v>0</v>
      </c>
      <c r="F483" t="str">
        <f>"000030"</f>
        <v>0</v>
      </c>
      <c r="G483" t="s">
        <v>21</v>
      </c>
    </row>
    <row r="484" spans="1:7">
      <c r="A484">
        <v>483</v>
      </c>
      <c r="B484" t="str">
        <f>"018231"</f>
        <v>0</v>
      </c>
      <c r="C484" t="s">
        <v>913</v>
      </c>
      <c r="D484" t="s">
        <v>914</v>
      </c>
      <c r="E484" t="str">
        <f>"3660100444732"</f>
        <v>0</v>
      </c>
      <c r="F484" t="str">
        <f>"000030"</f>
        <v>0</v>
      </c>
      <c r="G484" t="s">
        <v>21</v>
      </c>
    </row>
    <row r="485" spans="1:7">
      <c r="A485">
        <v>484</v>
      </c>
      <c r="B485" t="str">
        <f>"019433"</f>
        <v>0</v>
      </c>
      <c r="C485" t="s">
        <v>915</v>
      </c>
      <c r="D485" t="s">
        <v>916</v>
      </c>
      <c r="E485" t="str">
        <f>"3120101347158"</f>
        <v>0</v>
      </c>
      <c r="F485" t="str">
        <f>"000030"</f>
        <v>0</v>
      </c>
      <c r="G485" t="s">
        <v>21</v>
      </c>
    </row>
    <row r="486" spans="1:7">
      <c r="A486">
        <v>485</v>
      </c>
      <c r="B486" t="str">
        <f>"023914"</f>
        <v>0</v>
      </c>
      <c r="C486" t="s">
        <v>917</v>
      </c>
      <c r="D486" t="s">
        <v>918</v>
      </c>
      <c r="E486" t="str">
        <f>"1100500658665"</f>
        <v>0</v>
      </c>
      <c r="F486" t="str">
        <f>"000030"</f>
        <v>0</v>
      </c>
      <c r="G486" t="s">
        <v>21</v>
      </c>
    </row>
    <row r="487" spans="1:7">
      <c r="A487">
        <v>486</v>
      </c>
      <c r="B487" t="str">
        <f>"027276"</f>
        <v>0</v>
      </c>
      <c r="C487" t="s">
        <v>919</v>
      </c>
      <c r="D487" t="s">
        <v>920</v>
      </c>
      <c r="E487" t="str">
        <f>"1749800217667"</f>
        <v>0</v>
      </c>
      <c r="F487" t="str">
        <f>"000030"</f>
        <v>0</v>
      </c>
      <c r="G487" t="s">
        <v>21</v>
      </c>
    </row>
    <row r="488" spans="1:7">
      <c r="A488">
        <v>487</v>
      </c>
      <c r="B488" t="str">
        <f>"027062"</f>
        <v>0</v>
      </c>
      <c r="C488" t="s">
        <v>921</v>
      </c>
      <c r="D488" t="s">
        <v>922</v>
      </c>
      <c r="E488" t="str">
        <f>"1100500372681"</f>
        <v>0</v>
      </c>
      <c r="F488" t="str">
        <f>"000030"</f>
        <v>0</v>
      </c>
      <c r="G488" t="s">
        <v>21</v>
      </c>
    </row>
    <row r="489" spans="1:7">
      <c r="A489">
        <v>488</v>
      </c>
      <c r="B489" t="str">
        <f>"014951"</f>
        <v>0</v>
      </c>
      <c r="C489" t="s">
        <v>923</v>
      </c>
      <c r="D489" t="s">
        <v>924</v>
      </c>
      <c r="E489" t="str">
        <f>"3841300108298"</f>
        <v>0</v>
      </c>
      <c r="F489" t="str">
        <f>"000030"</f>
        <v>0</v>
      </c>
      <c r="G489" t="s">
        <v>21</v>
      </c>
    </row>
    <row r="490" spans="1:7">
      <c r="A490">
        <v>489</v>
      </c>
      <c r="B490" t="str">
        <f>"027277"</f>
        <v>0</v>
      </c>
      <c r="C490" t="s">
        <v>925</v>
      </c>
      <c r="D490" t="s">
        <v>926</v>
      </c>
      <c r="E490" t="str">
        <f>"1149900474632"</f>
        <v>0</v>
      </c>
      <c r="F490" t="str">
        <f>"000030"</f>
        <v>0</v>
      </c>
      <c r="G490" t="s">
        <v>21</v>
      </c>
    </row>
    <row r="491" spans="1:7">
      <c r="A491">
        <v>490</v>
      </c>
      <c r="B491" t="str">
        <f>"027278"</f>
        <v>0</v>
      </c>
      <c r="C491" t="s">
        <v>927</v>
      </c>
      <c r="D491" t="s">
        <v>928</v>
      </c>
      <c r="E491" t="str">
        <f>"3149900546958"</f>
        <v>0</v>
      </c>
      <c r="F491" t="str">
        <f>"000030"</f>
        <v>0</v>
      </c>
      <c r="G491" t="s">
        <v>21</v>
      </c>
    </row>
    <row r="492" spans="1:7">
      <c r="A492">
        <v>491</v>
      </c>
      <c r="B492" t="str">
        <f>"019606"</f>
        <v>0</v>
      </c>
      <c r="C492" t="s">
        <v>929</v>
      </c>
      <c r="D492" t="s">
        <v>930</v>
      </c>
      <c r="E492" t="str">
        <f>"3650101023528"</f>
        <v>0</v>
      </c>
      <c r="F492" t="str">
        <f>"000030"</f>
        <v>0</v>
      </c>
      <c r="G492" t="s">
        <v>21</v>
      </c>
    </row>
    <row r="493" spans="1:7">
      <c r="A493">
        <v>492</v>
      </c>
      <c r="B493" t="str">
        <f>"018210"</f>
        <v>0</v>
      </c>
      <c r="C493" t="s">
        <v>931</v>
      </c>
      <c r="D493" t="s">
        <v>932</v>
      </c>
      <c r="E493" t="str">
        <f>"3720400017545"</f>
        <v>0</v>
      </c>
      <c r="F493" t="str">
        <f>"000030"</f>
        <v>0</v>
      </c>
      <c r="G493" t="s">
        <v>21</v>
      </c>
    </row>
    <row r="494" spans="1:7">
      <c r="A494">
        <v>493</v>
      </c>
      <c r="B494" t="str">
        <f>"026001"</f>
        <v>0</v>
      </c>
      <c r="C494" t="s">
        <v>933</v>
      </c>
      <c r="D494" t="s">
        <v>934</v>
      </c>
      <c r="E494" t="str">
        <f>"1729900217243"</f>
        <v>0</v>
      </c>
      <c r="F494" t="str">
        <f>"000030"</f>
        <v>0</v>
      </c>
      <c r="G494" t="s">
        <v>21</v>
      </c>
    </row>
    <row r="495" spans="1:7">
      <c r="A495">
        <v>494</v>
      </c>
      <c r="B495" t="str">
        <f>"027275"</f>
        <v>0</v>
      </c>
      <c r="C495" t="s">
        <v>935</v>
      </c>
      <c r="D495" t="s">
        <v>936</v>
      </c>
      <c r="E495" t="str">
        <f>"8430288014351"</f>
        <v>0</v>
      </c>
      <c r="F495" t="str">
        <f>"000030"</f>
        <v>0</v>
      </c>
      <c r="G495" t="s">
        <v>21</v>
      </c>
    </row>
    <row r="496" spans="1:7">
      <c r="A496">
        <v>495</v>
      </c>
      <c r="B496" t="str">
        <f>"026850"</f>
        <v>0</v>
      </c>
      <c r="C496" t="s">
        <v>937</v>
      </c>
      <c r="D496" t="s">
        <v>938</v>
      </c>
      <c r="E496" t="str">
        <f>"1600100459253"</f>
        <v>0</v>
      </c>
      <c r="F496" t="str">
        <f>"000030"</f>
        <v>0</v>
      </c>
      <c r="G496" t="s">
        <v>21</v>
      </c>
    </row>
    <row r="497" spans="1:7">
      <c r="A497">
        <v>496</v>
      </c>
      <c r="B497" t="str">
        <f>"020102"</f>
        <v>0</v>
      </c>
      <c r="C497" t="s">
        <v>939</v>
      </c>
      <c r="D497" t="s">
        <v>940</v>
      </c>
      <c r="E497" t="str">
        <f>"3110101007772"</f>
        <v>0</v>
      </c>
      <c r="F497" t="str">
        <f>"000030"</f>
        <v>0</v>
      </c>
      <c r="G497" t="s">
        <v>21</v>
      </c>
    </row>
    <row r="498" spans="1:7">
      <c r="A498">
        <v>497</v>
      </c>
      <c r="B498" t="str">
        <f>"021409"</f>
        <v>0</v>
      </c>
      <c r="C498" t="s">
        <v>941</v>
      </c>
      <c r="D498" t="s">
        <v>942</v>
      </c>
      <c r="E498" t="str">
        <f>"3130600002971"</f>
        <v>0</v>
      </c>
      <c r="F498" t="str">
        <f>"000030"</f>
        <v>0</v>
      </c>
      <c r="G498" t="s">
        <v>21</v>
      </c>
    </row>
    <row r="499" spans="1:7">
      <c r="A499">
        <v>498</v>
      </c>
      <c r="B499" t="str">
        <f>"021334"</f>
        <v>0</v>
      </c>
      <c r="C499" t="s">
        <v>943</v>
      </c>
      <c r="D499" t="s">
        <v>944</v>
      </c>
      <c r="E499" t="str">
        <f>"3190200293692"</f>
        <v>0</v>
      </c>
      <c r="F499" t="str">
        <f>"000030"</f>
        <v>0</v>
      </c>
      <c r="G499" t="s">
        <v>21</v>
      </c>
    </row>
    <row r="500" spans="1:7">
      <c r="A500">
        <v>499</v>
      </c>
      <c r="B500" t="str">
        <f>"020614"</f>
        <v>0</v>
      </c>
      <c r="C500" t="s">
        <v>945</v>
      </c>
      <c r="D500" t="s">
        <v>946</v>
      </c>
      <c r="E500" t="str">
        <f>"3900300478255"</f>
        <v>0</v>
      </c>
      <c r="F500" t="str">
        <f>"000030"</f>
        <v>0</v>
      </c>
      <c r="G500" t="s">
        <v>21</v>
      </c>
    </row>
    <row r="501" spans="1:7">
      <c r="A501">
        <v>500</v>
      </c>
      <c r="B501" t="str">
        <f>"019735"</f>
        <v>0</v>
      </c>
      <c r="C501" t="s">
        <v>947</v>
      </c>
      <c r="D501" t="s">
        <v>948</v>
      </c>
      <c r="E501" t="str">
        <f>"3260100292570"</f>
        <v>0</v>
      </c>
      <c r="F501" t="str">
        <f>"000030"</f>
        <v>0</v>
      </c>
      <c r="G501" t="s">
        <v>21</v>
      </c>
    </row>
    <row r="502" spans="1:7">
      <c r="A502">
        <v>501</v>
      </c>
      <c r="B502" t="str">
        <f>"015564"</f>
        <v>0</v>
      </c>
      <c r="C502" t="s">
        <v>949</v>
      </c>
      <c r="D502" t="s">
        <v>950</v>
      </c>
      <c r="E502" t="str">
        <f>"3101202138113"</f>
        <v>0</v>
      </c>
      <c r="F502" t="str">
        <f>"000030"</f>
        <v>0</v>
      </c>
      <c r="G502" t="s">
        <v>21</v>
      </c>
    </row>
    <row r="503" spans="1:7">
      <c r="A503">
        <v>502</v>
      </c>
      <c r="B503" t="str">
        <f>"013303"</f>
        <v>0</v>
      </c>
      <c r="C503" t="s">
        <v>951</v>
      </c>
      <c r="D503" t="s">
        <v>952</v>
      </c>
      <c r="E503" t="str">
        <f>"3101500253026"</f>
        <v>0</v>
      </c>
      <c r="F503" t="str">
        <f>"000030"</f>
        <v>0</v>
      </c>
      <c r="G503" t="s">
        <v>21</v>
      </c>
    </row>
    <row r="504" spans="1:7">
      <c r="A504">
        <v>503</v>
      </c>
      <c r="B504" t="str">
        <f>"014010"</f>
        <v>0</v>
      </c>
      <c r="C504" t="s">
        <v>953</v>
      </c>
      <c r="D504" t="s">
        <v>954</v>
      </c>
      <c r="E504" t="str">
        <f>"3310400014469"</f>
        <v>0</v>
      </c>
      <c r="F504" t="str">
        <f>"000030"</f>
        <v>0</v>
      </c>
      <c r="G504" t="s">
        <v>21</v>
      </c>
    </row>
    <row r="505" spans="1:7">
      <c r="A505">
        <v>504</v>
      </c>
      <c r="B505" t="str">
        <f>"021184"</f>
        <v>0</v>
      </c>
      <c r="C505" t="s">
        <v>955</v>
      </c>
      <c r="D505" t="s">
        <v>956</v>
      </c>
      <c r="E505" t="str">
        <f>"3349900117362"</f>
        <v>0</v>
      </c>
      <c r="F505" t="str">
        <f>"000030"</f>
        <v>0</v>
      </c>
      <c r="G505" t="s">
        <v>21</v>
      </c>
    </row>
    <row r="506" spans="1:7">
      <c r="A506">
        <v>505</v>
      </c>
      <c r="B506" t="str">
        <f>"021901"</f>
        <v>0</v>
      </c>
      <c r="C506" t="s">
        <v>957</v>
      </c>
      <c r="D506" t="s">
        <v>958</v>
      </c>
      <c r="E506" t="str">
        <f>"3301300816726"</f>
        <v>0</v>
      </c>
      <c r="F506" t="str">
        <f>"000030"</f>
        <v>0</v>
      </c>
      <c r="G506" t="s">
        <v>21</v>
      </c>
    </row>
    <row r="507" spans="1:7">
      <c r="A507">
        <v>506</v>
      </c>
      <c r="B507" t="str">
        <f>"021985"</f>
        <v>0</v>
      </c>
      <c r="C507" t="s">
        <v>959</v>
      </c>
      <c r="D507" t="s">
        <v>960</v>
      </c>
      <c r="E507" t="str">
        <f>"1919900079850"</f>
        <v>0</v>
      </c>
      <c r="F507" t="str">
        <f>"000030"</f>
        <v>0</v>
      </c>
      <c r="G507" t="s">
        <v>21</v>
      </c>
    </row>
    <row r="508" spans="1:7">
      <c r="A508">
        <v>507</v>
      </c>
      <c r="B508" t="str">
        <f>"022231"</f>
        <v>0</v>
      </c>
      <c r="C508" t="s">
        <v>961</v>
      </c>
      <c r="D508" t="s">
        <v>962</v>
      </c>
      <c r="E508" t="str">
        <f>"3200600312006"</f>
        <v>0</v>
      </c>
      <c r="F508" t="str">
        <f>"000030"</f>
        <v>0</v>
      </c>
      <c r="G508" t="s">
        <v>21</v>
      </c>
    </row>
    <row r="509" spans="1:7">
      <c r="A509">
        <v>508</v>
      </c>
      <c r="B509" t="str">
        <f>"024309"</f>
        <v>0</v>
      </c>
      <c r="C509" t="s">
        <v>963</v>
      </c>
      <c r="D509" t="s">
        <v>964</v>
      </c>
      <c r="E509" t="str">
        <f>"3800600217164"</f>
        <v>0</v>
      </c>
      <c r="F509" t="str">
        <f>"000030"</f>
        <v>0</v>
      </c>
      <c r="G509" t="s">
        <v>21</v>
      </c>
    </row>
    <row r="510" spans="1:7">
      <c r="A510">
        <v>509</v>
      </c>
      <c r="B510" t="str">
        <f>"025756"</f>
        <v>0</v>
      </c>
      <c r="C510" t="s">
        <v>965</v>
      </c>
      <c r="D510" t="s">
        <v>966</v>
      </c>
      <c r="E510" t="str">
        <f>"3500600186318"</f>
        <v>0</v>
      </c>
      <c r="F510" t="str">
        <f>"000030"</f>
        <v>0</v>
      </c>
      <c r="G510" t="s">
        <v>21</v>
      </c>
    </row>
    <row r="511" spans="1:7">
      <c r="A511">
        <v>510</v>
      </c>
      <c r="B511" t="str">
        <f>"026653"</f>
        <v>0</v>
      </c>
      <c r="C511" t="s">
        <v>967</v>
      </c>
      <c r="D511" t="s">
        <v>968</v>
      </c>
      <c r="E511" t="str">
        <f>"1101400698640"</f>
        <v>0</v>
      </c>
      <c r="F511" t="str">
        <f>"000030"</f>
        <v>0</v>
      </c>
      <c r="G511" t="s">
        <v>21</v>
      </c>
    </row>
    <row r="512" spans="1:7">
      <c r="A512">
        <v>511</v>
      </c>
      <c r="B512" t="str">
        <f>"026660"</f>
        <v>0</v>
      </c>
      <c r="C512" t="s">
        <v>969</v>
      </c>
      <c r="D512" t="s">
        <v>970</v>
      </c>
      <c r="E512" t="str">
        <f>"1529900421977"</f>
        <v>0</v>
      </c>
      <c r="F512" t="str">
        <f>"000030"</f>
        <v>0</v>
      </c>
      <c r="G512" t="s">
        <v>21</v>
      </c>
    </row>
    <row r="513" spans="1:7">
      <c r="A513">
        <v>512</v>
      </c>
      <c r="B513" t="str">
        <f>"026984"</f>
        <v>0</v>
      </c>
      <c r="C513" t="s">
        <v>971</v>
      </c>
      <c r="D513" t="s">
        <v>972</v>
      </c>
      <c r="E513" t="str">
        <f>"5451190000749"</f>
        <v>0</v>
      </c>
      <c r="F513" t="str">
        <f>"000030"</f>
        <v>0</v>
      </c>
      <c r="G513" t="s">
        <v>21</v>
      </c>
    </row>
    <row r="514" spans="1:7">
      <c r="A514">
        <v>513</v>
      </c>
      <c r="B514" t="str">
        <f>"027022"</f>
        <v>0</v>
      </c>
      <c r="C514" t="s">
        <v>973</v>
      </c>
      <c r="D514" t="s">
        <v>974</v>
      </c>
      <c r="E514" t="str">
        <f>"1100500211741"</f>
        <v>0</v>
      </c>
      <c r="F514" t="str">
        <f>"000030"</f>
        <v>0</v>
      </c>
      <c r="G514" t="s">
        <v>21</v>
      </c>
    </row>
    <row r="515" spans="1:7">
      <c r="A515">
        <v>514</v>
      </c>
      <c r="B515" t="str">
        <f>"027051"</f>
        <v>0</v>
      </c>
      <c r="C515" t="s">
        <v>975</v>
      </c>
      <c r="D515" t="s">
        <v>976</v>
      </c>
      <c r="E515" t="str">
        <f>"1340200122130"</f>
        <v>0</v>
      </c>
      <c r="F515" t="str">
        <f>"000030"</f>
        <v>0</v>
      </c>
      <c r="G515" t="s">
        <v>21</v>
      </c>
    </row>
    <row r="516" spans="1:7">
      <c r="A516">
        <v>515</v>
      </c>
      <c r="B516" t="str">
        <f>"027063"</f>
        <v>0</v>
      </c>
      <c r="C516" t="s">
        <v>977</v>
      </c>
      <c r="D516" t="s">
        <v>978</v>
      </c>
      <c r="E516" t="str">
        <f>"3800100152641"</f>
        <v>0</v>
      </c>
      <c r="F516" t="str">
        <f>"000030"</f>
        <v>0</v>
      </c>
      <c r="G516" t="s">
        <v>21</v>
      </c>
    </row>
    <row r="517" spans="1:7">
      <c r="A517">
        <v>516</v>
      </c>
      <c r="B517" t="str">
        <f>"027291"</f>
        <v>0</v>
      </c>
      <c r="C517" t="s">
        <v>979</v>
      </c>
      <c r="D517" t="s">
        <v>980</v>
      </c>
      <c r="E517" t="str">
        <f>"3100202432649"</f>
        <v>0</v>
      </c>
      <c r="F517" t="str">
        <f>"000030"</f>
        <v>0</v>
      </c>
      <c r="G517" t="s">
        <v>21</v>
      </c>
    </row>
    <row r="518" spans="1:7">
      <c r="A518">
        <v>517</v>
      </c>
      <c r="B518" t="str">
        <f>"012952"</f>
        <v>0</v>
      </c>
      <c r="C518" t="s">
        <v>981</v>
      </c>
      <c r="D518" t="s">
        <v>982</v>
      </c>
      <c r="E518" t="str">
        <f>"3660100161480"</f>
        <v>0</v>
      </c>
      <c r="F518" t="str">
        <f>"000030"</f>
        <v>0</v>
      </c>
      <c r="G518" t="s">
        <v>21</v>
      </c>
    </row>
    <row r="519" spans="1:7">
      <c r="A519">
        <v>518</v>
      </c>
      <c r="B519" t="str">
        <f>"018010"</f>
        <v>0</v>
      </c>
      <c r="C519" t="s">
        <v>983</v>
      </c>
      <c r="D519" t="s">
        <v>984</v>
      </c>
      <c r="E519" t="str">
        <f>"3120600294211"</f>
        <v>0</v>
      </c>
      <c r="F519" t="str">
        <f>"000030"</f>
        <v>0</v>
      </c>
      <c r="G519" t="s">
        <v>21</v>
      </c>
    </row>
    <row r="520" spans="1:7">
      <c r="A520">
        <v>519</v>
      </c>
      <c r="B520" t="str">
        <f>"018821"</f>
        <v>0</v>
      </c>
      <c r="C520" t="s">
        <v>985</v>
      </c>
      <c r="D520" t="s">
        <v>986</v>
      </c>
      <c r="E520" t="str">
        <f>"3120101083410"</f>
        <v>0</v>
      </c>
      <c r="F520" t="str">
        <f>"000030"</f>
        <v>0</v>
      </c>
      <c r="G520" t="s">
        <v>21</v>
      </c>
    </row>
    <row r="521" spans="1:7">
      <c r="A521">
        <v>520</v>
      </c>
      <c r="B521" t="str">
        <f>"019664"</f>
        <v>0</v>
      </c>
      <c r="C521" t="s">
        <v>987</v>
      </c>
      <c r="D521" t="s">
        <v>988</v>
      </c>
      <c r="E521" t="str">
        <f>"3100502331686"</f>
        <v>0</v>
      </c>
      <c r="F521" t="str">
        <f>"000030"</f>
        <v>0</v>
      </c>
      <c r="G521" t="s">
        <v>21</v>
      </c>
    </row>
    <row r="522" spans="1:7">
      <c r="A522">
        <v>521</v>
      </c>
      <c r="B522" t="str">
        <f>"023283"</f>
        <v>0</v>
      </c>
      <c r="C522" t="s">
        <v>989</v>
      </c>
      <c r="D522" t="s">
        <v>990</v>
      </c>
      <c r="E522" t="str">
        <f>"1101400720394"</f>
        <v>0</v>
      </c>
      <c r="F522" t="str">
        <f>"000030"</f>
        <v>0</v>
      </c>
      <c r="G522" t="s">
        <v>21</v>
      </c>
    </row>
    <row r="523" spans="1:7">
      <c r="A523">
        <v>522</v>
      </c>
      <c r="B523" t="str">
        <f>"016270"</f>
        <v>0</v>
      </c>
      <c r="C523" t="s">
        <v>991</v>
      </c>
      <c r="D523" t="s">
        <v>992</v>
      </c>
      <c r="E523" t="str">
        <f>"3100504313383"</f>
        <v>0</v>
      </c>
      <c r="F523" t="str">
        <f>"000030"</f>
        <v>0</v>
      </c>
      <c r="G523" t="s">
        <v>21</v>
      </c>
    </row>
    <row r="524" spans="1:7">
      <c r="A524">
        <v>523</v>
      </c>
      <c r="B524" t="str">
        <f>"018003"</f>
        <v>0</v>
      </c>
      <c r="C524" t="s">
        <v>993</v>
      </c>
      <c r="D524" t="s">
        <v>994</v>
      </c>
      <c r="E524" t="str">
        <f>"3180400383431"</f>
        <v>0</v>
      </c>
      <c r="F524" t="str">
        <f>"000030"</f>
        <v>0</v>
      </c>
      <c r="G524" t="s">
        <v>21</v>
      </c>
    </row>
    <row r="525" spans="1:7">
      <c r="A525">
        <v>524</v>
      </c>
      <c r="B525" t="str">
        <f>"025055"</f>
        <v>0</v>
      </c>
      <c r="C525" t="s">
        <v>995</v>
      </c>
      <c r="D525" t="s">
        <v>996</v>
      </c>
      <c r="E525" t="str">
        <f>"3100504037831"</f>
        <v>0</v>
      </c>
      <c r="F525" t="str">
        <f>"000030"</f>
        <v>0</v>
      </c>
      <c r="G525" t="s">
        <v>21</v>
      </c>
    </row>
    <row r="526" spans="1:7">
      <c r="A526">
        <v>525</v>
      </c>
      <c r="B526" t="str">
        <f>"025160"</f>
        <v>0</v>
      </c>
      <c r="C526" t="s">
        <v>997</v>
      </c>
      <c r="D526" t="s">
        <v>998</v>
      </c>
      <c r="E526" t="str">
        <f>"1100200003361"</f>
        <v>0</v>
      </c>
      <c r="F526" t="str">
        <f>"000030"</f>
        <v>0</v>
      </c>
      <c r="G526" t="s">
        <v>21</v>
      </c>
    </row>
    <row r="527" spans="1:7">
      <c r="A527">
        <v>526</v>
      </c>
      <c r="B527" t="str">
        <f>"026627"</f>
        <v>0</v>
      </c>
      <c r="C527" t="s">
        <v>999</v>
      </c>
      <c r="D527" t="s">
        <v>1000</v>
      </c>
      <c r="E527" t="str">
        <f>"3440100607242"</f>
        <v>0</v>
      </c>
      <c r="F527" t="str">
        <f>"000030"</f>
        <v>0</v>
      </c>
      <c r="G527" t="s">
        <v>21</v>
      </c>
    </row>
    <row r="528" spans="1:7">
      <c r="A528">
        <v>527</v>
      </c>
      <c r="B528" t="str">
        <f>"027050"</f>
        <v>0</v>
      </c>
      <c r="C528" t="s">
        <v>1001</v>
      </c>
      <c r="D528" t="s">
        <v>1002</v>
      </c>
      <c r="E528" t="str">
        <f>"3140100058357"</f>
        <v>0</v>
      </c>
      <c r="F528" t="str">
        <f>"000030"</f>
        <v>0</v>
      </c>
      <c r="G528" t="s">
        <v>21</v>
      </c>
    </row>
    <row r="529" spans="1:7">
      <c r="A529">
        <v>528</v>
      </c>
      <c r="B529" t="str">
        <f>"008516"</f>
        <v>0</v>
      </c>
      <c r="C529" t="s">
        <v>1003</v>
      </c>
      <c r="D529" t="s">
        <v>1004</v>
      </c>
      <c r="E529" t="str">
        <f>"3349800258100"</f>
        <v>0</v>
      </c>
      <c r="F529" t="str">
        <f>"000030"</f>
        <v>0</v>
      </c>
      <c r="G529" t="s">
        <v>21</v>
      </c>
    </row>
    <row r="530" spans="1:7">
      <c r="A530">
        <v>529</v>
      </c>
      <c r="B530" t="str">
        <f>"026654"</f>
        <v>0</v>
      </c>
      <c r="C530" t="s">
        <v>1005</v>
      </c>
      <c r="D530" t="s">
        <v>1006</v>
      </c>
      <c r="E530" t="str">
        <f>"1341500179626"</f>
        <v>0</v>
      </c>
      <c r="F530" t="str">
        <f>"000030"</f>
        <v>0</v>
      </c>
      <c r="G530" t="s">
        <v>21</v>
      </c>
    </row>
    <row r="531" spans="1:7">
      <c r="A531">
        <v>530</v>
      </c>
      <c r="B531" t="str">
        <f>"024185"</f>
        <v>0</v>
      </c>
      <c r="C531" t="s">
        <v>1007</v>
      </c>
      <c r="D531" t="s">
        <v>1008</v>
      </c>
      <c r="E531" t="str">
        <f>"1440700054264"</f>
        <v>0</v>
      </c>
      <c r="F531" t="str">
        <f>"000030"</f>
        <v>0</v>
      </c>
      <c r="G531" t="s">
        <v>21</v>
      </c>
    </row>
    <row r="532" spans="1:7">
      <c r="A532">
        <v>531</v>
      </c>
      <c r="B532" t="str">
        <f>"009909"</f>
        <v>0</v>
      </c>
      <c r="C532" t="s">
        <v>1009</v>
      </c>
      <c r="D532" t="s">
        <v>1010</v>
      </c>
      <c r="E532" t="str">
        <f>"3600900328761"</f>
        <v>0</v>
      </c>
      <c r="F532" t="str">
        <f>"000030"</f>
        <v>0</v>
      </c>
      <c r="G532" t="s">
        <v>21</v>
      </c>
    </row>
    <row r="533" spans="1:7">
      <c r="A533">
        <v>532</v>
      </c>
      <c r="B533" t="str">
        <f>"026851"</f>
        <v>0</v>
      </c>
      <c r="C533" t="s">
        <v>1011</v>
      </c>
      <c r="D533" t="s">
        <v>1012</v>
      </c>
      <c r="E533" t="str">
        <f>"1700400143854"</f>
        <v>0</v>
      </c>
      <c r="F533" t="str">
        <f>"000030"</f>
        <v>0</v>
      </c>
      <c r="G533" t="s">
        <v>21</v>
      </c>
    </row>
    <row r="534" spans="1:7">
      <c r="A534">
        <v>533</v>
      </c>
      <c r="B534" t="str">
        <f>"026626"</f>
        <v>0</v>
      </c>
      <c r="C534" t="s">
        <v>1013</v>
      </c>
      <c r="D534" t="s">
        <v>1014</v>
      </c>
      <c r="E534" t="str">
        <f>"1769900266627"</f>
        <v>0</v>
      </c>
      <c r="F534" t="str">
        <f>"000030"</f>
        <v>0</v>
      </c>
      <c r="G534" t="s">
        <v>21</v>
      </c>
    </row>
    <row r="535" spans="1:7">
      <c r="A535">
        <v>534</v>
      </c>
      <c r="B535" t="str">
        <f>"020078"</f>
        <v>0</v>
      </c>
      <c r="C535" t="s">
        <v>1015</v>
      </c>
      <c r="D535" t="s">
        <v>1016</v>
      </c>
      <c r="E535" t="str">
        <f>"3850100136734"</f>
        <v>0</v>
      </c>
      <c r="F535" t="str">
        <f>"000030"</f>
        <v>0</v>
      </c>
      <c r="G535" t="s">
        <v>21</v>
      </c>
    </row>
    <row r="536" spans="1:7">
      <c r="A536">
        <v>535</v>
      </c>
      <c r="B536" t="str">
        <f>"022929"</f>
        <v>0</v>
      </c>
      <c r="C536" t="s">
        <v>1017</v>
      </c>
      <c r="D536" t="s">
        <v>1018</v>
      </c>
      <c r="E536" t="str">
        <f>"2949800006468"</f>
        <v>0</v>
      </c>
      <c r="F536" t="str">
        <f>"000030"</f>
        <v>0</v>
      </c>
      <c r="G536" t="s">
        <v>21</v>
      </c>
    </row>
    <row r="537" spans="1:7">
      <c r="A537">
        <v>536</v>
      </c>
      <c r="B537" t="str">
        <f>"013353"</f>
        <v>0</v>
      </c>
      <c r="C537" t="s">
        <v>1019</v>
      </c>
      <c r="D537" t="s">
        <v>1020</v>
      </c>
      <c r="E537" t="str">
        <f>"3100201389103"</f>
        <v>0</v>
      </c>
      <c r="F537" t="str">
        <f>"000030"</f>
        <v>0</v>
      </c>
      <c r="G537" t="s">
        <v>21</v>
      </c>
    </row>
    <row r="538" spans="1:7">
      <c r="A538">
        <v>537</v>
      </c>
      <c r="B538" t="str">
        <f>"015201"</f>
        <v>0</v>
      </c>
      <c r="C538" t="s">
        <v>130</v>
      </c>
      <c r="D538" t="s">
        <v>762</v>
      </c>
      <c r="E538" t="str">
        <f>"3240300456843"</f>
        <v>0</v>
      </c>
      <c r="F538" t="str">
        <f>"000030"</f>
        <v>0</v>
      </c>
      <c r="G538" t="s">
        <v>21</v>
      </c>
    </row>
    <row r="539" spans="1:7">
      <c r="A539">
        <v>538</v>
      </c>
      <c r="B539" t="str">
        <f>"017414"</f>
        <v>0</v>
      </c>
      <c r="C539" t="s">
        <v>1021</v>
      </c>
      <c r="D539" t="s">
        <v>1022</v>
      </c>
      <c r="E539" t="str">
        <f>"3100300104085"</f>
        <v>0</v>
      </c>
      <c r="F539" t="str">
        <f>"000030"</f>
        <v>0</v>
      </c>
      <c r="G539" t="s">
        <v>21</v>
      </c>
    </row>
    <row r="540" spans="1:7">
      <c r="A540">
        <v>539</v>
      </c>
      <c r="B540" t="str">
        <f>"018560"</f>
        <v>0</v>
      </c>
      <c r="C540" t="s">
        <v>1023</v>
      </c>
      <c r="D540" t="s">
        <v>1024</v>
      </c>
      <c r="E540" t="str">
        <f>"3102002602810"</f>
        <v>0</v>
      </c>
      <c r="F540" t="str">
        <f>"000030"</f>
        <v>0</v>
      </c>
      <c r="G540" t="s">
        <v>21</v>
      </c>
    </row>
    <row r="541" spans="1:7">
      <c r="A541">
        <v>540</v>
      </c>
      <c r="B541" t="str">
        <f>"018798"</f>
        <v>0</v>
      </c>
      <c r="C541" t="s">
        <v>1025</v>
      </c>
      <c r="D541" t="s">
        <v>1026</v>
      </c>
      <c r="E541" t="str">
        <f>"3100502037028"</f>
        <v>0</v>
      </c>
      <c r="F541" t="str">
        <f>"000030"</f>
        <v>0</v>
      </c>
      <c r="G541" t="s">
        <v>21</v>
      </c>
    </row>
    <row r="542" spans="1:7">
      <c r="A542">
        <v>541</v>
      </c>
      <c r="B542" t="str">
        <f>"019117"</f>
        <v>0</v>
      </c>
      <c r="C542" t="s">
        <v>1027</v>
      </c>
      <c r="D542" t="s">
        <v>683</v>
      </c>
      <c r="E542" t="str">
        <f>"3450400482232"</f>
        <v>0</v>
      </c>
      <c r="F542" t="str">
        <f>"000030"</f>
        <v>0</v>
      </c>
      <c r="G542" t="s">
        <v>21</v>
      </c>
    </row>
    <row r="543" spans="1:7">
      <c r="A543">
        <v>542</v>
      </c>
      <c r="B543" t="str">
        <f>"019288"</f>
        <v>0</v>
      </c>
      <c r="C543" t="s">
        <v>1028</v>
      </c>
      <c r="D543" t="s">
        <v>1029</v>
      </c>
      <c r="E543" t="str">
        <f>"3102200549061"</f>
        <v>0</v>
      </c>
      <c r="F543" t="str">
        <f>"000030"</f>
        <v>0</v>
      </c>
      <c r="G543" t="s">
        <v>21</v>
      </c>
    </row>
    <row r="544" spans="1:7">
      <c r="A544">
        <v>543</v>
      </c>
      <c r="B544" t="str">
        <f>"019934"</f>
        <v>0</v>
      </c>
      <c r="C544" t="s">
        <v>802</v>
      </c>
      <c r="D544" t="s">
        <v>1030</v>
      </c>
      <c r="E544" t="str">
        <f>"3341901526811"</f>
        <v>0</v>
      </c>
      <c r="F544" t="str">
        <f>"000030"</f>
        <v>0</v>
      </c>
      <c r="G544" t="s">
        <v>21</v>
      </c>
    </row>
    <row r="545" spans="1:7">
      <c r="A545">
        <v>544</v>
      </c>
      <c r="B545" t="str">
        <f>"011859"</f>
        <v>0</v>
      </c>
      <c r="C545" t="s">
        <v>1031</v>
      </c>
      <c r="D545" t="s">
        <v>1032</v>
      </c>
      <c r="E545" t="str">
        <f>"3750200240623"</f>
        <v>0</v>
      </c>
      <c r="F545" t="str">
        <f>"000030"</f>
        <v>0</v>
      </c>
      <c r="G545" t="s">
        <v>21</v>
      </c>
    </row>
    <row r="546" spans="1:7">
      <c r="A546">
        <v>545</v>
      </c>
      <c r="B546" t="str">
        <f>"017185"</f>
        <v>0</v>
      </c>
      <c r="C546" t="s">
        <v>1033</v>
      </c>
      <c r="D546" t="s">
        <v>1034</v>
      </c>
      <c r="E546" t="str">
        <f>"3170500126031"</f>
        <v>0</v>
      </c>
      <c r="F546" t="str">
        <f>"000030"</f>
        <v>0</v>
      </c>
      <c r="G546" t="s">
        <v>21</v>
      </c>
    </row>
    <row r="547" spans="1:7">
      <c r="A547">
        <v>546</v>
      </c>
      <c r="B547" t="str">
        <f>"020180"</f>
        <v>0</v>
      </c>
      <c r="C547" t="s">
        <v>1035</v>
      </c>
      <c r="D547" t="s">
        <v>1036</v>
      </c>
      <c r="E547" t="str">
        <f>"3450600003222"</f>
        <v>0</v>
      </c>
      <c r="F547" t="str">
        <f>"000030"</f>
        <v>0</v>
      </c>
      <c r="G547" t="s">
        <v>21</v>
      </c>
    </row>
    <row r="548" spans="1:7">
      <c r="A548">
        <v>547</v>
      </c>
      <c r="B548" t="str">
        <f>"021143"</f>
        <v>0</v>
      </c>
      <c r="C548" t="s">
        <v>814</v>
      </c>
      <c r="D548" t="s">
        <v>1037</v>
      </c>
      <c r="E548" t="str">
        <f>"3700100175978"</f>
        <v>0</v>
      </c>
      <c r="F548" t="str">
        <f>"000030"</f>
        <v>0</v>
      </c>
      <c r="G548" t="s">
        <v>21</v>
      </c>
    </row>
    <row r="549" spans="1:7">
      <c r="A549">
        <v>548</v>
      </c>
      <c r="B549" t="str">
        <f>"022931"</f>
        <v>0</v>
      </c>
      <c r="C549" t="s">
        <v>1038</v>
      </c>
      <c r="D549" t="s">
        <v>1039</v>
      </c>
      <c r="E549" t="str">
        <f>"5820800001064"</f>
        <v>0</v>
      </c>
      <c r="F549" t="str">
        <f>"000030"</f>
        <v>0</v>
      </c>
      <c r="G549" t="s">
        <v>21</v>
      </c>
    </row>
    <row r="550" spans="1:7">
      <c r="A550">
        <v>549</v>
      </c>
      <c r="B550" t="str">
        <f>"023264"</f>
        <v>0</v>
      </c>
      <c r="C550" t="s">
        <v>1040</v>
      </c>
      <c r="D550" t="s">
        <v>1041</v>
      </c>
      <c r="E550" t="str">
        <f>"3329900180145"</f>
        <v>0</v>
      </c>
      <c r="F550" t="str">
        <f>"000030"</f>
        <v>0</v>
      </c>
      <c r="G550" t="s">
        <v>21</v>
      </c>
    </row>
    <row r="551" spans="1:7">
      <c r="A551">
        <v>550</v>
      </c>
      <c r="B551" t="str">
        <f>"025394"</f>
        <v>0</v>
      </c>
      <c r="C551" t="s">
        <v>1042</v>
      </c>
      <c r="D551" t="s">
        <v>1043</v>
      </c>
      <c r="E551" t="str">
        <f>"1100400466829"</f>
        <v>0</v>
      </c>
      <c r="F551" t="str">
        <f>"000030"</f>
        <v>0</v>
      </c>
      <c r="G551" t="s">
        <v>21</v>
      </c>
    </row>
    <row r="552" spans="1:7">
      <c r="A552">
        <v>551</v>
      </c>
      <c r="B552" t="str">
        <f>"025510"</f>
        <v>0</v>
      </c>
      <c r="C552" t="s">
        <v>1044</v>
      </c>
      <c r="D552" t="s">
        <v>1045</v>
      </c>
      <c r="E552" t="str">
        <f>"3450400610532"</f>
        <v>0</v>
      </c>
      <c r="F552" t="str">
        <f>"000030"</f>
        <v>0</v>
      </c>
      <c r="G552" t="s">
        <v>21</v>
      </c>
    </row>
    <row r="553" spans="1:7">
      <c r="A553">
        <v>552</v>
      </c>
      <c r="B553" t="str">
        <f>"026506"</f>
        <v>0</v>
      </c>
      <c r="C553" t="s">
        <v>1046</v>
      </c>
      <c r="D553" t="s">
        <v>1047</v>
      </c>
      <c r="E553" t="str">
        <f>"1509901226701"</f>
        <v>0</v>
      </c>
      <c r="F553" t="str">
        <f>"000030"</f>
        <v>0</v>
      </c>
      <c r="G553" t="s">
        <v>21</v>
      </c>
    </row>
    <row r="554" spans="1:7">
      <c r="A554">
        <v>553</v>
      </c>
      <c r="B554" t="str">
        <f>"026959"</f>
        <v>0</v>
      </c>
      <c r="C554" t="s">
        <v>1048</v>
      </c>
      <c r="D554" t="s">
        <v>1049</v>
      </c>
      <c r="E554" t="str">
        <f>"3470600154026"</f>
        <v>0</v>
      </c>
      <c r="F554" t="str">
        <f>"000030"</f>
        <v>0</v>
      </c>
      <c r="G554" t="s">
        <v>21</v>
      </c>
    </row>
    <row r="555" spans="1:7">
      <c r="A555">
        <v>554</v>
      </c>
      <c r="B555" t="str">
        <f>"027463"</f>
        <v>0</v>
      </c>
      <c r="C555" t="s">
        <v>1050</v>
      </c>
      <c r="D555" t="s">
        <v>1051</v>
      </c>
      <c r="E555" t="str">
        <f>"1100999000079"</f>
        <v>0</v>
      </c>
      <c r="F555" t="str">
        <f>"000030"</f>
        <v>0</v>
      </c>
      <c r="G555" t="s">
        <v>21</v>
      </c>
    </row>
    <row r="556" spans="1:7">
      <c r="A556">
        <v>555</v>
      </c>
      <c r="B556" t="str">
        <f>"023213"</f>
        <v>0</v>
      </c>
      <c r="C556" t="s">
        <v>1052</v>
      </c>
      <c r="D556" t="s">
        <v>1053</v>
      </c>
      <c r="E556" t="str">
        <f>"3461200119674"</f>
        <v>0</v>
      </c>
      <c r="F556" t="str">
        <f>"000030"</f>
        <v>0</v>
      </c>
      <c r="G556" t="s">
        <v>21</v>
      </c>
    </row>
    <row r="557" spans="1:7">
      <c r="A557">
        <v>556</v>
      </c>
      <c r="B557" t="str">
        <f>"017760"</f>
        <v>0</v>
      </c>
      <c r="C557" t="s">
        <v>1054</v>
      </c>
      <c r="D557" t="s">
        <v>1055</v>
      </c>
      <c r="E557" t="str">
        <f>"3102401325224"</f>
        <v>0</v>
      </c>
      <c r="F557" t="str">
        <f>"000030"</f>
        <v>0</v>
      </c>
      <c r="G557" t="s">
        <v>21</v>
      </c>
    </row>
    <row r="558" spans="1:7">
      <c r="A558">
        <v>557</v>
      </c>
      <c r="B558" t="str">
        <f>"018315"</f>
        <v>0</v>
      </c>
      <c r="C558" t="s">
        <v>1056</v>
      </c>
      <c r="D558" t="s">
        <v>1057</v>
      </c>
      <c r="E558" t="str">
        <f>"3410102288080"</f>
        <v>0</v>
      </c>
      <c r="F558" t="str">
        <f>"000030"</f>
        <v>0</v>
      </c>
      <c r="G558" t="s">
        <v>21</v>
      </c>
    </row>
    <row r="559" spans="1:7">
      <c r="A559">
        <v>558</v>
      </c>
      <c r="B559" t="str">
        <f>"018564"</f>
        <v>0</v>
      </c>
      <c r="C559" t="s">
        <v>1058</v>
      </c>
      <c r="D559" t="s">
        <v>1059</v>
      </c>
      <c r="E559" t="str">
        <f>"3130100187173"</f>
        <v>0</v>
      </c>
      <c r="F559" t="str">
        <f>"000030"</f>
        <v>0</v>
      </c>
      <c r="G559" t="s">
        <v>21</v>
      </c>
    </row>
    <row r="560" spans="1:7">
      <c r="A560">
        <v>559</v>
      </c>
      <c r="B560" t="str">
        <f>"020065"</f>
        <v>0</v>
      </c>
      <c r="C560" t="s">
        <v>1060</v>
      </c>
      <c r="D560" t="s">
        <v>1061</v>
      </c>
      <c r="E560" t="str">
        <f>"4130400001235"</f>
        <v>0</v>
      </c>
      <c r="F560" t="str">
        <f>"000030"</f>
        <v>0</v>
      </c>
      <c r="G560" t="s">
        <v>21</v>
      </c>
    </row>
    <row r="561" spans="1:7">
      <c r="A561">
        <v>560</v>
      </c>
      <c r="B561" t="str">
        <f>"020406"</f>
        <v>0</v>
      </c>
      <c r="C561" t="s">
        <v>1062</v>
      </c>
      <c r="D561" t="s">
        <v>1063</v>
      </c>
      <c r="E561" t="str">
        <f>"3199900243335"</f>
        <v>0</v>
      </c>
      <c r="F561" t="str">
        <f>"000030"</f>
        <v>0</v>
      </c>
      <c r="G561" t="s">
        <v>21</v>
      </c>
    </row>
    <row r="562" spans="1:7">
      <c r="A562">
        <v>561</v>
      </c>
      <c r="B562" t="str">
        <f>"021374"</f>
        <v>0</v>
      </c>
      <c r="C562" t="s">
        <v>1064</v>
      </c>
      <c r="D562" t="s">
        <v>1065</v>
      </c>
      <c r="E562" t="str">
        <f>"3130100482591"</f>
        <v>0</v>
      </c>
      <c r="F562" t="str">
        <f>"000030"</f>
        <v>0</v>
      </c>
      <c r="G562" t="s">
        <v>21</v>
      </c>
    </row>
    <row r="563" spans="1:7">
      <c r="A563">
        <v>562</v>
      </c>
      <c r="B563" t="str">
        <f>"025374"</f>
        <v>0</v>
      </c>
      <c r="C563" t="s">
        <v>1066</v>
      </c>
      <c r="D563" t="s">
        <v>1067</v>
      </c>
      <c r="E563" t="str">
        <f>"5630490000016"</f>
        <v>0</v>
      </c>
      <c r="F563" t="str">
        <f>"000030"</f>
        <v>0</v>
      </c>
      <c r="G563" t="s">
        <v>21</v>
      </c>
    </row>
    <row r="564" spans="1:7">
      <c r="A564">
        <v>563</v>
      </c>
      <c r="B564" t="str">
        <f>"023553"</f>
        <v>0</v>
      </c>
      <c r="C564" t="s">
        <v>1068</v>
      </c>
      <c r="D564" t="s">
        <v>1069</v>
      </c>
      <c r="E564" t="str">
        <f>"1149900184154"</f>
        <v>0</v>
      </c>
      <c r="F564" t="str">
        <f>"000030"</f>
        <v>0</v>
      </c>
      <c r="G564" t="s">
        <v>21</v>
      </c>
    </row>
    <row r="565" spans="1:7">
      <c r="A565">
        <v>564</v>
      </c>
      <c r="B565" t="str">
        <f>"025524"</f>
        <v>0</v>
      </c>
      <c r="C565" t="s">
        <v>1070</v>
      </c>
      <c r="D565" t="s">
        <v>1071</v>
      </c>
      <c r="E565" t="str">
        <f>"3340800153555"</f>
        <v>0</v>
      </c>
      <c r="F565" t="str">
        <f>"000030"</f>
        <v>0</v>
      </c>
      <c r="G565" t="s">
        <v>21</v>
      </c>
    </row>
    <row r="566" spans="1:7">
      <c r="A566">
        <v>565</v>
      </c>
      <c r="B566" t="str">
        <f>"024910"</f>
        <v>0</v>
      </c>
      <c r="C566" t="s">
        <v>1072</v>
      </c>
      <c r="D566" t="s">
        <v>1073</v>
      </c>
      <c r="E566" t="str">
        <f>"3540100632564"</f>
        <v>0</v>
      </c>
      <c r="F566" t="str">
        <f>"000030"</f>
        <v>0</v>
      </c>
      <c r="G566" t="s">
        <v>21</v>
      </c>
    </row>
    <row r="567" spans="1:7">
      <c r="A567">
        <v>566</v>
      </c>
      <c r="B567" t="str">
        <f>"026661"</f>
        <v>0</v>
      </c>
      <c r="C567" t="s">
        <v>1074</v>
      </c>
      <c r="D567" t="s">
        <v>1075</v>
      </c>
      <c r="E567" t="str">
        <f>"1579900066042"</f>
        <v>0</v>
      </c>
      <c r="F567" t="str">
        <f>"000030"</f>
        <v>0</v>
      </c>
      <c r="G567" t="s">
        <v>21</v>
      </c>
    </row>
    <row r="568" spans="1:7">
      <c r="A568">
        <v>567</v>
      </c>
      <c r="B568" t="str">
        <f>"020404"</f>
        <v>0</v>
      </c>
      <c r="C568" t="s">
        <v>1076</v>
      </c>
      <c r="D568" t="s">
        <v>1077</v>
      </c>
      <c r="E568" t="str">
        <f>"3720400373716"</f>
        <v>0</v>
      </c>
      <c r="F568" t="str">
        <f>"000030"</f>
        <v>0</v>
      </c>
      <c r="G568" t="s">
        <v>21</v>
      </c>
    </row>
    <row r="569" spans="1:7">
      <c r="A569">
        <v>568</v>
      </c>
      <c r="B569" t="str">
        <f>"024567"</f>
        <v>0</v>
      </c>
      <c r="C569" t="s">
        <v>1078</v>
      </c>
      <c r="D569" t="s">
        <v>1079</v>
      </c>
      <c r="E569" t="str">
        <f>"1729900053372"</f>
        <v>0</v>
      </c>
      <c r="F569" t="str">
        <f>"000030"</f>
        <v>0</v>
      </c>
      <c r="G569" t="s">
        <v>21</v>
      </c>
    </row>
    <row r="570" spans="1:7">
      <c r="A570">
        <v>569</v>
      </c>
      <c r="B570" t="str">
        <f>"023581"</f>
        <v>0</v>
      </c>
      <c r="C570" t="s">
        <v>1080</v>
      </c>
      <c r="D570" t="s">
        <v>1081</v>
      </c>
      <c r="E570" t="str">
        <f>"3930500673787"</f>
        <v>0</v>
      </c>
      <c r="F570" t="str">
        <f>"000030"</f>
        <v>0</v>
      </c>
      <c r="G570" t="s">
        <v>21</v>
      </c>
    </row>
    <row r="571" spans="1:7">
      <c r="A571">
        <v>570</v>
      </c>
      <c r="B571" t="str">
        <f>"009960"</f>
        <v>0</v>
      </c>
      <c r="C571" t="s">
        <v>1082</v>
      </c>
      <c r="D571" t="s">
        <v>1083</v>
      </c>
      <c r="E571" t="str">
        <f>"3130100630689"</f>
        <v>0</v>
      </c>
      <c r="F571" t="str">
        <f>"000030"</f>
        <v>0</v>
      </c>
      <c r="G571" t="s">
        <v>21</v>
      </c>
    </row>
    <row r="572" spans="1:7">
      <c r="A572">
        <v>571</v>
      </c>
      <c r="B572" t="str">
        <f>"019923"</f>
        <v>0</v>
      </c>
      <c r="C572" t="s">
        <v>1084</v>
      </c>
      <c r="D572" t="s">
        <v>1085</v>
      </c>
      <c r="E572" t="str">
        <f>"3470500188387"</f>
        <v>0</v>
      </c>
      <c r="F572" t="str">
        <f>"000030"</f>
        <v>0</v>
      </c>
      <c r="G572" t="s">
        <v>21</v>
      </c>
    </row>
    <row r="573" spans="1:7">
      <c r="A573">
        <v>572</v>
      </c>
      <c r="B573" t="str">
        <f>"009701"</f>
        <v>0</v>
      </c>
      <c r="C573" t="s">
        <v>1086</v>
      </c>
      <c r="D573" t="s">
        <v>1087</v>
      </c>
      <c r="E573" t="str">
        <f>"3101500800728"</f>
        <v>0</v>
      </c>
      <c r="F573" t="str">
        <f>"000030"</f>
        <v>0</v>
      </c>
      <c r="G573" t="s">
        <v>21</v>
      </c>
    </row>
    <row r="574" spans="1:7">
      <c r="A574">
        <v>573</v>
      </c>
      <c r="B574" t="str">
        <f>"014655"</f>
        <v>0</v>
      </c>
      <c r="C574" t="s">
        <v>1088</v>
      </c>
      <c r="D574" t="s">
        <v>954</v>
      </c>
      <c r="E574" t="str">
        <f>"3100501334835"</f>
        <v>0</v>
      </c>
      <c r="F574" t="str">
        <f>"000030"</f>
        <v>0</v>
      </c>
      <c r="G574" t="s">
        <v>21</v>
      </c>
    </row>
    <row r="575" spans="1:7">
      <c r="A575">
        <v>574</v>
      </c>
      <c r="B575" t="str">
        <f>"015490"</f>
        <v>0</v>
      </c>
      <c r="C575" t="s">
        <v>1089</v>
      </c>
      <c r="D575" t="s">
        <v>1090</v>
      </c>
      <c r="E575" t="str">
        <f>"3170100182988"</f>
        <v>0</v>
      </c>
      <c r="F575" t="str">
        <f>"000030"</f>
        <v>0</v>
      </c>
      <c r="G575" t="s">
        <v>21</v>
      </c>
    </row>
    <row r="576" spans="1:7">
      <c r="A576">
        <v>575</v>
      </c>
      <c r="B576" t="str">
        <f>"016036"</f>
        <v>0</v>
      </c>
      <c r="C576" t="s">
        <v>1091</v>
      </c>
      <c r="D576" t="s">
        <v>1092</v>
      </c>
      <c r="E576" t="str">
        <f>"3100500134042"</f>
        <v>0</v>
      </c>
      <c r="F576" t="str">
        <f>"000030"</f>
        <v>0</v>
      </c>
      <c r="G576" t="s">
        <v>21</v>
      </c>
    </row>
    <row r="577" spans="1:7">
      <c r="A577">
        <v>576</v>
      </c>
      <c r="B577" t="str">
        <f>"017831"</f>
        <v>0</v>
      </c>
      <c r="C577" t="s">
        <v>1093</v>
      </c>
      <c r="D577" t="s">
        <v>1094</v>
      </c>
      <c r="E577" t="str">
        <f>"5101799016561"</f>
        <v>0</v>
      </c>
      <c r="F577" t="str">
        <f>"000030"</f>
        <v>0</v>
      </c>
      <c r="G577" t="s">
        <v>21</v>
      </c>
    </row>
    <row r="578" spans="1:7">
      <c r="A578">
        <v>577</v>
      </c>
      <c r="B578" t="str">
        <f>"018062"</f>
        <v>0</v>
      </c>
      <c r="C578" t="s">
        <v>1095</v>
      </c>
      <c r="D578" t="s">
        <v>1096</v>
      </c>
      <c r="E578" t="str">
        <f>"3100504474085"</f>
        <v>0</v>
      </c>
      <c r="F578" t="str">
        <f>"000030"</f>
        <v>0</v>
      </c>
      <c r="G578" t="s">
        <v>21</v>
      </c>
    </row>
    <row r="579" spans="1:7">
      <c r="A579">
        <v>578</v>
      </c>
      <c r="B579" t="str">
        <f>"020748"</f>
        <v>0</v>
      </c>
      <c r="C579" t="s">
        <v>1097</v>
      </c>
      <c r="D579" t="s">
        <v>1098</v>
      </c>
      <c r="E579" t="str">
        <f>"3490500197106"</f>
        <v>0</v>
      </c>
      <c r="F579" t="str">
        <f>"000030"</f>
        <v>0</v>
      </c>
      <c r="G579" t="s">
        <v>21</v>
      </c>
    </row>
    <row r="580" spans="1:7">
      <c r="A580">
        <v>579</v>
      </c>
      <c r="B580" t="str">
        <f>"020807"</f>
        <v>0</v>
      </c>
      <c r="C580" t="s">
        <v>1099</v>
      </c>
      <c r="D580" t="s">
        <v>1100</v>
      </c>
      <c r="E580" t="str">
        <f>"5450700047163"</f>
        <v>0</v>
      </c>
      <c r="F580" t="str">
        <f>"000030"</f>
        <v>0</v>
      </c>
      <c r="G580" t="s">
        <v>21</v>
      </c>
    </row>
    <row r="581" spans="1:7">
      <c r="A581">
        <v>580</v>
      </c>
      <c r="B581" t="str">
        <f>"020908"</f>
        <v>0</v>
      </c>
      <c r="C581" t="s">
        <v>1101</v>
      </c>
      <c r="D581" t="s">
        <v>1102</v>
      </c>
      <c r="E581" t="str">
        <f>"3100300249601"</f>
        <v>0</v>
      </c>
      <c r="F581" t="str">
        <f>"000030"</f>
        <v>0</v>
      </c>
      <c r="G581" t="s">
        <v>21</v>
      </c>
    </row>
    <row r="582" spans="1:7">
      <c r="A582">
        <v>581</v>
      </c>
      <c r="B582" t="str">
        <f>"022148"</f>
        <v>0</v>
      </c>
      <c r="C582" t="s">
        <v>614</v>
      </c>
      <c r="D582" t="s">
        <v>1103</v>
      </c>
      <c r="E582" t="str">
        <f>"3220100525256"</f>
        <v>0</v>
      </c>
      <c r="F582" t="str">
        <f>"000030"</f>
        <v>0</v>
      </c>
      <c r="G582" t="s">
        <v>21</v>
      </c>
    </row>
    <row r="583" spans="1:7">
      <c r="A583">
        <v>582</v>
      </c>
      <c r="B583" t="str">
        <f>"022502"</f>
        <v>0</v>
      </c>
      <c r="C583" t="s">
        <v>1104</v>
      </c>
      <c r="D583" t="s">
        <v>1105</v>
      </c>
      <c r="E583" t="str">
        <f>"3101402391548"</f>
        <v>0</v>
      </c>
      <c r="F583" t="str">
        <f>"000030"</f>
        <v>0</v>
      </c>
      <c r="G583" t="s">
        <v>21</v>
      </c>
    </row>
    <row r="584" spans="1:7">
      <c r="A584">
        <v>583</v>
      </c>
      <c r="B584" t="str">
        <f>"024911"</f>
        <v>0</v>
      </c>
      <c r="C584" t="s">
        <v>1106</v>
      </c>
      <c r="D584" t="s">
        <v>1107</v>
      </c>
      <c r="E584" t="str">
        <f>"3400300207434"</f>
        <v>0</v>
      </c>
      <c r="F584" t="str">
        <f>"000030"</f>
        <v>0</v>
      </c>
      <c r="G584" t="s">
        <v>21</v>
      </c>
    </row>
    <row r="585" spans="1:7">
      <c r="A585">
        <v>584</v>
      </c>
      <c r="B585" t="str">
        <f>"022501"</f>
        <v>0</v>
      </c>
      <c r="C585" t="s">
        <v>1108</v>
      </c>
      <c r="D585" t="s">
        <v>1109</v>
      </c>
      <c r="E585" t="str">
        <f>"3920300354050"</f>
        <v>0</v>
      </c>
      <c r="F585" t="str">
        <f>"000030"</f>
        <v>0</v>
      </c>
      <c r="G585" t="s">
        <v>21</v>
      </c>
    </row>
    <row r="586" spans="1:7">
      <c r="A586">
        <v>585</v>
      </c>
      <c r="B586" t="str">
        <f>"026053"</f>
        <v>0</v>
      </c>
      <c r="C586" t="s">
        <v>1110</v>
      </c>
      <c r="D586" t="s">
        <v>1111</v>
      </c>
      <c r="E586" t="str">
        <f>"1101401478350"</f>
        <v>0</v>
      </c>
      <c r="F586" t="str">
        <f>"000030"</f>
        <v>0</v>
      </c>
      <c r="G586" t="s">
        <v>21</v>
      </c>
    </row>
    <row r="587" spans="1:7">
      <c r="A587">
        <v>586</v>
      </c>
      <c r="B587" t="str">
        <f>"020909"</f>
        <v>0</v>
      </c>
      <c r="C587" t="s">
        <v>1112</v>
      </c>
      <c r="D587" t="s">
        <v>1113</v>
      </c>
      <c r="E587" t="str">
        <f>"3809700051207"</f>
        <v>0</v>
      </c>
      <c r="F587" t="str">
        <f>"000030"</f>
        <v>0</v>
      </c>
      <c r="G587" t="s">
        <v>21</v>
      </c>
    </row>
    <row r="588" spans="1:7">
      <c r="A588">
        <v>587</v>
      </c>
      <c r="B588" t="str">
        <f>"022150"</f>
        <v>0</v>
      </c>
      <c r="C588" t="s">
        <v>1114</v>
      </c>
      <c r="D588" t="s">
        <v>1115</v>
      </c>
      <c r="E588" t="str">
        <f>"3210200129760"</f>
        <v>0</v>
      </c>
      <c r="F588" t="str">
        <f>"000030"</f>
        <v>0</v>
      </c>
      <c r="G588" t="s">
        <v>21</v>
      </c>
    </row>
    <row r="589" spans="1:7">
      <c r="A589">
        <v>588</v>
      </c>
      <c r="B589" t="str">
        <f>"020549"</f>
        <v>0</v>
      </c>
      <c r="C589" t="s">
        <v>1116</v>
      </c>
      <c r="D589" t="s">
        <v>1117</v>
      </c>
      <c r="E589" t="str">
        <f>"5170600018491"</f>
        <v>0</v>
      </c>
      <c r="F589" t="str">
        <f>"000030"</f>
        <v>0</v>
      </c>
      <c r="G589" t="s">
        <v>21</v>
      </c>
    </row>
    <row r="590" spans="1:7">
      <c r="A590">
        <v>589</v>
      </c>
      <c r="B590" t="str">
        <f>"027036"</f>
        <v>0</v>
      </c>
      <c r="C590" t="s">
        <v>1118</v>
      </c>
      <c r="D590" t="s">
        <v>1119</v>
      </c>
      <c r="E590" t="str">
        <f>"1331500020325"</f>
        <v>0</v>
      </c>
      <c r="F590" t="str">
        <f>"000030"</f>
        <v>0</v>
      </c>
      <c r="G590" t="s">
        <v>21</v>
      </c>
    </row>
    <row r="591" spans="1:7">
      <c r="A591">
        <v>590</v>
      </c>
      <c r="B591" t="str">
        <f>"024304"</f>
        <v>0</v>
      </c>
      <c r="C591" t="s">
        <v>1120</v>
      </c>
      <c r="D591" t="s">
        <v>1121</v>
      </c>
      <c r="E591" t="str">
        <f>"1479900085811"</f>
        <v>0</v>
      </c>
      <c r="F591" t="str">
        <f>"000030"</f>
        <v>0</v>
      </c>
      <c r="G591" t="s">
        <v>21</v>
      </c>
    </row>
    <row r="592" spans="1:7">
      <c r="A592">
        <v>591</v>
      </c>
      <c r="B592" t="str">
        <f>"026871"</f>
        <v>0</v>
      </c>
      <c r="C592" t="s">
        <v>1122</v>
      </c>
      <c r="D592" t="s">
        <v>1123</v>
      </c>
      <c r="E592" t="str">
        <f>"1609900171911"</f>
        <v>0</v>
      </c>
      <c r="F592" t="str">
        <f>"000030"</f>
        <v>0</v>
      </c>
      <c r="G592" t="s">
        <v>21</v>
      </c>
    </row>
    <row r="593" spans="1:7">
      <c r="A593">
        <v>592</v>
      </c>
      <c r="B593" t="str">
        <f>"021347"</f>
        <v>0</v>
      </c>
      <c r="C593" t="s">
        <v>1124</v>
      </c>
      <c r="D593" t="s">
        <v>1125</v>
      </c>
      <c r="E593" t="str">
        <f>"3670400524189"</f>
        <v>0</v>
      </c>
      <c r="F593" t="str">
        <f>"000030"</f>
        <v>0</v>
      </c>
      <c r="G593" t="s">
        <v>21</v>
      </c>
    </row>
    <row r="594" spans="1:7">
      <c r="A594">
        <v>593</v>
      </c>
      <c r="B594" t="str">
        <f>"022606"</f>
        <v>0</v>
      </c>
      <c r="C594" t="s">
        <v>1126</v>
      </c>
      <c r="D594" t="s">
        <v>1127</v>
      </c>
      <c r="E594" t="str">
        <f>"1331200035611"</f>
        <v>0</v>
      </c>
      <c r="F594" t="str">
        <f>"000030"</f>
        <v>0</v>
      </c>
      <c r="G594" t="s">
        <v>21</v>
      </c>
    </row>
    <row r="595" spans="1:7">
      <c r="A595">
        <v>594</v>
      </c>
      <c r="B595" t="str">
        <f>"014783"</f>
        <v>0</v>
      </c>
      <c r="C595" t="s">
        <v>1128</v>
      </c>
      <c r="D595" t="s">
        <v>1129</v>
      </c>
      <c r="E595" t="str">
        <f>"3100501757167"</f>
        <v>0</v>
      </c>
      <c r="F595" t="str">
        <f>"000030"</f>
        <v>0</v>
      </c>
      <c r="G595" t="s">
        <v>21</v>
      </c>
    </row>
    <row r="596" spans="1:7">
      <c r="A596">
        <v>595</v>
      </c>
      <c r="B596" t="str">
        <f>"019851"</f>
        <v>0</v>
      </c>
      <c r="C596" t="s">
        <v>1130</v>
      </c>
      <c r="D596" t="s">
        <v>1131</v>
      </c>
      <c r="E596" t="str">
        <f>"3760100489069"</f>
        <v>0</v>
      </c>
      <c r="F596" t="str">
        <f>"000030"</f>
        <v>0</v>
      </c>
      <c r="G596" t="s">
        <v>21</v>
      </c>
    </row>
    <row r="597" spans="1:7">
      <c r="A597">
        <v>596</v>
      </c>
      <c r="B597" t="str">
        <f>"023757"</f>
        <v>0</v>
      </c>
      <c r="C597" t="s">
        <v>1132</v>
      </c>
      <c r="D597" t="s">
        <v>1133</v>
      </c>
      <c r="E597" t="str">
        <f>"1100700115550"</f>
        <v>0</v>
      </c>
      <c r="F597" t="str">
        <f>"000030"</f>
        <v>0</v>
      </c>
      <c r="G597" t="s">
        <v>21</v>
      </c>
    </row>
    <row r="598" spans="1:7">
      <c r="A598">
        <v>597</v>
      </c>
      <c r="B598" t="str">
        <f>"018099"</f>
        <v>0</v>
      </c>
      <c r="C598" t="s">
        <v>1134</v>
      </c>
      <c r="D598" t="s">
        <v>656</v>
      </c>
      <c r="E598" t="str">
        <f>"3100800364230"</f>
        <v>0</v>
      </c>
      <c r="F598" t="str">
        <f>"000030"</f>
        <v>0</v>
      </c>
      <c r="G598" t="s">
        <v>21</v>
      </c>
    </row>
    <row r="599" spans="1:7">
      <c r="A599">
        <v>598</v>
      </c>
      <c r="B599" t="str">
        <f>"018836"</f>
        <v>0</v>
      </c>
      <c r="C599" t="s">
        <v>1135</v>
      </c>
      <c r="D599" t="s">
        <v>1136</v>
      </c>
      <c r="E599" t="str">
        <f>"3100500534806"</f>
        <v>0</v>
      </c>
      <c r="F599" t="str">
        <f>"000030"</f>
        <v>0</v>
      </c>
      <c r="G599" t="s">
        <v>21</v>
      </c>
    </row>
    <row r="600" spans="1:7">
      <c r="A600">
        <v>599</v>
      </c>
      <c r="B600" t="str">
        <f>"019857"</f>
        <v>0</v>
      </c>
      <c r="C600" t="s">
        <v>1137</v>
      </c>
      <c r="D600" t="s">
        <v>317</v>
      </c>
      <c r="E600" t="str">
        <f>"3620400201371"</f>
        <v>0</v>
      </c>
      <c r="F600" t="str">
        <f>"000030"</f>
        <v>0</v>
      </c>
      <c r="G600" t="s">
        <v>21</v>
      </c>
    </row>
    <row r="601" spans="1:7">
      <c r="A601">
        <v>600</v>
      </c>
      <c r="B601" t="str">
        <f>"007708"</f>
        <v>0</v>
      </c>
      <c r="C601" t="s">
        <v>1138</v>
      </c>
      <c r="D601" t="s">
        <v>1139</v>
      </c>
      <c r="E601" t="str">
        <f>"3141200312493"</f>
        <v>0</v>
      </c>
      <c r="F601" t="str">
        <f>"000030"</f>
        <v>0</v>
      </c>
      <c r="G601" t="s">
        <v>21</v>
      </c>
    </row>
    <row r="602" spans="1:7">
      <c r="A602">
        <v>601</v>
      </c>
      <c r="B602" t="str">
        <f>"019326"</f>
        <v>0</v>
      </c>
      <c r="C602" t="s">
        <v>727</v>
      </c>
      <c r="D602" t="s">
        <v>1140</v>
      </c>
      <c r="E602" t="str">
        <f>"5679900002470"</f>
        <v>0</v>
      </c>
      <c r="F602" t="str">
        <f>"000030"</f>
        <v>0</v>
      </c>
      <c r="G602" t="s">
        <v>21</v>
      </c>
    </row>
    <row r="603" spans="1:7">
      <c r="A603">
        <v>602</v>
      </c>
      <c r="B603" t="str">
        <f>"019072"</f>
        <v>0</v>
      </c>
      <c r="C603" t="s">
        <v>76</v>
      </c>
      <c r="D603" t="s">
        <v>1141</v>
      </c>
      <c r="E603" t="str">
        <f>"3330300002167"</f>
        <v>0</v>
      </c>
      <c r="F603" t="str">
        <f>"000030"</f>
        <v>0</v>
      </c>
      <c r="G603" t="s">
        <v>21</v>
      </c>
    </row>
    <row r="604" spans="1:7">
      <c r="A604">
        <v>603</v>
      </c>
      <c r="B604" t="str">
        <f>"015482"</f>
        <v>0</v>
      </c>
      <c r="C604" t="s">
        <v>725</v>
      </c>
      <c r="D604" t="s">
        <v>1142</v>
      </c>
      <c r="E604" t="str">
        <f>"3410101300248"</f>
        <v>0</v>
      </c>
      <c r="F604" t="str">
        <f>"000030"</f>
        <v>0</v>
      </c>
      <c r="G604" t="s">
        <v>21</v>
      </c>
    </row>
    <row r="605" spans="1:7">
      <c r="A605">
        <v>604</v>
      </c>
      <c r="B605" t="str">
        <f>"016728"</f>
        <v>0</v>
      </c>
      <c r="C605" t="s">
        <v>1143</v>
      </c>
      <c r="D605" t="s">
        <v>1144</v>
      </c>
      <c r="E605" t="str">
        <f>"3100202175816"</f>
        <v>0</v>
      </c>
      <c r="F605" t="str">
        <f>"000030"</f>
        <v>0</v>
      </c>
      <c r="G605" t="s">
        <v>21</v>
      </c>
    </row>
    <row r="606" spans="1:7">
      <c r="A606">
        <v>605</v>
      </c>
      <c r="B606" t="str">
        <f>"016806"</f>
        <v>0</v>
      </c>
      <c r="C606" t="s">
        <v>1145</v>
      </c>
      <c r="D606" t="s">
        <v>448</v>
      </c>
      <c r="E606" t="str">
        <f>"3100900792063"</f>
        <v>0</v>
      </c>
      <c r="F606" t="str">
        <f>"000030"</f>
        <v>0</v>
      </c>
      <c r="G606" t="s">
        <v>21</v>
      </c>
    </row>
    <row r="607" spans="1:7">
      <c r="A607">
        <v>606</v>
      </c>
      <c r="B607" t="str">
        <f>"018901"</f>
        <v>0</v>
      </c>
      <c r="C607" t="s">
        <v>86</v>
      </c>
      <c r="D607" t="s">
        <v>1146</v>
      </c>
      <c r="E607" t="str">
        <f>"3141100325879"</f>
        <v>0</v>
      </c>
      <c r="F607" t="str">
        <f>"000030"</f>
        <v>0</v>
      </c>
      <c r="G607" t="s">
        <v>21</v>
      </c>
    </row>
    <row r="608" spans="1:7">
      <c r="A608">
        <v>607</v>
      </c>
      <c r="B608" t="str">
        <f>"018902"</f>
        <v>0</v>
      </c>
      <c r="C608" t="s">
        <v>1147</v>
      </c>
      <c r="D608" t="s">
        <v>1148</v>
      </c>
      <c r="E608" t="str">
        <f>"3200600701355"</f>
        <v>0</v>
      </c>
      <c r="F608" t="str">
        <f>"000030"</f>
        <v>0</v>
      </c>
      <c r="G608" t="s">
        <v>21</v>
      </c>
    </row>
    <row r="609" spans="1:7">
      <c r="A609">
        <v>608</v>
      </c>
      <c r="B609" t="str">
        <f>"019404"</f>
        <v>0</v>
      </c>
      <c r="C609" t="s">
        <v>1149</v>
      </c>
      <c r="D609" t="s">
        <v>1150</v>
      </c>
      <c r="E609" t="str">
        <f>"5101100001506"</f>
        <v>0</v>
      </c>
      <c r="F609" t="str">
        <f>"000030"</f>
        <v>0</v>
      </c>
      <c r="G609" t="s">
        <v>21</v>
      </c>
    </row>
    <row r="610" spans="1:7">
      <c r="A610">
        <v>609</v>
      </c>
      <c r="B610" t="str">
        <f>"019771"</f>
        <v>0</v>
      </c>
      <c r="C610" t="s">
        <v>1151</v>
      </c>
      <c r="D610" t="s">
        <v>1152</v>
      </c>
      <c r="E610" t="str">
        <f>"3809900358284"</f>
        <v>0</v>
      </c>
      <c r="F610" t="str">
        <f>"000030"</f>
        <v>0</v>
      </c>
      <c r="G610" t="s">
        <v>21</v>
      </c>
    </row>
    <row r="611" spans="1:7">
      <c r="A611">
        <v>610</v>
      </c>
      <c r="B611" t="str">
        <f>"020165"</f>
        <v>0</v>
      </c>
      <c r="C611" t="s">
        <v>1153</v>
      </c>
      <c r="D611" t="s">
        <v>940</v>
      </c>
      <c r="E611" t="str">
        <f>"3220100137370"</f>
        <v>0</v>
      </c>
      <c r="F611" t="str">
        <f>"000030"</f>
        <v>0</v>
      </c>
      <c r="G611" t="s">
        <v>21</v>
      </c>
    </row>
    <row r="612" spans="1:7">
      <c r="A612">
        <v>611</v>
      </c>
      <c r="B612" t="str">
        <f>"020166"</f>
        <v>0</v>
      </c>
      <c r="C612" t="s">
        <v>1154</v>
      </c>
      <c r="D612" t="s">
        <v>1155</v>
      </c>
      <c r="E612" t="str">
        <f>"3102002863192"</f>
        <v>0</v>
      </c>
      <c r="F612" t="str">
        <f>"000030"</f>
        <v>0</v>
      </c>
      <c r="G612" t="s">
        <v>21</v>
      </c>
    </row>
    <row r="613" spans="1:7">
      <c r="A613">
        <v>612</v>
      </c>
      <c r="B613" t="str">
        <f>"020325"</f>
        <v>0</v>
      </c>
      <c r="C613" t="s">
        <v>1156</v>
      </c>
      <c r="D613" t="s">
        <v>1157</v>
      </c>
      <c r="E613" t="str">
        <f>"3150300034249"</f>
        <v>0</v>
      </c>
      <c r="F613" t="str">
        <f>"000030"</f>
        <v>0</v>
      </c>
      <c r="G613" t="s">
        <v>21</v>
      </c>
    </row>
    <row r="614" spans="1:7">
      <c r="A614">
        <v>613</v>
      </c>
      <c r="B614" t="str">
        <f>"021137"</f>
        <v>0</v>
      </c>
      <c r="C614" t="s">
        <v>1158</v>
      </c>
      <c r="D614" t="s">
        <v>1159</v>
      </c>
      <c r="E614" t="str">
        <f>"3160400548759"</f>
        <v>0</v>
      </c>
      <c r="F614" t="str">
        <f>"000030"</f>
        <v>0</v>
      </c>
      <c r="G614" t="s">
        <v>21</v>
      </c>
    </row>
    <row r="615" spans="1:7">
      <c r="A615">
        <v>614</v>
      </c>
      <c r="B615" t="str">
        <f>"021732"</f>
        <v>0</v>
      </c>
      <c r="C615" t="s">
        <v>1160</v>
      </c>
      <c r="D615" t="s">
        <v>1161</v>
      </c>
      <c r="E615" t="str">
        <f>"3100300236402"</f>
        <v>0</v>
      </c>
      <c r="F615" t="str">
        <f>"000030"</f>
        <v>0</v>
      </c>
      <c r="G615" t="s">
        <v>21</v>
      </c>
    </row>
    <row r="616" spans="1:7">
      <c r="A616">
        <v>615</v>
      </c>
      <c r="B616" t="str">
        <f>"021747"</f>
        <v>0</v>
      </c>
      <c r="C616" t="s">
        <v>1162</v>
      </c>
      <c r="D616" t="s">
        <v>1163</v>
      </c>
      <c r="E616" t="str">
        <f>"3331100050797"</f>
        <v>0</v>
      </c>
      <c r="F616" t="str">
        <f>"000030"</f>
        <v>0</v>
      </c>
      <c r="G616" t="s">
        <v>21</v>
      </c>
    </row>
    <row r="617" spans="1:7">
      <c r="A617">
        <v>616</v>
      </c>
      <c r="B617" t="str">
        <f>"022817"</f>
        <v>0</v>
      </c>
      <c r="C617" t="s">
        <v>1164</v>
      </c>
      <c r="D617" t="s">
        <v>1165</v>
      </c>
      <c r="E617" t="str">
        <f>"1101300001124"</f>
        <v>0</v>
      </c>
      <c r="F617" t="str">
        <f>"000030"</f>
        <v>0</v>
      </c>
      <c r="G617" t="s">
        <v>21</v>
      </c>
    </row>
    <row r="618" spans="1:7">
      <c r="A618">
        <v>617</v>
      </c>
      <c r="B618" t="str">
        <f>"024057"</f>
        <v>0</v>
      </c>
      <c r="C618" t="s">
        <v>1166</v>
      </c>
      <c r="D618" t="s">
        <v>1167</v>
      </c>
      <c r="E618" t="str">
        <f>"3500100513557"</f>
        <v>0</v>
      </c>
      <c r="F618" t="str">
        <f>"000030"</f>
        <v>0</v>
      </c>
      <c r="G618" t="s">
        <v>21</v>
      </c>
    </row>
    <row r="619" spans="1:7">
      <c r="A619">
        <v>618</v>
      </c>
      <c r="B619" t="str">
        <f>"024310"</f>
        <v>0</v>
      </c>
      <c r="C619" t="s">
        <v>1168</v>
      </c>
      <c r="D619" t="s">
        <v>1169</v>
      </c>
      <c r="E619" t="str">
        <f>"3760700531091"</f>
        <v>0</v>
      </c>
      <c r="F619" t="str">
        <f>"000030"</f>
        <v>0</v>
      </c>
      <c r="G619" t="s">
        <v>21</v>
      </c>
    </row>
    <row r="620" spans="1:7">
      <c r="A620">
        <v>619</v>
      </c>
      <c r="B620" t="str">
        <f>"024574"</f>
        <v>0</v>
      </c>
      <c r="C620" t="s">
        <v>1170</v>
      </c>
      <c r="D620" t="s">
        <v>1171</v>
      </c>
      <c r="E620" t="str">
        <f>"3100503139291"</f>
        <v>0</v>
      </c>
      <c r="F620" t="str">
        <f>"000030"</f>
        <v>0</v>
      </c>
      <c r="G620" t="s">
        <v>21</v>
      </c>
    </row>
    <row r="621" spans="1:7">
      <c r="A621">
        <v>620</v>
      </c>
      <c r="B621" t="str">
        <f>"025186"</f>
        <v>0</v>
      </c>
      <c r="C621" t="s">
        <v>1172</v>
      </c>
      <c r="D621" t="s">
        <v>1173</v>
      </c>
      <c r="E621" t="str">
        <f>"1101499069364"</f>
        <v>0</v>
      </c>
      <c r="F621" t="str">
        <f>"000030"</f>
        <v>0</v>
      </c>
      <c r="G621" t="s">
        <v>21</v>
      </c>
    </row>
    <row r="622" spans="1:7">
      <c r="A622">
        <v>621</v>
      </c>
      <c r="B622" t="str">
        <f>"025395"</f>
        <v>0</v>
      </c>
      <c r="C622" t="s">
        <v>1174</v>
      </c>
      <c r="D622" t="s">
        <v>1175</v>
      </c>
      <c r="E622" t="str">
        <f>"3119800002069"</f>
        <v>0</v>
      </c>
      <c r="F622" t="str">
        <f>"000030"</f>
        <v>0</v>
      </c>
      <c r="G622" t="s">
        <v>21</v>
      </c>
    </row>
    <row r="623" spans="1:7">
      <c r="A623">
        <v>622</v>
      </c>
      <c r="B623" t="str">
        <f>"025396"</f>
        <v>0</v>
      </c>
      <c r="C623" t="s">
        <v>1176</v>
      </c>
      <c r="D623" t="s">
        <v>1177</v>
      </c>
      <c r="E623" t="str">
        <f>"1450100106131"</f>
        <v>0</v>
      </c>
      <c r="F623" t="str">
        <f>"000030"</f>
        <v>0</v>
      </c>
      <c r="G623" t="s">
        <v>21</v>
      </c>
    </row>
    <row r="624" spans="1:7">
      <c r="A624">
        <v>623</v>
      </c>
      <c r="B624" t="str">
        <f>"025497"</f>
        <v>0</v>
      </c>
      <c r="C624" t="s">
        <v>1178</v>
      </c>
      <c r="D624" t="s">
        <v>1179</v>
      </c>
      <c r="E624" t="str">
        <f>"3100600476492"</f>
        <v>0</v>
      </c>
      <c r="F624" t="str">
        <f>"000030"</f>
        <v>0</v>
      </c>
      <c r="G624" t="s">
        <v>21</v>
      </c>
    </row>
    <row r="625" spans="1:7">
      <c r="A625">
        <v>624</v>
      </c>
      <c r="B625" t="str">
        <f>"025525"</f>
        <v>0</v>
      </c>
      <c r="C625" t="s">
        <v>1180</v>
      </c>
      <c r="D625" t="s">
        <v>1181</v>
      </c>
      <c r="E625" t="str">
        <f>"3340500588831"</f>
        <v>0</v>
      </c>
      <c r="F625" t="str">
        <f>"000030"</f>
        <v>0</v>
      </c>
      <c r="G625" t="s">
        <v>21</v>
      </c>
    </row>
    <row r="626" spans="1:7">
      <c r="A626">
        <v>625</v>
      </c>
      <c r="B626" t="str">
        <f>"025700"</f>
        <v>0</v>
      </c>
      <c r="C626" t="s">
        <v>1182</v>
      </c>
      <c r="D626" t="s">
        <v>1183</v>
      </c>
      <c r="E626" t="str">
        <f>"1939900225252"</f>
        <v>0</v>
      </c>
      <c r="F626" t="str">
        <f>"000030"</f>
        <v>0</v>
      </c>
      <c r="G626" t="s">
        <v>21</v>
      </c>
    </row>
    <row r="627" spans="1:7">
      <c r="A627">
        <v>626</v>
      </c>
      <c r="B627" t="str">
        <f>"026616"</f>
        <v>0</v>
      </c>
      <c r="C627" t="s">
        <v>1184</v>
      </c>
      <c r="D627" t="s">
        <v>1185</v>
      </c>
      <c r="E627" t="str">
        <f>"3410100049142"</f>
        <v>0</v>
      </c>
      <c r="F627" t="str">
        <f>"000030"</f>
        <v>0</v>
      </c>
      <c r="G627" t="s">
        <v>21</v>
      </c>
    </row>
    <row r="628" spans="1:7">
      <c r="A628">
        <v>627</v>
      </c>
      <c r="B628" t="str">
        <f>"026655"</f>
        <v>0</v>
      </c>
      <c r="C628" t="s">
        <v>1186</v>
      </c>
      <c r="D628" t="s">
        <v>1187</v>
      </c>
      <c r="E628" t="str">
        <f>"1100500287331"</f>
        <v>0</v>
      </c>
      <c r="F628" t="str">
        <f>"000030"</f>
        <v>0</v>
      </c>
      <c r="G628" t="s">
        <v>21</v>
      </c>
    </row>
    <row r="629" spans="1:7">
      <c r="A629">
        <v>628</v>
      </c>
      <c r="B629" t="str">
        <f>"026854"</f>
        <v>0</v>
      </c>
      <c r="C629" t="s">
        <v>1188</v>
      </c>
      <c r="D629" t="s">
        <v>1189</v>
      </c>
      <c r="E629" t="str">
        <f>"1102002137452"</f>
        <v>0</v>
      </c>
      <c r="F629" t="str">
        <f>"000030"</f>
        <v>0</v>
      </c>
      <c r="G629" t="s">
        <v>21</v>
      </c>
    </row>
    <row r="630" spans="1:7">
      <c r="A630">
        <v>629</v>
      </c>
      <c r="B630" t="str">
        <f>"026960"</f>
        <v>0</v>
      </c>
      <c r="C630" t="s">
        <v>1190</v>
      </c>
      <c r="D630" t="s">
        <v>1191</v>
      </c>
      <c r="E630" t="str">
        <f>"1309900273694"</f>
        <v>0</v>
      </c>
      <c r="F630" t="str">
        <f>"000030"</f>
        <v>0</v>
      </c>
      <c r="G630" t="s">
        <v>21</v>
      </c>
    </row>
    <row r="631" spans="1:7">
      <c r="A631">
        <v>630</v>
      </c>
      <c r="B631" t="str">
        <f>"026986"</f>
        <v>0</v>
      </c>
      <c r="C631" t="s">
        <v>1192</v>
      </c>
      <c r="D631" t="s">
        <v>1193</v>
      </c>
      <c r="E631" t="str">
        <f>"3949900243516"</f>
        <v>0</v>
      </c>
      <c r="F631" t="str">
        <f>"000030"</f>
        <v>0</v>
      </c>
      <c r="G631" t="s">
        <v>21</v>
      </c>
    </row>
    <row r="632" spans="1:7">
      <c r="A632">
        <v>631</v>
      </c>
      <c r="B632" t="str">
        <f>"027318"</f>
        <v>0</v>
      </c>
      <c r="C632" t="s">
        <v>1194</v>
      </c>
      <c r="D632" t="s">
        <v>1195</v>
      </c>
      <c r="E632" t="str">
        <f>"3440500698687"</f>
        <v>0</v>
      </c>
      <c r="F632" t="str">
        <f>"000030"</f>
        <v>0</v>
      </c>
      <c r="G632" t="s">
        <v>21</v>
      </c>
    </row>
    <row r="633" spans="1:7">
      <c r="A633">
        <v>632</v>
      </c>
      <c r="B633" t="str">
        <f>"022070"</f>
        <v>0</v>
      </c>
      <c r="C633" t="s">
        <v>1196</v>
      </c>
      <c r="D633" t="s">
        <v>1197</v>
      </c>
      <c r="E633" t="str">
        <f>"3100601541948"</f>
        <v>0</v>
      </c>
      <c r="F633" t="str">
        <f>"000030"</f>
        <v>0</v>
      </c>
      <c r="G633" t="s">
        <v>21</v>
      </c>
    </row>
    <row r="634" spans="1:7">
      <c r="A634">
        <v>633</v>
      </c>
      <c r="B634" t="str">
        <f>"017900"</f>
        <v>0</v>
      </c>
      <c r="C634" t="s">
        <v>1198</v>
      </c>
      <c r="D634" t="s">
        <v>1199</v>
      </c>
      <c r="E634" t="str">
        <f>"3440601021607"</f>
        <v>0</v>
      </c>
      <c r="F634" t="str">
        <f>"000030"</f>
        <v>0</v>
      </c>
      <c r="G634" t="s">
        <v>21</v>
      </c>
    </row>
    <row r="635" spans="1:7">
      <c r="A635">
        <v>634</v>
      </c>
      <c r="B635" t="str">
        <f>"018535"</f>
        <v>0</v>
      </c>
      <c r="C635" t="s">
        <v>1200</v>
      </c>
      <c r="D635" t="s">
        <v>1201</v>
      </c>
      <c r="E635" t="str">
        <f>"3801500055350"</f>
        <v>0</v>
      </c>
      <c r="F635" t="str">
        <f>"000030"</f>
        <v>0</v>
      </c>
      <c r="G635" t="s">
        <v>21</v>
      </c>
    </row>
    <row r="636" spans="1:7">
      <c r="A636">
        <v>635</v>
      </c>
      <c r="B636" t="str">
        <f>"018537"</f>
        <v>0</v>
      </c>
      <c r="C636" t="s">
        <v>1202</v>
      </c>
      <c r="D636" t="s">
        <v>1203</v>
      </c>
      <c r="E636" t="str">
        <f>"3100200805740"</f>
        <v>0</v>
      </c>
      <c r="F636" t="str">
        <f>"000030"</f>
        <v>0</v>
      </c>
      <c r="G636" t="s">
        <v>21</v>
      </c>
    </row>
    <row r="637" spans="1:7">
      <c r="A637">
        <v>636</v>
      </c>
      <c r="B637" t="str">
        <f>"019743"</f>
        <v>0</v>
      </c>
      <c r="C637" t="s">
        <v>1204</v>
      </c>
      <c r="D637" t="s">
        <v>1205</v>
      </c>
      <c r="E637" t="str">
        <f>"3770600768501"</f>
        <v>0</v>
      </c>
      <c r="F637" t="str">
        <f>"000030"</f>
        <v>0</v>
      </c>
      <c r="G637" t="s">
        <v>21</v>
      </c>
    </row>
    <row r="638" spans="1:7">
      <c r="A638">
        <v>637</v>
      </c>
      <c r="B638" t="str">
        <f>"020762"</f>
        <v>0</v>
      </c>
      <c r="C638" t="s">
        <v>1206</v>
      </c>
      <c r="D638" t="s">
        <v>1207</v>
      </c>
      <c r="E638" t="str">
        <f>"3801400609574"</f>
        <v>0</v>
      </c>
      <c r="F638" t="str">
        <f>"000030"</f>
        <v>0</v>
      </c>
      <c r="G638" t="s">
        <v>21</v>
      </c>
    </row>
    <row r="639" spans="1:7">
      <c r="A639">
        <v>638</v>
      </c>
      <c r="B639" t="str">
        <f>"025526"</f>
        <v>0</v>
      </c>
      <c r="C639" t="s">
        <v>1208</v>
      </c>
      <c r="D639" t="s">
        <v>1209</v>
      </c>
      <c r="E639" t="str">
        <f>"3100202752660"</f>
        <v>0</v>
      </c>
      <c r="F639" t="str">
        <f>"000030"</f>
        <v>0</v>
      </c>
      <c r="G639" t="s">
        <v>21</v>
      </c>
    </row>
    <row r="640" spans="1:7">
      <c r="A640">
        <v>639</v>
      </c>
      <c r="B640" t="str">
        <f>"026008"</f>
        <v>0</v>
      </c>
      <c r="C640" t="s">
        <v>1210</v>
      </c>
      <c r="D640" t="s">
        <v>1211</v>
      </c>
      <c r="E640" t="str">
        <f>"1102000678251"</f>
        <v>0</v>
      </c>
      <c r="F640" t="str">
        <f>"000030"</f>
        <v>0</v>
      </c>
      <c r="G640" t="s">
        <v>21</v>
      </c>
    </row>
    <row r="641" spans="1:7">
      <c r="A641">
        <v>640</v>
      </c>
      <c r="B641" t="str">
        <f>"016946"</f>
        <v>0</v>
      </c>
      <c r="C641" t="s">
        <v>1212</v>
      </c>
      <c r="D641" t="s">
        <v>1213</v>
      </c>
      <c r="E641" t="str">
        <f>"3140200302888"</f>
        <v>0</v>
      </c>
      <c r="F641" t="str">
        <f>"000030"</f>
        <v>0</v>
      </c>
      <c r="G641" t="s">
        <v>21</v>
      </c>
    </row>
    <row r="642" spans="1:7">
      <c r="A642">
        <v>641</v>
      </c>
      <c r="B642" t="str">
        <f>"019660"</f>
        <v>0</v>
      </c>
      <c r="C642" t="s">
        <v>1214</v>
      </c>
      <c r="D642" t="s">
        <v>1215</v>
      </c>
      <c r="E642" t="str">
        <f>"3120101789193"</f>
        <v>0</v>
      </c>
      <c r="F642" t="str">
        <f>"000030"</f>
        <v>0</v>
      </c>
      <c r="G642" t="s">
        <v>21</v>
      </c>
    </row>
    <row r="643" spans="1:7">
      <c r="A643">
        <v>642</v>
      </c>
      <c r="B643" t="str">
        <f>"019694"</f>
        <v>0</v>
      </c>
      <c r="C643" t="s">
        <v>1216</v>
      </c>
      <c r="D643" t="s">
        <v>1217</v>
      </c>
      <c r="E643" t="str">
        <f>"3100501711060"</f>
        <v>0</v>
      </c>
      <c r="F643" t="str">
        <f>"000030"</f>
        <v>0</v>
      </c>
      <c r="G643" t="s">
        <v>21</v>
      </c>
    </row>
    <row r="644" spans="1:7">
      <c r="A644">
        <v>643</v>
      </c>
      <c r="B644" t="str">
        <f>"021501"</f>
        <v>0</v>
      </c>
      <c r="C644" t="s">
        <v>1218</v>
      </c>
      <c r="D644" t="s">
        <v>1219</v>
      </c>
      <c r="E644" t="str">
        <f>"5130199030286"</f>
        <v>0</v>
      </c>
      <c r="F644" t="str">
        <f>"000030"</f>
        <v>0</v>
      </c>
      <c r="G644" t="s">
        <v>21</v>
      </c>
    </row>
    <row r="645" spans="1:7">
      <c r="A645">
        <v>644</v>
      </c>
      <c r="B645" t="str">
        <f>"023231"</f>
        <v>0</v>
      </c>
      <c r="C645" t="s">
        <v>1220</v>
      </c>
      <c r="D645" t="s">
        <v>1221</v>
      </c>
      <c r="E645" t="str">
        <f>"3120100667906"</f>
        <v>0</v>
      </c>
      <c r="F645" t="str">
        <f>"000030"</f>
        <v>0</v>
      </c>
      <c r="G645" t="s">
        <v>21</v>
      </c>
    </row>
    <row r="646" spans="1:7">
      <c r="A646">
        <v>645</v>
      </c>
      <c r="B646" t="str">
        <f>"023285"</f>
        <v>0</v>
      </c>
      <c r="C646" t="s">
        <v>1222</v>
      </c>
      <c r="D646" t="s">
        <v>1140</v>
      </c>
      <c r="E646" t="str">
        <f>"3670100889998"</f>
        <v>0</v>
      </c>
      <c r="F646" t="str">
        <f>"000030"</f>
        <v>0</v>
      </c>
      <c r="G646" t="s">
        <v>21</v>
      </c>
    </row>
    <row r="647" spans="1:7">
      <c r="A647">
        <v>646</v>
      </c>
      <c r="B647" t="str">
        <f>"027064"</f>
        <v>0</v>
      </c>
      <c r="C647" t="s">
        <v>1223</v>
      </c>
      <c r="D647" t="s">
        <v>1224</v>
      </c>
      <c r="E647" t="str">
        <f>"1100701153145"</f>
        <v>0</v>
      </c>
      <c r="F647" t="str">
        <f>"000030"</f>
        <v>0</v>
      </c>
      <c r="G647" t="s">
        <v>21</v>
      </c>
    </row>
    <row r="648" spans="1:7">
      <c r="A648">
        <v>647</v>
      </c>
      <c r="B648" t="str">
        <f>"026853"</f>
        <v>0</v>
      </c>
      <c r="C648" t="s">
        <v>1225</v>
      </c>
      <c r="D648" t="s">
        <v>1226</v>
      </c>
      <c r="E648" t="str">
        <f>"1160100317593"</f>
        <v>0</v>
      </c>
      <c r="F648" t="str">
        <f>"000030"</f>
        <v>0</v>
      </c>
      <c r="G648" t="s">
        <v>21</v>
      </c>
    </row>
    <row r="649" spans="1:7">
      <c r="A649">
        <v>648</v>
      </c>
      <c r="B649" t="str">
        <f>"022108"</f>
        <v>0</v>
      </c>
      <c r="C649" t="s">
        <v>1227</v>
      </c>
      <c r="D649" t="s">
        <v>1228</v>
      </c>
      <c r="E649" t="str">
        <f>"1179900108750"</f>
        <v>0</v>
      </c>
      <c r="F649" t="str">
        <f>"000030"</f>
        <v>0</v>
      </c>
      <c r="G649" t="s">
        <v>21</v>
      </c>
    </row>
    <row r="650" spans="1:7">
      <c r="A650">
        <v>649</v>
      </c>
      <c r="B650" t="str">
        <f>"018777"</f>
        <v>0</v>
      </c>
      <c r="C650" t="s">
        <v>1229</v>
      </c>
      <c r="D650" t="s">
        <v>1230</v>
      </c>
      <c r="E650" t="str">
        <f>"3191000133706"</f>
        <v>0</v>
      </c>
      <c r="F650" t="str">
        <f>"000030"</f>
        <v>0</v>
      </c>
      <c r="G650" t="s">
        <v>21</v>
      </c>
    </row>
    <row r="651" spans="1:7">
      <c r="A651">
        <v>650</v>
      </c>
      <c r="B651" t="str">
        <f>"022602"</f>
        <v>0</v>
      </c>
      <c r="C651" t="s">
        <v>1231</v>
      </c>
      <c r="D651" t="s">
        <v>75</v>
      </c>
      <c r="E651" t="str">
        <f>"3269900056534"</f>
        <v>0</v>
      </c>
      <c r="F651" t="str">
        <f>"000030"</f>
        <v>0</v>
      </c>
      <c r="G651" t="s">
        <v>21</v>
      </c>
    </row>
    <row r="652" spans="1:7">
      <c r="A652">
        <v>651</v>
      </c>
      <c r="B652" t="str">
        <f>"024869"</f>
        <v>0</v>
      </c>
      <c r="C652" t="s">
        <v>1232</v>
      </c>
      <c r="D652" t="s">
        <v>1233</v>
      </c>
      <c r="E652" t="str">
        <f>"1329900038938"</f>
        <v>0</v>
      </c>
      <c r="F652" t="str">
        <f>"000030"</f>
        <v>0</v>
      </c>
      <c r="G652" t="s">
        <v>21</v>
      </c>
    </row>
    <row r="653" spans="1:7">
      <c r="A653">
        <v>652</v>
      </c>
      <c r="B653" t="str">
        <f>"026873"</f>
        <v>0</v>
      </c>
      <c r="C653" t="s">
        <v>1234</v>
      </c>
      <c r="D653" t="s">
        <v>1235</v>
      </c>
      <c r="E653" t="str">
        <f>"1500700138971"</f>
        <v>0</v>
      </c>
      <c r="F653" t="str">
        <f>"000030"</f>
        <v>0</v>
      </c>
      <c r="G653" t="s">
        <v>21</v>
      </c>
    </row>
    <row r="654" spans="1:7">
      <c r="A654">
        <v>653</v>
      </c>
      <c r="B654" t="str">
        <f>"019662"</f>
        <v>0</v>
      </c>
      <c r="C654" t="s">
        <v>1236</v>
      </c>
      <c r="D654" t="s">
        <v>1237</v>
      </c>
      <c r="E654" t="str">
        <f>"3520100371825"</f>
        <v>0</v>
      </c>
      <c r="F654" t="str">
        <f>"000030"</f>
        <v>0</v>
      </c>
      <c r="G654" t="s">
        <v>21</v>
      </c>
    </row>
    <row r="655" spans="1:7">
      <c r="A655">
        <v>654</v>
      </c>
      <c r="B655" t="str">
        <f>"023318"</f>
        <v>0</v>
      </c>
      <c r="C655" t="s">
        <v>1238</v>
      </c>
      <c r="D655" t="s">
        <v>1239</v>
      </c>
      <c r="E655" t="str">
        <f>"1620400026271"</f>
        <v>0</v>
      </c>
      <c r="F655" t="str">
        <f>"000030"</f>
        <v>0</v>
      </c>
      <c r="G655" t="s">
        <v>21</v>
      </c>
    </row>
    <row r="656" spans="1:7">
      <c r="A656">
        <v>655</v>
      </c>
      <c r="B656" t="str">
        <f>"025759"</f>
        <v>0</v>
      </c>
      <c r="C656" t="s">
        <v>1240</v>
      </c>
      <c r="D656" t="s">
        <v>1241</v>
      </c>
      <c r="E656" t="str">
        <f>"1640500092403"</f>
        <v>0</v>
      </c>
      <c r="F656" t="str">
        <f>"000030"</f>
        <v>0</v>
      </c>
      <c r="G656" t="s">
        <v>21</v>
      </c>
    </row>
    <row r="657" spans="1:7">
      <c r="A657">
        <v>656</v>
      </c>
      <c r="B657" t="str">
        <f>"024186"</f>
        <v>0</v>
      </c>
      <c r="C657" t="s">
        <v>1242</v>
      </c>
      <c r="D657" t="s">
        <v>1243</v>
      </c>
      <c r="E657" t="str">
        <f>"1670600144171"</f>
        <v>0</v>
      </c>
      <c r="F657" t="str">
        <f>"000030"</f>
        <v>0</v>
      </c>
      <c r="G657" t="s">
        <v>21</v>
      </c>
    </row>
    <row r="658" spans="1:7">
      <c r="A658">
        <v>657</v>
      </c>
      <c r="B658" t="str">
        <f>"022542"</f>
        <v>0</v>
      </c>
      <c r="C658" t="s">
        <v>1244</v>
      </c>
      <c r="D658" t="s">
        <v>1245</v>
      </c>
      <c r="E658" t="str">
        <f>"3760200126545"</f>
        <v>0</v>
      </c>
      <c r="F658" t="str">
        <f>"000030"</f>
        <v>0</v>
      </c>
      <c r="G658" t="s">
        <v>21</v>
      </c>
    </row>
    <row r="659" spans="1:7">
      <c r="A659">
        <v>658</v>
      </c>
      <c r="B659" t="str">
        <f>"024717"</f>
        <v>0</v>
      </c>
      <c r="C659" t="s">
        <v>1246</v>
      </c>
      <c r="D659" t="s">
        <v>1247</v>
      </c>
      <c r="E659" t="str">
        <f>"1779900084618"</f>
        <v>0</v>
      </c>
      <c r="F659" t="str">
        <f>"000030"</f>
        <v>0</v>
      </c>
      <c r="G659" t="s">
        <v>21</v>
      </c>
    </row>
    <row r="660" spans="1:7">
      <c r="A660">
        <v>659</v>
      </c>
      <c r="B660" t="str">
        <f>"025758"</f>
        <v>0</v>
      </c>
      <c r="C660" t="s">
        <v>1248</v>
      </c>
      <c r="D660" t="s">
        <v>1249</v>
      </c>
      <c r="E660" t="str">
        <f>"1840100351604"</f>
        <v>0</v>
      </c>
      <c r="F660" t="str">
        <f>"000030"</f>
        <v>0</v>
      </c>
      <c r="G660" t="s">
        <v>21</v>
      </c>
    </row>
    <row r="661" spans="1:7">
      <c r="A661">
        <v>660</v>
      </c>
      <c r="B661" t="str">
        <f>"026872"</f>
        <v>0</v>
      </c>
      <c r="C661" t="s">
        <v>1250</v>
      </c>
      <c r="D661" t="s">
        <v>1251</v>
      </c>
      <c r="E661" t="str">
        <f>"1219900447294"</f>
        <v>0</v>
      </c>
      <c r="F661" t="str">
        <f>"000030"</f>
        <v>0</v>
      </c>
      <c r="G661" t="s">
        <v>21</v>
      </c>
    </row>
    <row r="662" spans="1:7">
      <c r="A662">
        <v>661</v>
      </c>
      <c r="B662" t="str">
        <f>"017657"</f>
        <v>0</v>
      </c>
      <c r="C662" t="s">
        <v>1252</v>
      </c>
      <c r="D662" t="s">
        <v>1253</v>
      </c>
      <c r="E662" t="str">
        <f>"3440800237120"</f>
        <v>0</v>
      </c>
      <c r="F662" t="str">
        <f>"000030"</f>
        <v>0</v>
      </c>
      <c r="G662" t="s">
        <v>21</v>
      </c>
    </row>
    <row r="663" spans="1:7">
      <c r="A663">
        <v>662</v>
      </c>
      <c r="B663" t="str">
        <f>"019098"</f>
        <v>0</v>
      </c>
      <c r="C663" t="s">
        <v>322</v>
      </c>
      <c r="D663" t="s">
        <v>1254</v>
      </c>
      <c r="E663" t="str">
        <f>"3101202414862"</f>
        <v>0</v>
      </c>
      <c r="F663" t="str">
        <f>"000030"</f>
        <v>0</v>
      </c>
      <c r="G663" t="s">
        <v>21</v>
      </c>
    </row>
    <row r="664" spans="1:7">
      <c r="A664">
        <v>663</v>
      </c>
      <c r="B664" t="str">
        <f>"017746"</f>
        <v>0</v>
      </c>
      <c r="C664" t="s">
        <v>1255</v>
      </c>
      <c r="D664" t="s">
        <v>1256</v>
      </c>
      <c r="E664" t="str">
        <f>"3100601017173"</f>
        <v>0</v>
      </c>
      <c r="F664" t="str">
        <f>"000030"</f>
        <v>0</v>
      </c>
      <c r="G664" t="s">
        <v>21</v>
      </c>
    </row>
    <row r="665" spans="1:7">
      <c r="A665">
        <v>664</v>
      </c>
      <c r="B665" t="str">
        <f>"018726"</f>
        <v>0</v>
      </c>
      <c r="C665" t="s">
        <v>1257</v>
      </c>
      <c r="D665" t="s">
        <v>681</v>
      </c>
      <c r="E665" t="str">
        <f>"3110401137701"</f>
        <v>0</v>
      </c>
      <c r="F665" t="str">
        <f>"000030"</f>
        <v>0</v>
      </c>
      <c r="G665" t="s">
        <v>21</v>
      </c>
    </row>
    <row r="666" spans="1:7">
      <c r="A666">
        <v>665</v>
      </c>
      <c r="B666" t="str">
        <f>"016656"</f>
        <v>0</v>
      </c>
      <c r="C666" t="s">
        <v>1258</v>
      </c>
      <c r="D666" t="s">
        <v>1259</v>
      </c>
      <c r="E666" t="str">
        <f>"3129900245176"</f>
        <v>0</v>
      </c>
      <c r="F666" t="str">
        <f>"000030"</f>
        <v>0</v>
      </c>
      <c r="G666" t="s">
        <v>21</v>
      </c>
    </row>
    <row r="667" spans="1:7">
      <c r="A667">
        <v>666</v>
      </c>
      <c r="B667" t="str">
        <f>"013018"</f>
        <v>0</v>
      </c>
      <c r="C667" t="s">
        <v>1260</v>
      </c>
      <c r="D667" t="s">
        <v>1261</v>
      </c>
      <c r="E667" t="str">
        <f>"3101600612761"</f>
        <v>0</v>
      </c>
      <c r="F667" t="str">
        <f>"000030"</f>
        <v>0</v>
      </c>
      <c r="G667" t="s">
        <v>21</v>
      </c>
    </row>
    <row r="668" spans="1:7">
      <c r="A668">
        <v>667</v>
      </c>
      <c r="B668" t="str">
        <f>"018804"</f>
        <v>0</v>
      </c>
      <c r="C668" t="s">
        <v>104</v>
      </c>
      <c r="D668" t="s">
        <v>1262</v>
      </c>
      <c r="E668" t="str">
        <f>"3130500002839"</f>
        <v>0</v>
      </c>
      <c r="F668" t="str">
        <f>"000030"</f>
        <v>0</v>
      </c>
      <c r="G668" t="s">
        <v>21</v>
      </c>
    </row>
    <row r="669" spans="1:7">
      <c r="A669">
        <v>668</v>
      </c>
      <c r="B669" t="str">
        <f>"019166"</f>
        <v>0</v>
      </c>
      <c r="C669" t="s">
        <v>1263</v>
      </c>
      <c r="D669" t="s">
        <v>1264</v>
      </c>
      <c r="E669" t="str">
        <f>"3450300174196"</f>
        <v>0</v>
      </c>
      <c r="F669" t="str">
        <f>"000030"</f>
        <v>0</v>
      </c>
      <c r="G669" t="s">
        <v>21</v>
      </c>
    </row>
    <row r="670" spans="1:7">
      <c r="A670">
        <v>669</v>
      </c>
      <c r="B670" t="str">
        <f>"016229"</f>
        <v>0</v>
      </c>
      <c r="C670" t="s">
        <v>1265</v>
      </c>
      <c r="D670" t="s">
        <v>1266</v>
      </c>
      <c r="E670" t="str">
        <f>"3101701135233"</f>
        <v>0</v>
      </c>
      <c r="F670" t="str">
        <f>"000030"</f>
        <v>0</v>
      </c>
      <c r="G670" t="s">
        <v>21</v>
      </c>
    </row>
    <row r="671" spans="1:7">
      <c r="A671">
        <v>670</v>
      </c>
      <c r="B671" t="str">
        <f>"024589"</f>
        <v>0</v>
      </c>
      <c r="C671" t="s">
        <v>1267</v>
      </c>
      <c r="D671" t="s">
        <v>1268</v>
      </c>
      <c r="E671" t="str">
        <f>"3101200100721"</f>
        <v>0</v>
      </c>
      <c r="F671" t="str">
        <f>"000030"</f>
        <v>0</v>
      </c>
      <c r="G671" t="s">
        <v>21</v>
      </c>
    </row>
    <row r="672" spans="1:7">
      <c r="A672">
        <v>671</v>
      </c>
      <c r="B672" t="str">
        <f>"027032"</f>
        <v>0</v>
      </c>
      <c r="C672" t="s">
        <v>1269</v>
      </c>
      <c r="D672" t="s">
        <v>1270</v>
      </c>
      <c r="E672" t="str">
        <f>"3510400079429"</f>
        <v>0</v>
      </c>
      <c r="F672" t="str">
        <f>"000030"</f>
        <v>0</v>
      </c>
      <c r="G672" t="s">
        <v>21</v>
      </c>
    </row>
    <row r="673" spans="1:7">
      <c r="A673">
        <v>672</v>
      </c>
      <c r="B673" t="str">
        <f>"018639"</f>
        <v>0</v>
      </c>
      <c r="C673" t="s">
        <v>1271</v>
      </c>
      <c r="D673" t="s">
        <v>1272</v>
      </c>
      <c r="E673" t="str">
        <f>"3409900114036"</f>
        <v>0</v>
      </c>
      <c r="F673" t="str">
        <f>"000030"</f>
        <v>0</v>
      </c>
      <c r="G673" t="s">
        <v>21</v>
      </c>
    </row>
    <row r="674" spans="1:7">
      <c r="A674">
        <v>673</v>
      </c>
      <c r="B674" t="str">
        <f>"019408"</f>
        <v>0</v>
      </c>
      <c r="C674" t="s">
        <v>1143</v>
      </c>
      <c r="D674" t="s">
        <v>1273</v>
      </c>
      <c r="E674" t="str">
        <f>"3240200003634"</f>
        <v>0</v>
      </c>
      <c r="F674" t="str">
        <f>"000030"</f>
        <v>0</v>
      </c>
      <c r="G674" t="s">
        <v>21</v>
      </c>
    </row>
    <row r="675" spans="1:7">
      <c r="A675">
        <v>674</v>
      </c>
      <c r="B675" t="str">
        <f>"021769"</f>
        <v>0</v>
      </c>
      <c r="C675" t="s">
        <v>1274</v>
      </c>
      <c r="D675" t="s">
        <v>1275</v>
      </c>
      <c r="E675" t="str">
        <f>"3349700086340"</f>
        <v>0</v>
      </c>
      <c r="F675" t="str">
        <f>"000030"</f>
        <v>0</v>
      </c>
      <c r="G675" t="s">
        <v>21</v>
      </c>
    </row>
    <row r="676" spans="1:7">
      <c r="A676">
        <v>675</v>
      </c>
      <c r="B676" t="str">
        <f>"019661"</f>
        <v>0</v>
      </c>
      <c r="C676" t="s">
        <v>1276</v>
      </c>
      <c r="D676" t="s">
        <v>1277</v>
      </c>
      <c r="E676" t="str">
        <f>"3510600018580"</f>
        <v>0</v>
      </c>
      <c r="F676" t="str">
        <f>"000030"</f>
        <v>0</v>
      </c>
      <c r="G676" t="s">
        <v>21</v>
      </c>
    </row>
    <row r="677" spans="1:7">
      <c r="A677">
        <v>676</v>
      </c>
      <c r="B677" t="str">
        <f>"020246"</f>
        <v>0</v>
      </c>
      <c r="C677" t="s">
        <v>1278</v>
      </c>
      <c r="D677" t="s">
        <v>697</v>
      </c>
      <c r="E677" t="str">
        <f>"3240300068894"</f>
        <v>0</v>
      </c>
      <c r="F677" t="str">
        <f>"000030"</f>
        <v>0</v>
      </c>
      <c r="G677" t="s">
        <v>21</v>
      </c>
    </row>
    <row r="678" spans="1:7">
      <c r="A678">
        <v>677</v>
      </c>
      <c r="B678" t="str">
        <f>"025439"</f>
        <v>0</v>
      </c>
      <c r="C678" t="s">
        <v>1279</v>
      </c>
      <c r="D678" t="s">
        <v>1280</v>
      </c>
      <c r="E678" t="str">
        <f>"1930100007210"</f>
        <v>0</v>
      </c>
      <c r="F678" t="str">
        <f>"000030"</f>
        <v>0</v>
      </c>
      <c r="G678" t="s">
        <v>21</v>
      </c>
    </row>
    <row r="679" spans="1:7">
      <c r="A679">
        <v>678</v>
      </c>
      <c r="B679" t="str">
        <f>"025741"</f>
        <v>0</v>
      </c>
      <c r="C679" t="s">
        <v>1182</v>
      </c>
      <c r="D679" t="s">
        <v>1281</v>
      </c>
      <c r="E679" t="str">
        <f>"3102201346741"</f>
        <v>0</v>
      </c>
      <c r="F679" t="str">
        <f>"000030"</f>
        <v>0</v>
      </c>
      <c r="G679" t="s">
        <v>21</v>
      </c>
    </row>
    <row r="680" spans="1:7">
      <c r="A680">
        <v>679</v>
      </c>
      <c r="B680" t="str">
        <f>"019831"</f>
        <v>0</v>
      </c>
      <c r="C680" t="s">
        <v>1282</v>
      </c>
      <c r="D680" t="s">
        <v>1283</v>
      </c>
      <c r="E680" t="str">
        <f>"3120101123268"</f>
        <v>0</v>
      </c>
      <c r="F680" t="str">
        <f>"000030"</f>
        <v>0</v>
      </c>
      <c r="G680" t="s">
        <v>21</v>
      </c>
    </row>
    <row r="681" spans="1:7">
      <c r="A681">
        <v>680</v>
      </c>
      <c r="B681" t="str">
        <f>"020103"</f>
        <v>0</v>
      </c>
      <c r="C681" t="s">
        <v>191</v>
      </c>
      <c r="D681" t="s">
        <v>1284</v>
      </c>
      <c r="E681" t="str">
        <f>"5259900016024"</f>
        <v>0</v>
      </c>
      <c r="F681" t="str">
        <f>"000030"</f>
        <v>0</v>
      </c>
      <c r="G681" t="s">
        <v>21</v>
      </c>
    </row>
    <row r="682" spans="1:7">
      <c r="A682">
        <v>681</v>
      </c>
      <c r="B682" t="str">
        <f>"021700"</f>
        <v>0</v>
      </c>
      <c r="C682" t="s">
        <v>1285</v>
      </c>
      <c r="D682" t="s">
        <v>1286</v>
      </c>
      <c r="E682" t="str">
        <f>"2160100001501"</f>
        <v>0</v>
      </c>
      <c r="F682" t="str">
        <f>"000030"</f>
        <v>0</v>
      </c>
      <c r="G682" t="s">
        <v>21</v>
      </c>
    </row>
    <row r="683" spans="1:7">
      <c r="A683">
        <v>682</v>
      </c>
      <c r="B683" t="str">
        <f>"023263"</f>
        <v>0</v>
      </c>
      <c r="C683" t="s">
        <v>1287</v>
      </c>
      <c r="D683" t="s">
        <v>1288</v>
      </c>
      <c r="E683" t="str">
        <f>"1169700001251"</f>
        <v>0</v>
      </c>
      <c r="F683" t="str">
        <f>"000030"</f>
        <v>0</v>
      </c>
      <c r="G683" t="s">
        <v>21</v>
      </c>
    </row>
    <row r="684" spans="1:7">
      <c r="A684">
        <v>683</v>
      </c>
      <c r="B684" t="str">
        <f>"023140"</f>
        <v>0</v>
      </c>
      <c r="C684" t="s">
        <v>1289</v>
      </c>
      <c r="D684" t="s">
        <v>1290</v>
      </c>
      <c r="E684" t="str">
        <f>"1480800006334"</f>
        <v>0</v>
      </c>
      <c r="F684" t="str">
        <f>"000030"</f>
        <v>0</v>
      </c>
      <c r="G684" t="s">
        <v>21</v>
      </c>
    </row>
    <row r="685" spans="1:7">
      <c r="A685">
        <v>684</v>
      </c>
      <c r="B685" t="str">
        <f>"020677"</f>
        <v>0</v>
      </c>
      <c r="C685" t="s">
        <v>1291</v>
      </c>
      <c r="D685" t="s">
        <v>1292</v>
      </c>
      <c r="E685" t="str">
        <f>"3650500240522"</f>
        <v>0</v>
      </c>
      <c r="F685" t="str">
        <f>"000030"</f>
        <v>0</v>
      </c>
      <c r="G685" t="s">
        <v>21</v>
      </c>
    </row>
    <row r="686" spans="1:7">
      <c r="A686">
        <v>685</v>
      </c>
      <c r="B686" t="str">
        <f>"015020"</f>
        <v>0</v>
      </c>
      <c r="C686" t="s">
        <v>1162</v>
      </c>
      <c r="D686" t="s">
        <v>1284</v>
      </c>
      <c r="E686" t="str">
        <f>"3720500156181"</f>
        <v>0</v>
      </c>
      <c r="F686" t="str">
        <f>"000030"</f>
        <v>0</v>
      </c>
      <c r="G686" t="s">
        <v>21</v>
      </c>
    </row>
    <row r="687" spans="1:7">
      <c r="A687">
        <v>686</v>
      </c>
      <c r="B687" t="str">
        <f>"023976"</f>
        <v>0</v>
      </c>
      <c r="C687" t="s">
        <v>1293</v>
      </c>
      <c r="D687" t="s">
        <v>1294</v>
      </c>
      <c r="E687" t="str">
        <f>"1730200102160"</f>
        <v>0</v>
      </c>
      <c r="F687" t="str">
        <f>"000030"</f>
        <v>0</v>
      </c>
      <c r="G687" t="s">
        <v>21</v>
      </c>
    </row>
    <row r="688" spans="1:7">
      <c r="A688">
        <v>687</v>
      </c>
      <c r="B688" t="str">
        <f>"015375"</f>
        <v>0</v>
      </c>
      <c r="C688" t="s">
        <v>1295</v>
      </c>
      <c r="D688" t="s">
        <v>1296</v>
      </c>
      <c r="E688" t="str">
        <f>"3459900011636"</f>
        <v>0</v>
      </c>
      <c r="F688" t="str">
        <f>"000030"</f>
        <v>0</v>
      </c>
      <c r="G688" t="s">
        <v>21</v>
      </c>
    </row>
    <row r="689" spans="1:7">
      <c r="A689">
        <v>688</v>
      </c>
      <c r="B689" t="str">
        <f>"016302"</f>
        <v>0</v>
      </c>
      <c r="C689" t="s">
        <v>466</v>
      </c>
      <c r="D689" t="s">
        <v>1297</v>
      </c>
      <c r="E689" t="str">
        <f>"3100600291450"</f>
        <v>0</v>
      </c>
      <c r="F689" t="str">
        <f>"000030"</f>
        <v>0</v>
      </c>
      <c r="G689" t="s">
        <v>21</v>
      </c>
    </row>
    <row r="690" spans="1:7">
      <c r="A690">
        <v>689</v>
      </c>
      <c r="B690" t="str">
        <f>"016598"</f>
        <v>0</v>
      </c>
      <c r="C690" t="s">
        <v>130</v>
      </c>
      <c r="D690" t="s">
        <v>1298</v>
      </c>
      <c r="E690" t="str">
        <f>"3841700593410"</f>
        <v>0</v>
      </c>
      <c r="F690" t="str">
        <f>"000030"</f>
        <v>0</v>
      </c>
      <c r="G690" t="s">
        <v>21</v>
      </c>
    </row>
    <row r="691" spans="1:7">
      <c r="A691">
        <v>690</v>
      </c>
      <c r="B691" t="str">
        <f>"018445"</f>
        <v>0</v>
      </c>
      <c r="C691" t="s">
        <v>211</v>
      </c>
      <c r="D691" t="s">
        <v>1299</v>
      </c>
      <c r="E691" t="str">
        <f>"3900400335481"</f>
        <v>0</v>
      </c>
      <c r="F691" t="str">
        <f>"000030"</f>
        <v>0</v>
      </c>
      <c r="G691" t="s">
        <v>21</v>
      </c>
    </row>
    <row r="692" spans="1:7">
      <c r="A692">
        <v>691</v>
      </c>
      <c r="B692" t="str">
        <f>"020090"</f>
        <v>0</v>
      </c>
      <c r="C692" t="s">
        <v>1300</v>
      </c>
      <c r="D692" t="s">
        <v>1301</v>
      </c>
      <c r="E692" t="str">
        <f>"3100503796194"</f>
        <v>0</v>
      </c>
      <c r="F692" t="str">
        <f>"000030"</f>
        <v>0</v>
      </c>
      <c r="G692" t="s">
        <v>21</v>
      </c>
    </row>
    <row r="693" spans="1:7">
      <c r="A693">
        <v>692</v>
      </c>
      <c r="B693" t="str">
        <f>"020488"</f>
        <v>0</v>
      </c>
      <c r="C693" t="s">
        <v>1302</v>
      </c>
      <c r="D693" t="s">
        <v>151</v>
      </c>
      <c r="E693" t="str">
        <f>"3849900189318"</f>
        <v>0</v>
      </c>
      <c r="F693" t="str">
        <f>"000030"</f>
        <v>0</v>
      </c>
      <c r="G693" t="s">
        <v>21</v>
      </c>
    </row>
    <row r="694" spans="1:7">
      <c r="A694">
        <v>693</v>
      </c>
      <c r="B694" t="str">
        <f>"021357"</f>
        <v>0</v>
      </c>
      <c r="C694" t="s">
        <v>1303</v>
      </c>
      <c r="D694" t="s">
        <v>1304</v>
      </c>
      <c r="E694" t="str">
        <f>"3670700549055"</f>
        <v>0</v>
      </c>
      <c r="F694" t="str">
        <f>"000030"</f>
        <v>0</v>
      </c>
      <c r="G694" t="s">
        <v>21</v>
      </c>
    </row>
    <row r="695" spans="1:7">
      <c r="A695">
        <v>694</v>
      </c>
      <c r="B695" t="str">
        <f>"021481"</f>
        <v>0</v>
      </c>
      <c r="C695" t="s">
        <v>1305</v>
      </c>
      <c r="D695" t="s">
        <v>1306</v>
      </c>
      <c r="E695" t="str">
        <f>"3700100626996"</f>
        <v>0</v>
      </c>
      <c r="F695" t="str">
        <f>"000030"</f>
        <v>0</v>
      </c>
      <c r="G695" t="s">
        <v>21</v>
      </c>
    </row>
    <row r="696" spans="1:7">
      <c r="A696">
        <v>695</v>
      </c>
      <c r="B696" t="str">
        <f>"021717"</f>
        <v>0</v>
      </c>
      <c r="C696" t="s">
        <v>1307</v>
      </c>
      <c r="D696" t="s">
        <v>1308</v>
      </c>
      <c r="E696" t="str">
        <f>"3329900212721"</f>
        <v>0</v>
      </c>
      <c r="F696" t="str">
        <f>"000030"</f>
        <v>0</v>
      </c>
      <c r="G696" t="s">
        <v>21</v>
      </c>
    </row>
    <row r="697" spans="1:7">
      <c r="A697">
        <v>696</v>
      </c>
      <c r="B697" t="str">
        <f>"023404"</f>
        <v>0</v>
      </c>
      <c r="C697" t="s">
        <v>1309</v>
      </c>
      <c r="D697" t="s">
        <v>1310</v>
      </c>
      <c r="E697" t="str">
        <f>"5609990002393"</f>
        <v>0</v>
      </c>
      <c r="F697" t="str">
        <f>"000030"</f>
        <v>0</v>
      </c>
      <c r="G697" t="s">
        <v>21</v>
      </c>
    </row>
    <row r="698" spans="1:7">
      <c r="A698">
        <v>697</v>
      </c>
      <c r="B698" t="str">
        <f>"025423"</f>
        <v>0</v>
      </c>
      <c r="C698" t="s">
        <v>1311</v>
      </c>
      <c r="D698" t="s">
        <v>1312</v>
      </c>
      <c r="E698" t="str">
        <f>"3909900233430"</f>
        <v>0</v>
      </c>
      <c r="F698" t="str">
        <f>"000030"</f>
        <v>0</v>
      </c>
      <c r="G698" t="s">
        <v>21</v>
      </c>
    </row>
    <row r="699" spans="1:7">
      <c r="A699">
        <v>698</v>
      </c>
      <c r="B699" t="str">
        <f>"027065"</f>
        <v>0</v>
      </c>
      <c r="C699" t="s">
        <v>1313</v>
      </c>
      <c r="D699" t="s">
        <v>1314</v>
      </c>
      <c r="E699" t="str">
        <f>"1101500176459"</f>
        <v>0</v>
      </c>
      <c r="F699" t="str">
        <f>"000030"</f>
        <v>0</v>
      </c>
      <c r="G699" t="s">
        <v>21</v>
      </c>
    </row>
    <row r="700" spans="1:7">
      <c r="A700">
        <v>699</v>
      </c>
      <c r="B700" t="str">
        <f>"012537"</f>
        <v>0</v>
      </c>
      <c r="C700" t="s">
        <v>1315</v>
      </c>
      <c r="D700" t="s">
        <v>1316</v>
      </c>
      <c r="E700" t="str">
        <f>"3959900005861"</f>
        <v>0</v>
      </c>
      <c r="F700" t="str">
        <f>"000030"</f>
        <v>0</v>
      </c>
      <c r="G700" t="s">
        <v>21</v>
      </c>
    </row>
    <row r="701" spans="1:7">
      <c r="A701">
        <v>700</v>
      </c>
      <c r="B701" t="str">
        <f>"023654"</f>
        <v>0</v>
      </c>
      <c r="C701" t="s">
        <v>1317</v>
      </c>
      <c r="D701" t="s">
        <v>1318</v>
      </c>
      <c r="E701" t="str">
        <f>"3110300236615"</f>
        <v>0</v>
      </c>
      <c r="F701" t="str">
        <f>"000030"</f>
        <v>0</v>
      </c>
      <c r="G701" t="s">
        <v>21</v>
      </c>
    </row>
    <row r="702" spans="1:7">
      <c r="A702">
        <v>701</v>
      </c>
      <c r="B702" t="str">
        <f>"025809"</f>
        <v>0</v>
      </c>
      <c r="C702" t="s">
        <v>1319</v>
      </c>
      <c r="D702" t="s">
        <v>1320</v>
      </c>
      <c r="E702" t="str">
        <f>"1102000666849"</f>
        <v>0</v>
      </c>
      <c r="F702" t="str">
        <f>"000030"</f>
        <v>0</v>
      </c>
      <c r="G702" t="s">
        <v>21</v>
      </c>
    </row>
    <row r="703" spans="1:7">
      <c r="A703">
        <v>702</v>
      </c>
      <c r="B703" t="str">
        <f>"018066"</f>
        <v>0</v>
      </c>
      <c r="C703" t="s">
        <v>570</v>
      </c>
      <c r="D703" t="s">
        <v>1321</v>
      </c>
      <c r="E703" t="str">
        <f>"3520101556624"</f>
        <v>0</v>
      </c>
      <c r="F703" t="str">
        <f>"000030"</f>
        <v>0</v>
      </c>
      <c r="G703" t="s">
        <v>21</v>
      </c>
    </row>
    <row r="704" spans="1:7">
      <c r="A704">
        <v>703</v>
      </c>
      <c r="B704" t="str">
        <f>"023633"</f>
        <v>0</v>
      </c>
      <c r="C704" t="s">
        <v>1322</v>
      </c>
      <c r="D704" t="s">
        <v>1323</v>
      </c>
      <c r="E704" t="str">
        <f>"3130200190702"</f>
        <v>0</v>
      </c>
      <c r="F704" t="str">
        <f>"000030"</f>
        <v>0</v>
      </c>
      <c r="G704" t="s">
        <v>21</v>
      </c>
    </row>
    <row r="705" spans="1:7">
      <c r="A705">
        <v>704</v>
      </c>
      <c r="B705" t="str">
        <f>"026282"</f>
        <v>0</v>
      </c>
      <c r="C705" t="s">
        <v>1324</v>
      </c>
      <c r="D705" t="s">
        <v>1325</v>
      </c>
      <c r="E705" t="str">
        <f>"1120600017513"</f>
        <v>0</v>
      </c>
      <c r="F705" t="str">
        <f>"000030"</f>
        <v>0</v>
      </c>
      <c r="G705" t="s">
        <v>21</v>
      </c>
    </row>
    <row r="706" spans="1:7">
      <c r="A706">
        <v>705</v>
      </c>
      <c r="B706" t="str">
        <f>"022847"</f>
        <v>0</v>
      </c>
      <c r="C706" t="s">
        <v>1326</v>
      </c>
      <c r="D706" t="s">
        <v>1327</v>
      </c>
      <c r="E706" t="str">
        <f>"3141500114522"</f>
        <v>0</v>
      </c>
      <c r="F706" t="str">
        <f>"000030"</f>
        <v>0</v>
      </c>
      <c r="G706" t="s">
        <v>21</v>
      </c>
    </row>
    <row r="707" spans="1:7">
      <c r="A707">
        <v>706</v>
      </c>
      <c r="B707" t="str">
        <f>"023510"</f>
        <v>0</v>
      </c>
      <c r="C707" t="s">
        <v>1328</v>
      </c>
      <c r="D707" t="s">
        <v>1329</v>
      </c>
      <c r="E707" t="str">
        <f>"3140600260279"</f>
        <v>0</v>
      </c>
      <c r="F707" t="str">
        <f>"000030"</f>
        <v>0</v>
      </c>
      <c r="G707" t="s">
        <v>21</v>
      </c>
    </row>
    <row r="708" spans="1:7">
      <c r="A708">
        <v>707</v>
      </c>
      <c r="B708" t="str">
        <f>"021757"</f>
        <v>0</v>
      </c>
      <c r="C708" t="s">
        <v>1330</v>
      </c>
      <c r="D708" t="s">
        <v>1331</v>
      </c>
      <c r="E708" t="str">
        <f>"1150600005159"</f>
        <v>0</v>
      </c>
      <c r="F708" t="str">
        <f>"000030"</f>
        <v>0</v>
      </c>
      <c r="G708" t="s">
        <v>21</v>
      </c>
    </row>
    <row r="709" spans="1:7">
      <c r="A709">
        <v>708</v>
      </c>
      <c r="B709" t="str">
        <f>"022438"</f>
        <v>0</v>
      </c>
      <c r="C709" t="s">
        <v>1332</v>
      </c>
      <c r="D709" t="s">
        <v>1333</v>
      </c>
      <c r="E709" t="str">
        <f>"3150600591518"</f>
        <v>0</v>
      </c>
      <c r="F709" t="str">
        <f>"000030"</f>
        <v>0</v>
      </c>
      <c r="G709" t="s">
        <v>21</v>
      </c>
    </row>
    <row r="710" spans="1:7">
      <c r="A710">
        <v>709</v>
      </c>
      <c r="B710" t="str">
        <f>"025790"</f>
        <v>0</v>
      </c>
      <c r="C710" t="s">
        <v>878</v>
      </c>
      <c r="D710" t="s">
        <v>1334</v>
      </c>
      <c r="E710" t="str">
        <f>"1199600021501"</f>
        <v>0</v>
      </c>
      <c r="F710" t="str">
        <f>"000030"</f>
        <v>0</v>
      </c>
      <c r="G710" t="s">
        <v>21</v>
      </c>
    </row>
    <row r="711" spans="1:7">
      <c r="A711">
        <v>710</v>
      </c>
      <c r="B711" t="str">
        <f>"019691"</f>
        <v>0</v>
      </c>
      <c r="C711" t="s">
        <v>1335</v>
      </c>
      <c r="D711" t="s">
        <v>1336</v>
      </c>
      <c r="E711" t="str">
        <f>"3200600265041"</f>
        <v>0</v>
      </c>
      <c r="F711" t="str">
        <f>"000030"</f>
        <v>0</v>
      </c>
      <c r="G711" t="s">
        <v>21</v>
      </c>
    </row>
    <row r="712" spans="1:7">
      <c r="A712">
        <v>711</v>
      </c>
      <c r="B712" t="str">
        <f>"025527"</f>
        <v>0</v>
      </c>
      <c r="C712" t="s">
        <v>1337</v>
      </c>
      <c r="D712" t="s">
        <v>343</v>
      </c>
      <c r="E712" t="str">
        <f>"1410400148298"</f>
        <v>0</v>
      </c>
      <c r="F712" t="str">
        <f>"000030"</f>
        <v>0</v>
      </c>
      <c r="G712" t="s">
        <v>21</v>
      </c>
    </row>
    <row r="713" spans="1:7">
      <c r="A713">
        <v>712</v>
      </c>
      <c r="B713" t="str">
        <f>"025583"</f>
        <v>0</v>
      </c>
      <c r="C713" t="s">
        <v>1338</v>
      </c>
      <c r="D713" t="s">
        <v>1339</v>
      </c>
      <c r="E713" t="str">
        <f>"1100500409002"</f>
        <v>0</v>
      </c>
      <c r="F713" t="str">
        <f>"000030"</f>
        <v>0</v>
      </c>
      <c r="G713" t="s">
        <v>21</v>
      </c>
    </row>
    <row r="714" spans="1:7">
      <c r="A714">
        <v>713</v>
      </c>
      <c r="B714" t="str">
        <f>"022642"</f>
        <v>0</v>
      </c>
      <c r="C714" t="s">
        <v>634</v>
      </c>
      <c r="D714" t="s">
        <v>1340</v>
      </c>
      <c r="E714" t="str">
        <f>"3521200327977"</f>
        <v>0</v>
      </c>
      <c r="F714" t="str">
        <f>"000030"</f>
        <v>0</v>
      </c>
      <c r="G714" t="s">
        <v>21</v>
      </c>
    </row>
    <row r="715" spans="1:7">
      <c r="A715">
        <v>714</v>
      </c>
      <c r="B715" t="str">
        <f>"022283"</f>
        <v>0</v>
      </c>
      <c r="C715" t="s">
        <v>1341</v>
      </c>
      <c r="D715" t="s">
        <v>1342</v>
      </c>
      <c r="E715" t="str">
        <f>"3660101091191"</f>
        <v>0</v>
      </c>
      <c r="F715" t="str">
        <f>"000030"</f>
        <v>0</v>
      </c>
      <c r="G715" t="s">
        <v>21</v>
      </c>
    </row>
    <row r="716" spans="1:7">
      <c r="A716">
        <v>715</v>
      </c>
      <c r="B716" t="str">
        <f>"025069"</f>
        <v>0</v>
      </c>
      <c r="C716" t="s">
        <v>1343</v>
      </c>
      <c r="D716" t="s">
        <v>1344</v>
      </c>
      <c r="E716" t="str">
        <f>"3709800069567"</f>
        <v>0</v>
      </c>
      <c r="F716" t="str">
        <f>"000030"</f>
        <v>0</v>
      </c>
      <c r="G716" t="s">
        <v>21</v>
      </c>
    </row>
    <row r="717" spans="1:7">
      <c r="A717">
        <v>716</v>
      </c>
      <c r="B717" t="str">
        <f>"021640"</f>
        <v>0</v>
      </c>
      <c r="C717" t="s">
        <v>1345</v>
      </c>
      <c r="D717" t="s">
        <v>768</v>
      </c>
      <c r="E717" t="str">
        <f>"1739900028475"</f>
        <v>0</v>
      </c>
      <c r="F717" t="str">
        <f>"000030"</f>
        <v>0</v>
      </c>
      <c r="G717" t="s">
        <v>21</v>
      </c>
    </row>
    <row r="718" spans="1:7">
      <c r="A718">
        <v>717</v>
      </c>
      <c r="B718" t="str">
        <f>"023106"</f>
        <v>0</v>
      </c>
      <c r="C718" t="s">
        <v>1346</v>
      </c>
      <c r="D718" t="s">
        <v>1347</v>
      </c>
      <c r="E718" t="str">
        <f>"5730190014941"</f>
        <v>0</v>
      </c>
      <c r="F718" t="str">
        <f>"000030"</f>
        <v>0</v>
      </c>
      <c r="G718" t="s">
        <v>21</v>
      </c>
    </row>
    <row r="719" spans="1:7">
      <c r="A719">
        <v>718</v>
      </c>
      <c r="B719" t="str">
        <f>"024134"</f>
        <v>0</v>
      </c>
      <c r="C719" t="s">
        <v>1348</v>
      </c>
      <c r="D719" t="s">
        <v>1349</v>
      </c>
      <c r="E719" t="str">
        <f>"1730600065318"</f>
        <v>0</v>
      </c>
      <c r="F719" t="str">
        <f>"000030"</f>
        <v>0</v>
      </c>
      <c r="G719" t="s">
        <v>21</v>
      </c>
    </row>
    <row r="720" spans="1:7">
      <c r="A720">
        <v>719</v>
      </c>
      <c r="B720" t="str">
        <f>"019807"</f>
        <v>0</v>
      </c>
      <c r="C720" t="s">
        <v>1350</v>
      </c>
      <c r="D720" t="s">
        <v>1351</v>
      </c>
      <c r="E720" t="str">
        <f>"3800900439995"</f>
        <v>0</v>
      </c>
      <c r="F720" t="str">
        <f>"000030"</f>
        <v>0</v>
      </c>
      <c r="G720" t="s">
        <v>21</v>
      </c>
    </row>
    <row r="721" spans="1:7">
      <c r="A721">
        <v>720</v>
      </c>
      <c r="B721" t="str">
        <f>"016864"</f>
        <v>0</v>
      </c>
      <c r="C721" t="s">
        <v>46</v>
      </c>
      <c r="D721" t="s">
        <v>1352</v>
      </c>
      <c r="E721" t="str">
        <f>"3100503819739"</f>
        <v>0</v>
      </c>
      <c r="F721" t="str">
        <f>"000030"</f>
        <v>0</v>
      </c>
      <c r="G721" t="s">
        <v>21</v>
      </c>
    </row>
    <row r="722" spans="1:7">
      <c r="A722">
        <v>721</v>
      </c>
      <c r="B722" t="str">
        <f>"012190"</f>
        <v>0</v>
      </c>
      <c r="C722" t="s">
        <v>1353</v>
      </c>
      <c r="D722" t="s">
        <v>1354</v>
      </c>
      <c r="E722" t="str">
        <f>"3310401321853"</f>
        <v>0</v>
      </c>
      <c r="F722" t="str">
        <f>"000030"</f>
        <v>0</v>
      </c>
      <c r="G722" t="s">
        <v>21</v>
      </c>
    </row>
    <row r="723" spans="1:7">
      <c r="A723">
        <v>722</v>
      </c>
      <c r="B723" t="str">
        <f>"015527"</f>
        <v>0</v>
      </c>
      <c r="C723" t="s">
        <v>1355</v>
      </c>
      <c r="D723" t="s">
        <v>681</v>
      </c>
      <c r="E723" t="str">
        <f>"3120101922420"</f>
        <v>0</v>
      </c>
      <c r="F723" t="str">
        <f>"000030"</f>
        <v>0</v>
      </c>
      <c r="G723" t="s">
        <v>21</v>
      </c>
    </row>
    <row r="724" spans="1:7">
      <c r="A724">
        <v>723</v>
      </c>
      <c r="B724" t="str">
        <f>"018316"</f>
        <v>0</v>
      </c>
      <c r="C724" t="s">
        <v>1356</v>
      </c>
      <c r="D724" t="s">
        <v>685</v>
      </c>
      <c r="E724" t="str">
        <f>"3100502948241"</f>
        <v>0</v>
      </c>
      <c r="F724" t="str">
        <f>"000030"</f>
        <v>0</v>
      </c>
      <c r="G724" t="s">
        <v>21</v>
      </c>
    </row>
    <row r="725" spans="1:7">
      <c r="A725">
        <v>724</v>
      </c>
      <c r="B725" t="str">
        <f>"012109"</f>
        <v>0</v>
      </c>
      <c r="C725" t="s">
        <v>1357</v>
      </c>
      <c r="D725" t="s">
        <v>1358</v>
      </c>
      <c r="E725" t="str">
        <f>"5120100080120"</f>
        <v>0</v>
      </c>
      <c r="F725" t="str">
        <f>"000030"</f>
        <v>0</v>
      </c>
      <c r="G725" t="s">
        <v>21</v>
      </c>
    </row>
    <row r="726" spans="1:7">
      <c r="A726">
        <v>725</v>
      </c>
      <c r="B726" t="str">
        <f>"018180"</f>
        <v>0</v>
      </c>
      <c r="C726" t="s">
        <v>130</v>
      </c>
      <c r="D726" t="s">
        <v>1359</v>
      </c>
      <c r="E726" t="str">
        <f>"3100500480161"</f>
        <v>0</v>
      </c>
      <c r="F726" t="str">
        <f>"000030"</f>
        <v>0</v>
      </c>
      <c r="G726" t="s">
        <v>21</v>
      </c>
    </row>
    <row r="727" spans="1:7">
      <c r="A727">
        <v>726</v>
      </c>
      <c r="B727" t="str">
        <f>"018956"</f>
        <v>0</v>
      </c>
      <c r="C727" t="s">
        <v>1360</v>
      </c>
      <c r="D727" t="s">
        <v>1361</v>
      </c>
      <c r="E727" t="str">
        <f>"3130300402710"</f>
        <v>0</v>
      </c>
      <c r="F727" t="str">
        <f>"000030"</f>
        <v>0</v>
      </c>
      <c r="G727" t="s">
        <v>21</v>
      </c>
    </row>
    <row r="728" spans="1:7">
      <c r="A728">
        <v>727</v>
      </c>
      <c r="B728" t="str">
        <f>"019310"</f>
        <v>0</v>
      </c>
      <c r="C728" t="s">
        <v>1362</v>
      </c>
      <c r="D728" t="s">
        <v>1363</v>
      </c>
      <c r="E728" t="str">
        <f>"3529900026926"</f>
        <v>0</v>
      </c>
      <c r="F728" t="str">
        <f>"000030"</f>
        <v>0</v>
      </c>
      <c r="G728" t="s">
        <v>21</v>
      </c>
    </row>
    <row r="729" spans="1:7">
      <c r="A729">
        <v>728</v>
      </c>
      <c r="B729" t="str">
        <f>"018962"</f>
        <v>0</v>
      </c>
      <c r="C729" t="s">
        <v>1364</v>
      </c>
      <c r="D729" t="s">
        <v>1365</v>
      </c>
      <c r="E729" t="str">
        <f>"3320400546541"</f>
        <v>0</v>
      </c>
      <c r="F729" t="str">
        <f>"000030"</f>
        <v>0</v>
      </c>
      <c r="G729" t="s">
        <v>21</v>
      </c>
    </row>
    <row r="730" spans="1:7">
      <c r="A730">
        <v>729</v>
      </c>
      <c r="B730" t="str">
        <f>"027227"</f>
        <v>0</v>
      </c>
      <c r="C730" t="s">
        <v>1366</v>
      </c>
      <c r="D730" t="s">
        <v>1367</v>
      </c>
      <c r="E730" t="str">
        <f>"1150600080134"</f>
        <v>0</v>
      </c>
      <c r="F730" t="str">
        <f>"000030"</f>
        <v>0</v>
      </c>
      <c r="G730" t="s">
        <v>21</v>
      </c>
    </row>
    <row r="731" spans="1:7">
      <c r="A731">
        <v>730</v>
      </c>
      <c r="B731" t="str">
        <f>"016920"</f>
        <v>0</v>
      </c>
      <c r="C731" t="s">
        <v>832</v>
      </c>
      <c r="D731" t="s">
        <v>1368</v>
      </c>
      <c r="E731" t="str">
        <f>"3540500027889"</f>
        <v>0</v>
      </c>
      <c r="F731" t="str">
        <f>"000030"</f>
        <v>0</v>
      </c>
      <c r="G731" t="s">
        <v>21</v>
      </c>
    </row>
    <row r="732" spans="1:7">
      <c r="A732">
        <v>731</v>
      </c>
      <c r="B732" t="str">
        <f>"020375"</f>
        <v>0</v>
      </c>
      <c r="C732" t="s">
        <v>1369</v>
      </c>
      <c r="D732" t="s">
        <v>1370</v>
      </c>
      <c r="E732" t="str">
        <f>"3102401036737"</f>
        <v>0</v>
      </c>
      <c r="F732" t="str">
        <f>"000030"</f>
        <v>0</v>
      </c>
      <c r="G732" t="s">
        <v>21</v>
      </c>
    </row>
    <row r="733" spans="1:7">
      <c r="A733">
        <v>732</v>
      </c>
      <c r="B733" t="str">
        <f>"020550"</f>
        <v>0</v>
      </c>
      <c r="C733" t="s">
        <v>1229</v>
      </c>
      <c r="D733" t="s">
        <v>1371</v>
      </c>
      <c r="E733" t="str">
        <f>"3330401630236"</f>
        <v>0</v>
      </c>
      <c r="F733" t="str">
        <f>"000030"</f>
        <v>0</v>
      </c>
      <c r="G733" t="s">
        <v>21</v>
      </c>
    </row>
    <row r="734" spans="1:7">
      <c r="A734">
        <v>733</v>
      </c>
      <c r="B734" t="str">
        <f>"021735"</f>
        <v>0</v>
      </c>
      <c r="C734" t="s">
        <v>1372</v>
      </c>
      <c r="D734" t="s">
        <v>1373</v>
      </c>
      <c r="E734" t="str">
        <f>"3610400358670"</f>
        <v>0</v>
      </c>
      <c r="F734" t="str">
        <f>"000030"</f>
        <v>0</v>
      </c>
      <c r="G734" t="s">
        <v>21</v>
      </c>
    </row>
    <row r="735" spans="1:7">
      <c r="A735">
        <v>734</v>
      </c>
      <c r="B735" t="str">
        <f>"022407"</f>
        <v>0</v>
      </c>
      <c r="C735" t="s">
        <v>1374</v>
      </c>
      <c r="D735" t="s">
        <v>1375</v>
      </c>
      <c r="E735" t="str">
        <f>"3939900206246"</f>
        <v>0</v>
      </c>
      <c r="F735" t="str">
        <f>"000030"</f>
        <v>0</v>
      </c>
      <c r="G735" t="s">
        <v>21</v>
      </c>
    </row>
    <row r="736" spans="1:7">
      <c r="A736">
        <v>735</v>
      </c>
      <c r="B736" t="str">
        <f>"023498"</f>
        <v>0</v>
      </c>
      <c r="C736" t="s">
        <v>1376</v>
      </c>
      <c r="D736" t="s">
        <v>1377</v>
      </c>
      <c r="E736" t="str">
        <f>"3102101558371"</f>
        <v>0</v>
      </c>
      <c r="F736" t="str">
        <f>"000030"</f>
        <v>0</v>
      </c>
      <c r="G736" t="s">
        <v>21</v>
      </c>
    </row>
    <row r="737" spans="1:7">
      <c r="A737">
        <v>736</v>
      </c>
      <c r="B737" t="str">
        <f>"023929"</f>
        <v>0</v>
      </c>
      <c r="C737" t="s">
        <v>1378</v>
      </c>
      <c r="D737" t="s">
        <v>1379</v>
      </c>
      <c r="E737" t="str">
        <f>"3100501720409"</f>
        <v>0</v>
      </c>
      <c r="F737" t="str">
        <f>"000030"</f>
        <v>0</v>
      </c>
      <c r="G737" t="s">
        <v>21</v>
      </c>
    </row>
    <row r="738" spans="1:7">
      <c r="A738">
        <v>737</v>
      </c>
      <c r="B738" t="str">
        <f>"025566"</f>
        <v>0</v>
      </c>
      <c r="C738" t="s">
        <v>1380</v>
      </c>
      <c r="D738" t="s">
        <v>1381</v>
      </c>
      <c r="E738" t="str">
        <f>"1930100081843"</f>
        <v>0</v>
      </c>
      <c r="F738" t="str">
        <f>"000030"</f>
        <v>0</v>
      </c>
      <c r="G738" t="s">
        <v>21</v>
      </c>
    </row>
    <row r="739" spans="1:7">
      <c r="A739">
        <v>738</v>
      </c>
      <c r="B739" t="str">
        <f>"027197"</f>
        <v>0</v>
      </c>
      <c r="C739" t="s">
        <v>1382</v>
      </c>
      <c r="D739" t="s">
        <v>1383</v>
      </c>
      <c r="E739" t="str">
        <f>"1709900359862"</f>
        <v>0</v>
      </c>
      <c r="F739" t="str">
        <f>"000030"</f>
        <v>0</v>
      </c>
      <c r="G739" t="s">
        <v>21</v>
      </c>
    </row>
    <row r="740" spans="1:7">
      <c r="A740">
        <v>739</v>
      </c>
      <c r="B740" t="str">
        <f>"027282"</f>
        <v>0</v>
      </c>
      <c r="C740" t="s">
        <v>1384</v>
      </c>
      <c r="D740" t="s">
        <v>1385</v>
      </c>
      <c r="E740" t="str">
        <f>"3100300216053"</f>
        <v>0</v>
      </c>
      <c r="F740" t="str">
        <f>"000030"</f>
        <v>0</v>
      </c>
      <c r="G740" t="s">
        <v>21</v>
      </c>
    </row>
    <row r="741" spans="1:7">
      <c r="A741">
        <v>740</v>
      </c>
      <c r="B741" t="str">
        <f>"020183"</f>
        <v>0</v>
      </c>
      <c r="C741" t="s">
        <v>1386</v>
      </c>
      <c r="D741" t="s">
        <v>1387</v>
      </c>
      <c r="E741" t="str">
        <f>"3430200129920"</f>
        <v>0</v>
      </c>
      <c r="F741" t="str">
        <f>"000030"</f>
        <v>0</v>
      </c>
      <c r="G741" t="s">
        <v>21</v>
      </c>
    </row>
    <row r="742" spans="1:7">
      <c r="A742">
        <v>741</v>
      </c>
      <c r="B742" t="str">
        <f>"023544"</f>
        <v>0</v>
      </c>
      <c r="C742" t="s">
        <v>1388</v>
      </c>
      <c r="D742" t="s">
        <v>1389</v>
      </c>
      <c r="E742" t="str">
        <f>"3100903101428"</f>
        <v>0</v>
      </c>
      <c r="F742" t="str">
        <f>"000030"</f>
        <v>0</v>
      </c>
      <c r="G742" t="s">
        <v>21</v>
      </c>
    </row>
    <row r="743" spans="1:7">
      <c r="A743">
        <v>742</v>
      </c>
      <c r="B743" t="str">
        <f>"023161"</f>
        <v>0</v>
      </c>
      <c r="C743" t="s">
        <v>1390</v>
      </c>
      <c r="D743" t="s">
        <v>1391</v>
      </c>
      <c r="E743" t="str">
        <f>"1102000807621"</f>
        <v>0</v>
      </c>
      <c r="F743" t="str">
        <f>"000030"</f>
        <v>0</v>
      </c>
      <c r="G743" t="s">
        <v>21</v>
      </c>
    </row>
    <row r="744" spans="1:7">
      <c r="A744">
        <v>743</v>
      </c>
      <c r="B744" t="str">
        <f>"023619"</f>
        <v>0</v>
      </c>
      <c r="C744" t="s">
        <v>1392</v>
      </c>
      <c r="D744" t="s">
        <v>1393</v>
      </c>
      <c r="E744" t="str">
        <f>"3100201510131"</f>
        <v>0</v>
      </c>
      <c r="F744" t="str">
        <f>"000030"</f>
        <v>0</v>
      </c>
      <c r="G744" t="s">
        <v>21</v>
      </c>
    </row>
    <row r="745" spans="1:7">
      <c r="A745">
        <v>744</v>
      </c>
      <c r="B745" t="str">
        <f>"024568"</f>
        <v>0</v>
      </c>
      <c r="C745" t="s">
        <v>1394</v>
      </c>
      <c r="D745" t="s">
        <v>1395</v>
      </c>
      <c r="E745" t="str">
        <f>"1103300057636"</f>
        <v>0</v>
      </c>
      <c r="F745" t="str">
        <f>"000030"</f>
        <v>0</v>
      </c>
      <c r="G745" t="s">
        <v>21</v>
      </c>
    </row>
    <row r="746" spans="1:7">
      <c r="A746">
        <v>745</v>
      </c>
      <c r="B746" t="str">
        <f>"023214"</f>
        <v>0</v>
      </c>
      <c r="C746" t="s">
        <v>1396</v>
      </c>
      <c r="D746" t="s">
        <v>1397</v>
      </c>
      <c r="E746" t="str">
        <f>"3260300343259"</f>
        <v>0</v>
      </c>
      <c r="F746" t="str">
        <f>"000030"</f>
        <v>0</v>
      </c>
      <c r="G746" t="s">
        <v>21</v>
      </c>
    </row>
    <row r="747" spans="1:7">
      <c r="A747">
        <v>746</v>
      </c>
      <c r="B747" t="str">
        <f>"019649"</f>
        <v>0</v>
      </c>
      <c r="C747" t="s">
        <v>1398</v>
      </c>
      <c r="D747" t="s">
        <v>1399</v>
      </c>
      <c r="E747" t="str">
        <f>"3330900822106"</f>
        <v>0</v>
      </c>
      <c r="F747" t="str">
        <f>"000030"</f>
        <v>0</v>
      </c>
      <c r="G747" t="s">
        <v>21</v>
      </c>
    </row>
    <row r="748" spans="1:7">
      <c r="A748">
        <v>747</v>
      </c>
      <c r="B748" t="str">
        <f>"025207"</f>
        <v>0</v>
      </c>
      <c r="C748" t="s">
        <v>1400</v>
      </c>
      <c r="D748" t="s">
        <v>1401</v>
      </c>
      <c r="E748" t="str">
        <f>"3450400037191"</f>
        <v>0</v>
      </c>
      <c r="F748" t="str">
        <f>"000030"</f>
        <v>0</v>
      </c>
      <c r="G748" t="s">
        <v>21</v>
      </c>
    </row>
    <row r="749" spans="1:7">
      <c r="A749">
        <v>748</v>
      </c>
      <c r="B749" t="str">
        <f>"025680"</f>
        <v>0</v>
      </c>
      <c r="C749" t="s">
        <v>1402</v>
      </c>
      <c r="D749" t="s">
        <v>1403</v>
      </c>
      <c r="E749" t="str">
        <f>"3500800175727"</f>
        <v>0</v>
      </c>
      <c r="F749" t="str">
        <f>"000030"</f>
        <v>0</v>
      </c>
      <c r="G749" t="s">
        <v>21</v>
      </c>
    </row>
    <row r="750" spans="1:7">
      <c r="A750">
        <v>749</v>
      </c>
      <c r="B750" t="str">
        <f>"019348"</f>
        <v>0</v>
      </c>
      <c r="C750" t="s">
        <v>1404</v>
      </c>
      <c r="D750" t="s">
        <v>1405</v>
      </c>
      <c r="E750" t="str">
        <f>"3150500019138"</f>
        <v>0</v>
      </c>
      <c r="F750" t="str">
        <f>"000030"</f>
        <v>0</v>
      </c>
      <c r="G750" t="s">
        <v>21</v>
      </c>
    </row>
    <row r="751" spans="1:7">
      <c r="A751">
        <v>750</v>
      </c>
      <c r="B751" t="str">
        <f>"011468"</f>
        <v>0</v>
      </c>
      <c r="C751" t="s">
        <v>1406</v>
      </c>
      <c r="D751" t="s">
        <v>1407</v>
      </c>
      <c r="E751" t="str">
        <f>"3180600158857"</f>
        <v>0</v>
      </c>
      <c r="F751" t="str">
        <f>"000030"</f>
        <v>0</v>
      </c>
      <c r="G751" t="s">
        <v>21</v>
      </c>
    </row>
    <row r="752" spans="1:7">
      <c r="A752">
        <v>751</v>
      </c>
      <c r="B752" t="str">
        <f>"014087"</f>
        <v>0</v>
      </c>
      <c r="C752" t="s">
        <v>1408</v>
      </c>
      <c r="D752" t="s">
        <v>1409</v>
      </c>
      <c r="E752" t="str">
        <f>"3520100692877"</f>
        <v>0</v>
      </c>
      <c r="F752" t="str">
        <f>"000030"</f>
        <v>0</v>
      </c>
      <c r="G752" t="s">
        <v>21</v>
      </c>
    </row>
    <row r="753" spans="1:7">
      <c r="A753">
        <v>752</v>
      </c>
      <c r="B753" t="str">
        <f>"014869"</f>
        <v>0</v>
      </c>
      <c r="C753" t="s">
        <v>1410</v>
      </c>
      <c r="D753" t="s">
        <v>1230</v>
      </c>
      <c r="E753" t="str">
        <f>"3100500114076"</f>
        <v>0</v>
      </c>
      <c r="F753" t="str">
        <f>"000030"</f>
        <v>0</v>
      </c>
      <c r="G753" t="s">
        <v>21</v>
      </c>
    </row>
    <row r="754" spans="1:7">
      <c r="A754">
        <v>753</v>
      </c>
      <c r="B754" t="str">
        <f>"015124"</f>
        <v>0</v>
      </c>
      <c r="C754" t="s">
        <v>1411</v>
      </c>
      <c r="D754" t="s">
        <v>1412</v>
      </c>
      <c r="E754" t="str">
        <f>"3220100334884"</f>
        <v>0</v>
      </c>
      <c r="F754" t="str">
        <f>"000030"</f>
        <v>0</v>
      </c>
      <c r="G754" t="s">
        <v>21</v>
      </c>
    </row>
    <row r="755" spans="1:7">
      <c r="A755">
        <v>754</v>
      </c>
      <c r="B755" t="str">
        <f>"016709"</f>
        <v>0</v>
      </c>
      <c r="C755" t="s">
        <v>1413</v>
      </c>
      <c r="D755" t="s">
        <v>1414</v>
      </c>
      <c r="E755" t="str">
        <f>"3601000216780"</f>
        <v>0</v>
      </c>
      <c r="F755" t="str">
        <f>"000030"</f>
        <v>0</v>
      </c>
      <c r="G755" t="s">
        <v>21</v>
      </c>
    </row>
    <row r="756" spans="1:7">
      <c r="A756">
        <v>755</v>
      </c>
      <c r="B756" t="str">
        <f>"018201"</f>
        <v>0</v>
      </c>
      <c r="C756" t="s">
        <v>1415</v>
      </c>
      <c r="D756" t="s">
        <v>1416</v>
      </c>
      <c r="E756" t="str">
        <f>"3100500808159"</f>
        <v>0</v>
      </c>
      <c r="F756" t="str">
        <f>"000030"</f>
        <v>0</v>
      </c>
      <c r="G756" t="s">
        <v>21</v>
      </c>
    </row>
    <row r="757" spans="1:7">
      <c r="A757">
        <v>756</v>
      </c>
      <c r="B757" t="str">
        <f>"019248"</f>
        <v>0</v>
      </c>
      <c r="C757" t="s">
        <v>1417</v>
      </c>
      <c r="D757" t="s">
        <v>1418</v>
      </c>
      <c r="E757" t="str">
        <f>"3100900019631"</f>
        <v>0</v>
      </c>
      <c r="F757" t="str">
        <f>"000030"</f>
        <v>0</v>
      </c>
      <c r="G757" t="s">
        <v>21</v>
      </c>
    </row>
    <row r="758" spans="1:7">
      <c r="A758">
        <v>757</v>
      </c>
      <c r="B758" t="str">
        <f>"020022"</f>
        <v>0</v>
      </c>
      <c r="C758" t="s">
        <v>1419</v>
      </c>
      <c r="D758" t="s">
        <v>1420</v>
      </c>
      <c r="E758" t="str">
        <f>"3260300120535"</f>
        <v>0</v>
      </c>
      <c r="F758" t="str">
        <f>"000030"</f>
        <v>0</v>
      </c>
      <c r="G758" t="s">
        <v>21</v>
      </c>
    </row>
    <row r="759" spans="1:7">
      <c r="A759">
        <v>758</v>
      </c>
      <c r="B759" t="str">
        <f>"021577"</f>
        <v>0</v>
      </c>
      <c r="C759" t="s">
        <v>1421</v>
      </c>
      <c r="D759" t="s">
        <v>1422</v>
      </c>
      <c r="E759" t="str">
        <f>"3260300609348"</f>
        <v>0</v>
      </c>
      <c r="F759" t="str">
        <f>"000030"</f>
        <v>0</v>
      </c>
      <c r="G759" t="s">
        <v>21</v>
      </c>
    </row>
    <row r="760" spans="1:7">
      <c r="A760">
        <v>759</v>
      </c>
      <c r="B760" t="str">
        <f>"024226"</f>
        <v>0</v>
      </c>
      <c r="C760" t="s">
        <v>1423</v>
      </c>
      <c r="D760" t="s">
        <v>1424</v>
      </c>
      <c r="E760" t="str">
        <f>"3100200814048"</f>
        <v>0</v>
      </c>
      <c r="F760" t="str">
        <f>"000030"</f>
        <v>0</v>
      </c>
      <c r="G760" t="s">
        <v>21</v>
      </c>
    </row>
    <row r="761" spans="1:7">
      <c r="A761">
        <v>760</v>
      </c>
      <c r="B761" t="str">
        <f>"025567"</f>
        <v>0</v>
      </c>
      <c r="C761" t="s">
        <v>1425</v>
      </c>
      <c r="D761" t="s">
        <v>1426</v>
      </c>
      <c r="E761" t="str">
        <f>"3930200028720"</f>
        <v>0</v>
      </c>
      <c r="F761" t="str">
        <f>"000030"</f>
        <v>0</v>
      </c>
      <c r="G761" t="s">
        <v>21</v>
      </c>
    </row>
    <row r="762" spans="1:7">
      <c r="A762">
        <v>761</v>
      </c>
      <c r="B762" t="str">
        <f>"026071"</f>
        <v>0</v>
      </c>
      <c r="C762" t="s">
        <v>1427</v>
      </c>
      <c r="D762" t="s">
        <v>1428</v>
      </c>
      <c r="E762" t="str">
        <f>"1103700527109"</f>
        <v>0</v>
      </c>
      <c r="F762" t="str">
        <f>"000030"</f>
        <v>0</v>
      </c>
      <c r="G762" t="s">
        <v>21</v>
      </c>
    </row>
    <row r="763" spans="1:7">
      <c r="A763">
        <v>762</v>
      </c>
      <c r="B763" t="str">
        <f>"026072"</f>
        <v>0</v>
      </c>
      <c r="C763" t="s">
        <v>1429</v>
      </c>
      <c r="D763" t="s">
        <v>1430</v>
      </c>
      <c r="E763" t="str">
        <f>"1819900147121"</f>
        <v>0</v>
      </c>
      <c r="F763" t="str">
        <f>"000030"</f>
        <v>0</v>
      </c>
      <c r="G763" t="s">
        <v>21</v>
      </c>
    </row>
    <row r="764" spans="1:7">
      <c r="A764">
        <v>763</v>
      </c>
      <c r="B764" t="str">
        <f>"026195"</f>
        <v>0</v>
      </c>
      <c r="C764" t="s">
        <v>1431</v>
      </c>
      <c r="D764" t="s">
        <v>1432</v>
      </c>
      <c r="E764" t="str">
        <f>"1103300077653"</f>
        <v>0</v>
      </c>
      <c r="F764" t="str">
        <f>"000030"</f>
        <v>0</v>
      </c>
      <c r="G764" t="s">
        <v>21</v>
      </c>
    </row>
    <row r="765" spans="1:7">
      <c r="A765">
        <v>764</v>
      </c>
      <c r="B765" t="str">
        <f>"020373"</f>
        <v>0</v>
      </c>
      <c r="C765" t="s">
        <v>1433</v>
      </c>
      <c r="D765" t="s">
        <v>1434</v>
      </c>
      <c r="E765" t="str">
        <f>"3120100631090"</f>
        <v>0</v>
      </c>
      <c r="F765" t="str">
        <f>"000030"</f>
        <v>0</v>
      </c>
      <c r="G765" t="s">
        <v>21</v>
      </c>
    </row>
    <row r="766" spans="1:7">
      <c r="A766">
        <v>765</v>
      </c>
      <c r="B766" t="str">
        <f>"026059"</f>
        <v>0</v>
      </c>
      <c r="C766" t="s">
        <v>1104</v>
      </c>
      <c r="D766" t="s">
        <v>1435</v>
      </c>
      <c r="E766" t="str">
        <f>"3120600477766"</f>
        <v>0</v>
      </c>
      <c r="F766" t="str">
        <f>"000030"</f>
        <v>0</v>
      </c>
      <c r="G766" t="s">
        <v>21</v>
      </c>
    </row>
    <row r="767" spans="1:7">
      <c r="A767">
        <v>766</v>
      </c>
      <c r="B767" t="str">
        <f>"026286"</f>
        <v>0</v>
      </c>
      <c r="C767" t="s">
        <v>1436</v>
      </c>
      <c r="D767" t="s">
        <v>1437</v>
      </c>
      <c r="E767" t="str">
        <f>"1199900367933"</f>
        <v>0</v>
      </c>
      <c r="F767" t="str">
        <f>"000030"</f>
        <v>0</v>
      </c>
      <c r="G767" t="s">
        <v>21</v>
      </c>
    </row>
    <row r="768" spans="1:7">
      <c r="A768">
        <v>767</v>
      </c>
      <c r="B768" t="str">
        <f>"022186"</f>
        <v>0</v>
      </c>
      <c r="C768" t="s">
        <v>1438</v>
      </c>
      <c r="D768" t="s">
        <v>1439</v>
      </c>
      <c r="E768" t="str">
        <f>"3760500460670"</f>
        <v>0</v>
      </c>
      <c r="F768" t="str">
        <f>"000030"</f>
        <v>0</v>
      </c>
      <c r="G768" t="s">
        <v>21</v>
      </c>
    </row>
    <row r="769" spans="1:7">
      <c r="A769">
        <v>768</v>
      </c>
      <c r="B769" t="str">
        <f>"022625"</f>
        <v>0</v>
      </c>
      <c r="C769" t="s">
        <v>1200</v>
      </c>
      <c r="D769" t="s">
        <v>1440</v>
      </c>
      <c r="E769" t="str">
        <f>"1330400063099"</f>
        <v>0</v>
      </c>
      <c r="F769" t="str">
        <f>"000030"</f>
        <v>0</v>
      </c>
      <c r="G769" t="s">
        <v>21</v>
      </c>
    </row>
    <row r="770" spans="1:7">
      <c r="A770">
        <v>769</v>
      </c>
      <c r="B770" t="str">
        <f>"015939"</f>
        <v>0</v>
      </c>
      <c r="C770" t="s">
        <v>1441</v>
      </c>
      <c r="D770" t="s">
        <v>1442</v>
      </c>
      <c r="E770" t="str">
        <f>"3410900353768"</f>
        <v>0</v>
      </c>
      <c r="F770" t="str">
        <f>"000030"</f>
        <v>0</v>
      </c>
      <c r="G770" t="s">
        <v>21</v>
      </c>
    </row>
    <row r="771" spans="1:7">
      <c r="A771">
        <v>770</v>
      </c>
      <c r="B771" t="str">
        <f>"026633"</f>
        <v>0</v>
      </c>
      <c r="C771" t="s">
        <v>1443</v>
      </c>
      <c r="D771" t="s">
        <v>1444</v>
      </c>
      <c r="E771" t="str">
        <f>"1600100191846"</f>
        <v>0</v>
      </c>
      <c r="F771" t="str">
        <f>"000030"</f>
        <v>0</v>
      </c>
      <c r="G771" t="s">
        <v>21</v>
      </c>
    </row>
    <row r="772" spans="1:7">
      <c r="A772">
        <v>771</v>
      </c>
      <c r="B772" t="str">
        <f>"017842"</f>
        <v>0</v>
      </c>
      <c r="C772" t="s">
        <v>1445</v>
      </c>
      <c r="D772" t="s">
        <v>1446</v>
      </c>
      <c r="E772" t="str">
        <f>"3409900846266"</f>
        <v>0</v>
      </c>
      <c r="F772" t="str">
        <f>"000030"</f>
        <v>0</v>
      </c>
      <c r="G772" t="s">
        <v>21</v>
      </c>
    </row>
    <row r="773" spans="1:7">
      <c r="A773">
        <v>772</v>
      </c>
      <c r="B773" t="str">
        <f>"023806"</f>
        <v>0</v>
      </c>
      <c r="C773" t="s">
        <v>1447</v>
      </c>
      <c r="D773" t="s">
        <v>1448</v>
      </c>
      <c r="E773" t="str">
        <f>"1102000080160"</f>
        <v>0</v>
      </c>
      <c r="F773" t="str">
        <f>"000030"</f>
        <v>0</v>
      </c>
      <c r="G773" t="s">
        <v>21</v>
      </c>
    </row>
    <row r="774" spans="1:7">
      <c r="A774">
        <v>773</v>
      </c>
      <c r="B774" t="str">
        <f>"014645"</f>
        <v>0</v>
      </c>
      <c r="C774" t="s">
        <v>1449</v>
      </c>
      <c r="D774" t="s">
        <v>1450</v>
      </c>
      <c r="E774" t="str">
        <f>"3240100823061"</f>
        <v>0</v>
      </c>
      <c r="F774" t="str">
        <f>"000030"</f>
        <v>0</v>
      </c>
      <c r="G774" t="s">
        <v>21</v>
      </c>
    </row>
    <row r="775" spans="1:7">
      <c r="A775">
        <v>774</v>
      </c>
      <c r="B775" t="str">
        <f>"018135"</f>
        <v>0</v>
      </c>
      <c r="C775" t="s">
        <v>767</v>
      </c>
      <c r="D775" t="s">
        <v>1451</v>
      </c>
      <c r="E775" t="str">
        <f>"3100502259225"</f>
        <v>0</v>
      </c>
      <c r="F775" t="str">
        <f>"000030"</f>
        <v>0</v>
      </c>
      <c r="G775" t="s">
        <v>21</v>
      </c>
    </row>
    <row r="776" spans="1:7">
      <c r="A776">
        <v>775</v>
      </c>
      <c r="B776" t="str">
        <f>"017191"</f>
        <v>0</v>
      </c>
      <c r="C776" t="s">
        <v>1452</v>
      </c>
      <c r="D776" t="s">
        <v>1453</v>
      </c>
      <c r="E776" t="str">
        <f>"3140400145875"</f>
        <v>0</v>
      </c>
      <c r="F776" t="str">
        <f>"000030"</f>
        <v>0</v>
      </c>
      <c r="G776" t="s">
        <v>21</v>
      </c>
    </row>
    <row r="777" spans="1:7">
      <c r="A777">
        <v>776</v>
      </c>
      <c r="B777" t="str">
        <f>"013425"</f>
        <v>0</v>
      </c>
      <c r="C777" t="s">
        <v>1454</v>
      </c>
      <c r="D777" t="s">
        <v>1455</v>
      </c>
      <c r="E777" t="str">
        <f>"3100200201208"</f>
        <v>0</v>
      </c>
      <c r="F777" t="str">
        <f>"000030"</f>
        <v>0</v>
      </c>
      <c r="G777" t="s">
        <v>21</v>
      </c>
    </row>
    <row r="778" spans="1:7">
      <c r="A778">
        <v>777</v>
      </c>
      <c r="B778" t="str">
        <f>"018890"</f>
        <v>0</v>
      </c>
      <c r="C778" t="s">
        <v>1456</v>
      </c>
      <c r="D778" t="s">
        <v>1457</v>
      </c>
      <c r="E778" t="str">
        <f>"3629900076493"</f>
        <v>0</v>
      </c>
      <c r="F778" t="str">
        <f>"000030"</f>
        <v>0</v>
      </c>
      <c r="G778" t="s">
        <v>21</v>
      </c>
    </row>
    <row r="779" spans="1:7">
      <c r="A779">
        <v>778</v>
      </c>
      <c r="B779" t="str">
        <f>"019298"</f>
        <v>0</v>
      </c>
      <c r="C779" t="s">
        <v>1458</v>
      </c>
      <c r="D779" t="s">
        <v>1459</v>
      </c>
      <c r="E779" t="str">
        <f>"3100602951759"</f>
        <v>0</v>
      </c>
      <c r="F779" t="str">
        <f>"000030"</f>
        <v>0</v>
      </c>
      <c r="G779" t="s">
        <v>21</v>
      </c>
    </row>
    <row r="780" spans="1:7">
      <c r="A780">
        <v>779</v>
      </c>
      <c r="B780" t="str">
        <f>"020522"</f>
        <v>0</v>
      </c>
      <c r="C780" t="s">
        <v>1460</v>
      </c>
      <c r="D780" t="s">
        <v>1461</v>
      </c>
      <c r="E780" t="str">
        <f>"3100203486360"</f>
        <v>0</v>
      </c>
      <c r="F780" t="str">
        <f>"000030"</f>
        <v>0</v>
      </c>
      <c r="G780" t="s">
        <v>21</v>
      </c>
    </row>
    <row r="781" spans="1:7">
      <c r="A781">
        <v>780</v>
      </c>
      <c r="B781" t="str">
        <f>"022036"</f>
        <v>0</v>
      </c>
      <c r="C781" t="s">
        <v>1462</v>
      </c>
      <c r="D781" t="s">
        <v>1463</v>
      </c>
      <c r="E781" t="str">
        <f>"3250900160261"</f>
        <v>0</v>
      </c>
      <c r="F781" t="str">
        <f>"000030"</f>
        <v>0</v>
      </c>
      <c r="G781" t="s">
        <v>21</v>
      </c>
    </row>
    <row r="782" spans="1:7">
      <c r="A782">
        <v>781</v>
      </c>
      <c r="B782" t="str">
        <f>"022073"</f>
        <v>0</v>
      </c>
      <c r="C782" t="s">
        <v>1464</v>
      </c>
      <c r="D782" t="s">
        <v>1465</v>
      </c>
      <c r="E782" t="str">
        <f>"3100701000311"</f>
        <v>0</v>
      </c>
      <c r="F782" t="str">
        <f>"000030"</f>
        <v>0</v>
      </c>
      <c r="G782" t="s">
        <v>21</v>
      </c>
    </row>
    <row r="783" spans="1:7">
      <c r="A783">
        <v>782</v>
      </c>
      <c r="B783" t="str">
        <f>"022643"</f>
        <v>0</v>
      </c>
      <c r="C783" t="s">
        <v>1466</v>
      </c>
      <c r="D783" t="s">
        <v>1467</v>
      </c>
      <c r="E783" t="str">
        <f>"3840300176187"</f>
        <v>0</v>
      </c>
      <c r="F783" t="str">
        <f>"000030"</f>
        <v>0</v>
      </c>
      <c r="G783" t="s">
        <v>21</v>
      </c>
    </row>
    <row r="784" spans="1:7">
      <c r="A784">
        <v>783</v>
      </c>
      <c r="B784" t="str">
        <f>"023164"</f>
        <v>0</v>
      </c>
      <c r="C784" t="s">
        <v>1468</v>
      </c>
      <c r="D784" t="s">
        <v>1469</v>
      </c>
      <c r="E784" t="str">
        <f>"1260200031313"</f>
        <v>0</v>
      </c>
      <c r="F784" t="str">
        <f>"000030"</f>
        <v>0</v>
      </c>
      <c r="G784" t="s">
        <v>21</v>
      </c>
    </row>
    <row r="785" spans="1:7">
      <c r="A785">
        <v>784</v>
      </c>
      <c r="B785" t="str">
        <f>"024004"</f>
        <v>0</v>
      </c>
      <c r="C785" t="s">
        <v>1470</v>
      </c>
      <c r="D785" t="s">
        <v>1471</v>
      </c>
      <c r="E785" t="str">
        <f>"1101400698909"</f>
        <v>0</v>
      </c>
      <c r="F785" t="str">
        <f>"000030"</f>
        <v>0</v>
      </c>
      <c r="G785" t="s">
        <v>21</v>
      </c>
    </row>
    <row r="786" spans="1:7">
      <c r="A786">
        <v>785</v>
      </c>
      <c r="B786" t="str">
        <f>"024454"</f>
        <v>0</v>
      </c>
      <c r="C786" t="s">
        <v>1472</v>
      </c>
      <c r="D786" t="s">
        <v>1473</v>
      </c>
      <c r="E786" t="str">
        <f>"1369900006165"</f>
        <v>0</v>
      </c>
      <c r="F786" t="str">
        <f>"000030"</f>
        <v>0</v>
      </c>
      <c r="G786" t="s">
        <v>21</v>
      </c>
    </row>
    <row r="787" spans="1:7">
      <c r="A787">
        <v>786</v>
      </c>
      <c r="B787" t="str">
        <f>"024599"</f>
        <v>0</v>
      </c>
      <c r="C787" t="s">
        <v>1474</v>
      </c>
      <c r="D787" t="s">
        <v>1475</v>
      </c>
      <c r="E787" t="str">
        <f>"1101400510560"</f>
        <v>0</v>
      </c>
      <c r="F787" t="str">
        <f>"000030"</f>
        <v>0</v>
      </c>
      <c r="G787" t="s">
        <v>21</v>
      </c>
    </row>
    <row r="788" spans="1:7">
      <c r="A788">
        <v>787</v>
      </c>
      <c r="B788" t="str">
        <f>"024913"</f>
        <v>0</v>
      </c>
      <c r="C788" t="s">
        <v>1476</v>
      </c>
      <c r="D788" t="s">
        <v>1477</v>
      </c>
      <c r="E788" t="str">
        <f>"1709900019727"</f>
        <v>0</v>
      </c>
      <c r="F788" t="str">
        <f>"000030"</f>
        <v>0</v>
      </c>
      <c r="G788" t="s">
        <v>21</v>
      </c>
    </row>
    <row r="789" spans="1:7">
      <c r="A789">
        <v>788</v>
      </c>
      <c r="B789" t="str">
        <f>"021860"</f>
        <v>0</v>
      </c>
      <c r="C789" t="s">
        <v>1478</v>
      </c>
      <c r="D789" t="s">
        <v>1479</v>
      </c>
      <c r="E789" t="str">
        <f>"3100200981947"</f>
        <v>0</v>
      </c>
      <c r="F789" t="str">
        <f>"000030"</f>
        <v>0</v>
      </c>
      <c r="G789" t="s">
        <v>21</v>
      </c>
    </row>
    <row r="790" spans="1:7">
      <c r="A790">
        <v>789</v>
      </c>
      <c r="B790" t="str">
        <f>"021973"</f>
        <v>0</v>
      </c>
      <c r="C790" t="s">
        <v>1480</v>
      </c>
      <c r="D790" t="s">
        <v>1481</v>
      </c>
      <c r="E790" t="str">
        <f>"3801500138131"</f>
        <v>0</v>
      </c>
      <c r="F790" t="str">
        <f>"000030"</f>
        <v>0</v>
      </c>
      <c r="G790" t="s">
        <v>21</v>
      </c>
    </row>
    <row r="791" spans="1:7">
      <c r="A791">
        <v>790</v>
      </c>
      <c r="B791" t="str">
        <f>"019529"</f>
        <v>0</v>
      </c>
      <c r="C791" t="s">
        <v>1482</v>
      </c>
      <c r="D791" t="s">
        <v>1483</v>
      </c>
      <c r="E791" t="str">
        <f>"3100500118241"</f>
        <v>0</v>
      </c>
      <c r="F791" t="str">
        <f>"000030"</f>
        <v>0</v>
      </c>
      <c r="G791" t="s">
        <v>21</v>
      </c>
    </row>
    <row r="792" spans="1:7">
      <c r="A792">
        <v>791</v>
      </c>
      <c r="B792" t="str">
        <f>"022932"</f>
        <v>0</v>
      </c>
      <c r="C792" t="s">
        <v>1484</v>
      </c>
      <c r="D792" t="s">
        <v>1485</v>
      </c>
      <c r="E792" t="str">
        <f>"3100502601292"</f>
        <v>0</v>
      </c>
      <c r="F792" t="str">
        <f>"000030"</f>
        <v>0</v>
      </c>
      <c r="G792" t="s">
        <v>21</v>
      </c>
    </row>
    <row r="793" spans="1:7">
      <c r="A793">
        <v>792</v>
      </c>
      <c r="B793" t="str">
        <f>"022720"</f>
        <v>0</v>
      </c>
      <c r="C793" t="s">
        <v>1486</v>
      </c>
      <c r="D793" t="s">
        <v>1487</v>
      </c>
      <c r="E793" t="str">
        <f>"5301600031542"</f>
        <v>0</v>
      </c>
      <c r="F793" t="str">
        <f>"000030"</f>
        <v>0</v>
      </c>
      <c r="G793" t="s">
        <v>21</v>
      </c>
    </row>
    <row r="794" spans="1:7">
      <c r="A794">
        <v>793</v>
      </c>
      <c r="B794" t="str">
        <f>"026559"</f>
        <v>0</v>
      </c>
      <c r="C794" t="s">
        <v>1488</v>
      </c>
      <c r="D794" t="s">
        <v>1489</v>
      </c>
      <c r="E794" t="str">
        <f>"1539900172080"</f>
        <v>0</v>
      </c>
      <c r="F794" t="str">
        <f>"000030"</f>
        <v>0</v>
      </c>
      <c r="G794" t="s">
        <v>21</v>
      </c>
    </row>
    <row r="795" spans="1:7">
      <c r="A795">
        <v>794</v>
      </c>
      <c r="B795" t="str">
        <f>"020855"</f>
        <v>0</v>
      </c>
      <c r="C795" t="s">
        <v>1490</v>
      </c>
      <c r="D795" t="s">
        <v>1491</v>
      </c>
      <c r="E795" t="str">
        <f>"3719900299858"</f>
        <v>0</v>
      </c>
      <c r="F795" t="str">
        <f>"000030"</f>
        <v>0</v>
      </c>
      <c r="G795" t="s">
        <v>21</v>
      </c>
    </row>
    <row r="796" spans="1:7">
      <c r="A796">
        <v>795</v>
      </c>
      <c r="B796" t="str">
        <f>"025701"</f>
        <v>0</v>
      </c>
      <c r="C796" t="s">
        <v>1492</v>
      </c>
      <c r="D796" t="s">
        <v>1493</v>
      </c>
      <c r="E796" t="str">
        <f>"3770200004270"</f>
        <v>0</v>
      </c>
      <c r="F796" t="str">
        <f>"000030"</f>
        <v>0</v>
      </c>
      <c r="G796" t="s">
        <v>21</v>
      </c>
    </row>
    <row r="797" spans="1:7">
      <c r="A797">
        <v>796</v>
      </c>
      <c r="B797" t="str">
        <f>"026517"</f>
        <v>0</v>
      </c>
      <c r="C797" t="s">
        <v>1494</v>
      </c>
      <c r="D797" t="s">
        <v>1495</v>
      </c>
      <c r="E797" t="str">
        <f>"3730200201245"</f>
        <v>0</v>
      </c>
      <c r="F797" t="str">
        <f>"000030"</f>
        <v>0</v>
      </c>
      <c r="G797" t="s">
        <v>21</v>
      </c>
    </row>
    <row r="798" spans="1:7">
      <c r="A798">
        <v>797</v>
      </c>
      <c r="B798" t="str">
        <f>"024071"</f>
        <v>0</v>
      </c>
      <c r="C798" t="s">
        <v>1496</v>
      </c>
      <c r="D798" t="s">
        <v>1497</v>
      </c>
      <c r="E798" t="str">
        <f>"2939900006699"</f>
        <v>0</v>
      </c>
      <c r="F798" t="str">
        <f>"000030"</f>
        <v>0</v>
      </c>
      <c r="G798" t="s">
        <v>21</v>
      </c>
    </row>
    <row r="799" spans="1:7">
      <c r="A799">
        <v>798</v>
      </c>
      <c r="B799" t="str">
        <f>"016932"</f>
        <v>0</v>
      </c>
      <c r="C799" t="s">
        <v>1498</v>
      </c>
      <c r="D799" t="s">
        <v>1022</v>
      </c>
      <c r="E799" t="str">
        <f>"3100300104107"</f>
        <v>0</v>
      </c>
      <c r="F799" t="str">
        <f>"000030"</f>
        <v>0</v>
      </c>
      <c r="G799" t="s">
        <v>21</v>
      </c>
    </row>
    <row r="800" spans="1:7">
      <c r="A800">
        <v>799</v>
      </c>
      <c r="B800" t="str">
        <f>"018356"</f>
        <v>0</v>
      </c>
      <c r="C800" t="s">
        <v>1499</v>
      </c>
      <c r="D800" t="s">
        <v>1500</v>
      </c>
      <c r="E800" t="str">
        <f>"3700700158284"</f>
        <v>0</v>
      </c>
      <c r="F800" t="str">
        <f>"000030"</f>
        <v>0</v>
      </c>
      <c r="G800" t="s">
        <v>21</v>
      </c>
    </row>
    <row r="801" spans="1:7">
      <c r="A801">
        <v>800</v>
      </c>
      <c r="B801" t="str">
        <f>"018959"</f>
        <v>0</v>
      </c>
      <c r="C801" t="s">
        <v>692</v>
      </c>
      <c r="D801" t="s">
        <v>1501</v>
      </c>
      <c r="E801" t="str">
        <f>"3102000819081"</f>
        <v>0</v>
      </c>
      <c r="F801" t="str">
        <f>"000030"</f>
        <v>0</v>
      </c>
      <c r="G801" t="s">
        <v>21</v>
      </c>
    </row>
    <row r="802" spans="1:7">
      <c r="A802">
        <v>801</v>
      </c>
      <c r="B802" t="str">
        <f>"018243"</f>
        <v>0</v>
      </c>
      <c r="C802" t="s">
        <v>1502</v>
      </c>
      <c r="D802" t="s">
        <v>1503</v>
      </c>
      <c r="E802" t="str">
        <f>"3120100043821"</f>
        <v>0</v>
      </c>
      <c r="F802" t="str">
        <f>"000030"</f>
        <v>0</v>
      </c>
      <c r="G802" t="s">
        <v>21</v>
      </c>
    </row>
    <row r="803" spans="1:7">
      <c r="A803">
        <v>802</v>
      </c>
      <c r="B803" t="str">
        <f>"017426"</f>
        <v>0</v>
      </c>
      <c r="C803" t="s">
        <v>1504</v>
      </c>
      <c r="D803" t="s">
        <v>1505</v>
      </c>
      <c r="E803" t="str">
        <f>"3150500223215"</f>
        <v>0</v>
      </c>
      <c r="F803" t="str">
        <f>"000030"</f>
        <v>0</v>
      </c>
      <c r="G803" t="s">
        <v>21</v>
      </c>
    </row>
    <row r="804" spans="1:7">
      <c r="A804">
        <v>803</v>
      </c>
      <c r="B804" t="str">
        <f>"018567"</f>
        <v>0</v>
      </c>
      <c r="C804" t="s">
        <v>1506</v>
      </c>
      <c r="D804" t="s">
        <v>1507</v>
      </c>
      <c r="E804" t="str">
        <f>"3770200425593"</f>
        <v>0</v>
      </c>
      <c r="F804" t="str">
        <f>"000030"</f>
        <v>0</v>
      </c>
      <c r="G804" t="s">
        <v>21</v>
      </c>
    </row>
    <row r="805" spans="1:7">
      <c r="A805">
        <v>804</v>
      </c>
      <c r="B805" t="str">
        <f>"018746"</f>
        <v>0</v>
      </c>
      <c r="C805" t="s">
        <v>1508</v>
      </c>
      <c r="D805" t="s">
        <v>1509</v>
      </c>
      <c r="E805" t="str">
        <f>"3100602014691"</f>
        <v>0</v>
      </c>
      <c r="F805" t="str">
        <f>"000030"</f>
        <v>0</v>
      </c>
      <c r="G805" t="s">
        <v>21</v>
      </c>
    </row>
    <row r="806" spans="1:7">
      <c r="A806">
        <v>805</v>
      </c>
      <c r="B806" t="str">
        <f>"020848"</f>
        <v>0</v>
      </c>
      <c r="C806" t="s">
        <v>1510</v>
      </c>
      <c r="D806" t="s">
        <v>1511</v>
      </c>
      <c r="E806" t="str">
        <f>"3101800207194"</f>
        <v>0</v>
      </c>
      <c r="F806" t="str">
        <f>"000030"</f>
        <v>0</v>
      </c>
      <c r="G806" t="s">
        <v>21</v>
      </c>
    </row>
    <row r="807" spans="1:7">
      <c r="A807">
        <v>806</v>
      </c>
      <c r="B807" t="str">
        <f>"023406"</f>
        <v>0</v>
      </c>
      <c r="C807" t="s">
        <v>1512</v>
      </c>
      <c r="D807" t="s">
        <v>1513</v>
      </c>
      <c r="E807" t="str">
        <f>"1249800008515"</f>
        <v>0</v>
      </c>
      <c r="F807" t="str">
        <f>"000030"</f>
        <v>0</v>
      </c>
      <c r="G807" t="s">
        <v>21</v>
      </c>
    </row>
    <row r="808" spans="1:7">
      <c r="A808">
        <v>807</v>
      </c>
      <c r="B808" t="str">
        <f>"023634"</f>
        <v>0</v>
      </c>
      <c r="C808" t="s">
        <v>1514</v>
      </c>
      <c r="D808" t="s">
        <v>1515</v>
      </c>
      <c r="E808" t="str">
        <f>"3301501065361"</f>
        <v>0</v>
      </c>
      <c r="F808" t="str">
        <f>"000030"</f>
        <v>0</v>
      </c>
      <c r="G808" t="s">
        <v>21</v>
      </c>
    </row>
    <row r="809" spans="1:7">
      <c r="A809">
        <v>808</v>
      </c>
      <c r="B809" t="str">
        <f>"024317"</f>
        <v>0</v>
      </c>
      <c r="C809" t="s">
        <v>1516</v>
      </c>
      <c r="D809" t="s">
        <v>1517</v>
      </c>
      <c r="E809" t="str">
        <f>"1100500080558"</f>
        <v>0</v>
      </c>
      <c r="F809" t="str">
        <f>"000030"</f>
        <v>0</v>
      </c>
      <c r="G809" t="s">
        <v>21</v>
      </c>
    </row>
    <row r="810" spans="1:7">
      <c r="A810">
        <v>809</v>
      </c>
      <c r="B810" t="str">
        <f>"025723"</f>
        <v>0</v>
      </c>
      <c r="C810" t="s">
        <v>1518</v>
      </c>
      <c r="D810" t="s">
        <v>1519</v>
      </c>
      <c r="E810" t="str">
        <f>"1100501053937"</f>
        <v>0</v>
      </c>
      <c r="F810" t="str">
        <f>"000030"</f>
        <v>0</v>
      </c>
      <c r="G810" t="s">
        <v>21</v>
      </c>
    </row>
    <row r="811" spans="1:7">
      <c r="A811">
        <v>810</v>
      </c>
      <c r="B811" t="str">
        <f>"026664"</f>
        <v>0</v>
      </c>
      <c r="C811" t="s">
        <v>1520</v>
      </c>
      <c r="D811" t="s">
        <v>1521</v>
      </c>
      <c r="E811" t="str">
        <f>"3160100120770"</f>
        <v>0</v>
      </c>
      <c r="F811" t="str">
        <f>"000030"</f>
        <v>0</v>
      </c>
      <c r="G811" t="s">
        <v>21</v>
      </c>
    </row>
    <row r="812" spans="1:7">
      <c r="A812">
        <v>811</v>
      </c>
      <c r="B812" t="str">
        <f>"027302"</f>
        <v>0</v>
      </c>
      <c r="C812" t="s">
        <v>1522</v>
      </c>
      <c r="D812" t="s">
        <v>1523</v>
      </c>
      <c r="E812" t="str">
        <f>"3939900189783"</f>
        <v>0</v>
      </c>
      <c r="F812" t="str">
        <f>"000030"</f>
        <v>0</v>
      </c>
      <c r="G812" t="s">
        <v>21</v>
      </c>
    </row>
    <row r="813" spans="1:7">
      <c r="A813">
        <v>812</v>
      </c>
      <c r="B813" t="str">
        <f>"024153"</f>
        <v>0</v>
      </c>
      <c r="C813" t="s">
        <v>1524</v>
      </c>
      <c r="D813" t="s">
        <v>1525</v>
      </c>
      <c r="E813" t="str">
        <f>"1102000682402"</f>
        <v>0</v>
      </c>
      <c r="F813" t="str">
        <f>"000030"</f>
        <v>0</v>
      </c>
      <c r="G813" t="s">
        <v>21</v>
      </c>
    </row>
    <row r="814" spans="1:7">
      <c r="A814">
        <v>813</v>
      </c>
      <c r="B814" t="str">
        <f>"025919"</f>
        <v>0</v>
      </c>
      <c r="C814" t="s">
        <v>1526</v>
      </c>
      <c r="D814" t="s">
        <v>1527</v>
      </c>
      <c r="E814" t="str">
        <f>"1129700031494"</f>
        <v>0</v>
      </c>
      <c r="F814" t="str">
        <f>"000030"</f>
        <v>0</v>
      </c>
      <c r="G814" t="s">
        <v>21</v>
      </c>
    </row>
    <row r="815" spans="1:7">
      <c r="A815">
        <v>814</v>
      </c>
      <c r="B815" t="str">
        <f>"026283"</f>
        <v>0</v>
      </c>
      <c r="C815" t="s">
        <v>1528</v>
      </c>
      <c r="D815" t="s">
        <v>1529</v>
      </c>
      <c r="E815" t="str">
        <f>"3361200152630"</f>
        <v>0</v>
      </c>
      <c r="F815" t="str">
        <f>"000030"</f>
        <v>0</v>
      </c>
      <c r="G815" t="s">
        <v>21</v>
      </c>
    </row>
    <row r="816" spans="1:7">
      <c r="A816">
        <v>815</v>
      </c>
      <c r="B816" t="str">
        <f>"020599"</f>
        <v>0</v>
      </c>
      <c r="C816" t="s">
        <v>1530</v>
      </c>
      <c r="D816" t="s">
        <v>1531</v>
      </c>
      <c r="E816" t="str">
        <f>"3410101533226"</f>
        <v>0</v>
      </c>
      <c r="F816" t="str">
        <f>"000030"</f>
        <v>0</v>
      </c>
      <c r="G816" t="s">
        <v>21</v>
      </c>
    </row>
    <row r="817" spans="1:7">
      <c r="A817">
        <v>816</v>
      </c>
      <c r="B817" t="str">
        <f>"020980"</f>
        <v>0</v>
      </c>
      <c r="C817" t="s">
        <v>1532</v>
      </c>
      <c r="D817" t="s">
        <v>1533</v>
      </c>
      <c r="E817" t="str">
        <f>"3330100582020"</f>
        <v>0</v>
      </c>
      <c r="F817" t="str">
        <f>"000030"</f>
        <v>0</v>
      </c>
      <c r="G817" t="s">
        <v>21</v>
      </c>
    </row>
    <row r="818" spans="1:7">
      <c r="A818">
        <v>817</v>
      </c>
      <c r="B818" t="str">
        <f>"026665"</f>
        <v>0</v>
      </c>
      <c r="C818" t="s">
        <v>1534</v>
      </c>
      <c r="D818" t="s">
        <v>1294</v>
      </c>
      <c r="E818" t="str">
        <f>"3411400638781"</f>
        <v>0</v>
      </c>
      <c r="F818" t="str">
        <f>"000030"</f>
        <v>0</v>
      </c>
      <c r="G818" t="s">
        <v>21</v>
      </c>
    </row>
    <row r="819" spans="1:7">
      <c r="A819">
        <v>818</v>
      </c>
      <c r="B819" t="str">
        <f>"021208"</f>
        <v>0</v>
      </c>
      <c r="C819" t="s">
        <v>1535</v>
      </c>
      <c r="D819" t="s">
        <v>1536</v>
      </c>
      <c r="E819" t="str">
        <f>"3709800162982"</f>
        <v>0</v>
      </c>
      <c r="F819" t="str">
        <f>"000030"</f>
        <v>0</v>
      </c>
      <c r="G819" t="s">
        <v>21</v>
      </c>
    </row>
    <row r="820" spans="1:7">
      <c r="A820">
        <v>819</v>
      </c>
      <c r="B820" t="str">
        <f>"026345"</f>
        <v>0</v>
      </c>
      <c r="C820" t="s">
        <v>1537</v>
      </c>
      <c r="D820" t="s">
        <v>1538</v>
      </c>
      <c r="E820" t="str">
        <f>"3720400019785"</f>
        <v>0</v>
      </c>
      <c r="F820" t="str">
        <f>"000030"</f>
        <v>0</v>
      </c>
      <c r="G820" t="s">
        <v>21</v>
      </c>
    </row>
    <row r="821" spans="1:7">
      <c r="A821">
        <v>820</v>
      </c>
      <c r="B821" t="str">
        <f>"020393"</f>
        <v>0</v>
      </c>
      <c r="C821" t="s">
        <v>1539</v>
      </c>
      <c r="D821" t="s">
        <v>1540</v>
      </c>
      <c r="E821" t="str">
        <f>"3920100301734"</f>
        <v>0</v>
      </c>
      <c r="F821" t="str">
        <f>"000030"</f>
        <v>0</v>
      </c>
      <c r="G821" t="s">
        <v>21</v>
      </c>
    </row>
    <row r="822" spans="1:7">
      <c r="A822">
        <v>821</v>
      </c>
      <c r="B822" t="str">
        <f>"017362"</f>
        <v>0</v>
      </c>
      <c r="C822" t="s">
        <v>1541</v>
      </c>
      <c r="D822" t="s">
        <v>1542</v>
      </c>
      <c r="E822" t="str">
        <f>"3150100165781"</f>
        <v>0</v>
      </c>
      <c r="F822" t="str">
        <f>"000030"</f>
        <v>0</v>
      </c>
      <c r="G822" t="s">
        <v>21</v>
      </c>
    </row>
    <row r="823" spans="1:7">
      <c r="A823">
        <v>822</v>
      </c>
      <c r="B823" t="str">
        <f>"013824"</f>
        <v>0</v>
      </c>
      <c r="C823" t="s">
        <v>1543</v>
      </c>
      <c r="D823" t="s">
        <v>1544</v>
      </c>
      <c r="E823" t="str">
        <f>"5120100029493"</f>
        <v>0</v>
      </c>
      <c r="F823" t="str">
        <f>"000030"</f>
        <v>0</v>
      </c>
      <c r="G823" t="s">
        <v>21</v>
      </c>
    </row>
    <row r="824" spans="1:7">
      <c r="A824">
        <v>823</v>
      </c>
      <c r="B824" t="str">
        <f>"012874"</f>
        <v>0</v>
      </c>
      <c r="C824" t="s">
        <v>1545</v>
      </c>
      <c r="D824" t="s">
        <v>1546</v>
      </c>
      <c r="E824" t="str">
        <f>"3540200638858"</f>
        <v>0</v>
      </c>
      <c r="F824" t="str">
        <f>"000030"</f>
        <v>0</v>
      </c>
      <c r="G824" t="s">
        <v>21</v>
      </c>
    </row>
    <row r="825" spans="1:7">
      <c r="A825">
        <v>824</v>
      </c>
      <c r="B825" t="str">
        <f>"017462"</f>
        <v>0</v>
      </c>
      <c r="C825" t="s">
        <v>550</v>
      </c>
      <c r="D825" t="s">
        <v>1547</v>
      </c>
      <c r="E825" t="str">
        <f>"3910500253681"</f>
        <v>0</v>
      </c>
      <c r="F825" t="str">
        <f>"000030"</f>
        <v>0</v>
      </c>
      <c r="G825" t="s">
        <v>21</v>
      </c>
    </row>
    <row r="826" spans="1:7">
      <c r="A826">
        <v>825</v>
      </c>
      <c r="B826" t="str">
        <f>"017467"</f>
        <v>0</v>
      </c>
      <c r="C826" t="s">
        <v>1548</v>
      </c>
      <c r="D826" t="s">
        <v>1549</v>
      </c>
      <c r="E826" t="str">
        <f>"3101400777554"</f>
        <v>0</v>
      </c>
      <c r="F826" t="str">
        <f>"000030"</f>
        <v>0</v>
      </c>
      <c r="G826" t="s">
        <v>21</v>
      </c>
    </row>
    <row r="827" spans="1:7">
      <c r="A827">
        <v>826</v>
      </c>
      <c r="B827" t="str">
        <f>"017905"</f>
        <v>0</v>
      </c>
      <c r="C827" t="s">
        <v>1550</v>
      </c>
      <c r="D827" t="s">
        <v>75</v>
      </c>
      <c r="E827" t="str">
        <f>"3101801265261"</f>
        <v>0</v>
      </c>
      <c r="F827" t="str">
        <f>"000030"</f>
        <v>0</v>
      </c>
      <c r="G827" t="s">
        <v>21</v>
      </c>
    </row>
    <row r="828" spans="1:7">
      <c r="A828">
        <v>827</v>
      </c>
      <c r="B828" t="str">
        <f>"018511"</f>
        <v>0</v>
      </c>
      <c r="C828" t="s">
        <v>1551</v>
      </c>
      <c r="D828" t="s">
        <v>1552</v>
      </c>
      <c r="E828" t="str">
        <f>"3961100119848"</f>
        <v>0</v>
      </c>
      <c r="F828" t="str">
        <f>"000030"</f>
        <v>0</v>
      </c>
      <c r="G828" t="s">
        <v>21</v>
      </c>
    </row>
    <row r="829" spans="1:7">
      <c r="A829">
        <v>828</v>
      </c>
      <c r="B829" t="str">
        <f>"019145"</f>
        <v>0</v>
      </c>
      <c r="C829" t="s">
        <v>1553</v>
      </c>
      <c r="D829" t="s">
        <v>1554</v>
      </c>
      <c r="E829" t="str">
        <f>"3140100023031"</f>
        <v>0</v>
      </c>
      <c r="F829" t="str">
        <f>"000030"</f>
        <v>0</v>
      </c>
      <c r="G829" t="s">
        <v>21</v>
      </c>
    </row>
    <row r="830" spans="1:7">
      <c r="A830">
        <v>829</v>
      </c>
      <c r="B830" t="str">
        <f>"020298"</f>
        <v>0</v>
      </c>
      <c r="C830" t="s">
        <v>1555</v>
      </c>
      <c r="D830" t="s">
        <v>1556</v>
      </c>
      <c r="E830" t="str">
        <f>"3330101220440"</f>
        <v>0</v>
      </c>
      <c r="F830" t="str">
        <f>"000030"</f>
        <v>0</v>
      </c>
      <c r="G830" t="s">
        <v>21</v>
      </c>
    </row>
    <row r="831" spans="1:7">
      <c r="A831">
        <v>830</v>
      </c>
      <c r="B831" t="str">
        <f>"020394"</f>
        <v>0</v>
      </c>
      <c r="C831" t="s">
        <v>1557</v>
      </c>
      <c r="D831" t="s">
        <v>1558</v>
      </c>
      <c r="E831" t="str">
        <f>"3600101191617"</f>
        <v>0</v>
      </c>
      <c r="F831" t="str">
        <f>"000030"</f>
        <v>0</v>
      </c>
      <c r="G831" t="s">
        <v>21</v>
      </c>
    </row>
    <row r="832" spans="1:7">
      <c r="A832">
        <v>831</v>
      </c>
      <c r="B832" t="str">
        <f>"020427"</f>
        <v>0</v>
      </c>
      <c r="C832" t="s">
        <v>1559</v>
      </c>
      <c r="D832" t="s">
        <v>1560</v>
      </c>
      <c r="E832" t="str">
        <f>"3841700169146"</f>
        <v>0</v>
      </c>
      <c r="F832" t="str">
        <f>"000030"</f>
        <v>0</v>
      </c>
      <c r="G832" t="s">
        <v>21</v>
      </c>
    </row>
    <row r="833" spans="1:7">
      <c r="A833">
        <v>832</v>
      </c>
      <c r="B833" t="str">
        <f>"020486"</f>
        <v>0</v>
      </c>
      <c r="C833" t="s">
        <v>1561</v>
      </c>
      <c r="D833" t="s">
        <v>1562</v>
      </c>
      <c r="E833" t="str">
        <f>"3521200008715"</f>
        <v>0</v>
      </c>
      <c r="F833" t="str">
        <f>"000030"</f>
        <v>0</v>
      </c>
      <c r="G833" t="s">
        <v>21</v>
      </c>
    </row>
    <row r="834" spans="1:7">
      <c r="A834">
        <v>833</v>
      </c>
      <c r="B834" t="str">
        <f>"020609"</f>
        <v>0</v>
      </c>
      <c r="C834" t="s">
        <v>1563</v>
      </c>
      <c r="D834" t="s">
        <v>1564</v>
      </c>
      <c r="E834" t="str">
        <f>"3100800258642"</f>
        <v>0</v>
      </c>
      <c r="F834" t="str">
        <f>"000030"</f>
        <v>0</v>
      </c>
      <c r="G834" t="s">
        <v>21</v>
      </c>
    </row>
    <row r="835" spans="1:7">
      <c r="A835">
        <v>834</v>
      </c>
      <c r="B835" t="str">
        <f>"021300"</f>
        <v>0</v>
      </c>
      <c r="C835" t="s">
        <v>1565</v>
      </c>
      <c r="D835" t="s">
        <v>1566</v>
      </c>
      <c r="E835" t="str">
        <f>"5320500022524"</f>
        <v>0</v>
      </c>
      <c r="F835" t="str">
        <f>"000030"</f>
        <v>0</v>
      </c>
      <c r="G835" t="s">
        <v>21</v>
      </c>
    </row>
    <row r="836" spans="1:7">
      <c r="A836">
        <v>835</v>
      </c>
      <c r="B836" t="str">
        <f>"021407"</f>
        <v>0</v>
      </c>
      <c r="C836" t="s">
        <v>1567</v>
      </c>
      <c r="D836" t="s">
        <v>1568</v>
      </c>
      <c r="E836" t="str">
        <f>"1100400034686"</f>
        <v>0</v>
      </c>
      <c r="F836" t="str">
        <f>"000030"</f>
        <v>0</v>
      </c>
      <c r="G836" t="s">
        <v>21</v>
      </c>
    </row>
    <row r="837" spans="1:7">
      <c r="A837">
        <v>836</v>
      </c>
      <c r="B837" t="str">
        <f>"021477"</f>
        <v>0</v>
      </c>
      <c r="C837" t="s">
        <v>1569</v>
      </c>
      <c r="D837" t="s">
        <v>1570</v>
      </c>
      <c r="E837" t="str">
        <f>"3102002876332"</f>
        <v>0</v>
      </c>
      <c r="F837" t="str">
        <f>"000030"</f>
        <v>0</v>
      </c>
      <c r="G837" t="s">
        <v>21</v>
      </c>
    </row>
    <row r="838" spans="1:7">
      <c r="A838">
        <v>837</v>
      </c>
      <c r="B838" t="str">
        <f>"022841"</f>
        <v>0</v>
      </c>
      <c r="C838" t="s">
        <v>1571</v>
      </c>
      <c r="D838" t="s">
        <v>1572</v>
      </c>
      <c r="E838" t="str">
        <f>"1779900011955"</f>
        <v>0</v>
      </c>
      <c r="F838" t="str">
        <f>"000030"</f>
        <v>0</v>
      </c>
      <c r="G838" t="s">
        <v>21</v>
      </c>
    </row>
    <row r="839" spans="1:7">
      <c r="A839">
        <v>838</v>
      </c>
      <c r="B839" t="str">
        <f>"023232"</f>
        <v>0</v>
      </c>
      <c r="C839" t="s">
        <v>1573</v>
      </c>
      <c r="D839" t="s">
        <v>1574</v>
      </c>
      <c r="E839" t="str">
        <f>"1500800002818"</f>
        <v>0</v>
      </c>
      <c r="F839" t="str">
        <f>"000030"</f>
        <v>0</v>
      </c>
      <c r="G839" t="s">
        <v>21</v>
      </c>
    </row>
    <row r="840" spans="1:7">
      <c r="A840">
        <v>839</v>
      </c>
      <c r="B840" t="str">
        <f>"024456"</f>
        <v>0</v>
      </c>
      <c r="C840" t="s">
        <v>1575</v>
      </c>
      <c r="D840" t="s">
        <v>1576</v>
      </c>
      <c r="E840" t="str">
        <f>"3250600155407"</f>
        <v>0</v>
      </c>
      <c r="F840" t="str">
        <f>"000030"</f>
        <v>0</v>
      </c>
      <c r="G840" t="s">
        <v>21</v>
      </c>
    </row>
    <row r="841" spans="1:7">
      <c r="A841">
        <v>840</v>
      </c>
      <c r="B841" t="str">
        <f>"025026"</f>
        <v>0</v>
      </c>
      <c r="C841" t="s">
        <v>1577</v>
      </c>
      <c r="D841" t="s">
        <v>1578</v>
      </c>
      <c r="E841" t="str">
        <f>"1819900013451"</f>
        <v>0</v>
      </c>
      <c r="F841" t="str">
        <f>"000030"</f>
        <v>0</v>
      </c>
      <c r="G841" t="s">
        <v>21</v>
      </c>
    </row>
    <row r="842" spans="1:7">
      <c r="A842">
        <v>841</v>
      </c>
      <c r="B842" t="str">
        <f>"025159"</f>
        <v>0</v>
      </c>
      <c r="C842" t="s">
        <v>1579</v>
      </c>
      <c r="D842" t="s">
        <v>1580</v>
      </c>
      <c r="E842" t="str">
        <f>"1100200127974"</f>
        <v>0</v>
      </c>
      <c r="F842" t="str">
        <f>"000030"</f>
        <v>0</v>
      </c>
      <c r="G842" t="s">
        <v>21</v>
      </c>
    </row>
    <row r="843" spans="1:7">
      <c r="A843">
        <v>842</v>
      </c>
      <c r="B843" t="str">
        <f>"025816"</f>
        <v>0</v>
      </c>
      <c r="C843" t="s">
        <v>1581</v>
      </c>
      <c r="D843" t="s">
        <v>1582</v>
      </c>
      <c r="E843" t="str">
        <f>"1101401896143"</f>
        <v>0</v>
      </c>
      <c r="F843" t="str">
        <f>"000030"</f>
        <v>0</v>
      </c>
      <c r="G843" t="s">
        <v>21</v>
      </c>
    </row>
    <row r="844" spans="1:7">
      <c r="A844">
        <v>843</v>
      </c>
      <c r="B844" t="str">
        <f>"026099"</f>
        <v>0</v>
      </c>
      <c r="C844" t="s">
        <v>1583</v>
      </c>
      <c r="D844" t="s">
        <v>1584</v>
      </c>
      <c r="E844" t="str">
        <f>"1100200842029"</f>
        <v>0</v>
      </c>
      <c r="F844" t="str">
        <f>"000030"</f>
        <v>0</v>
      </c>
      <c r="G844" t="s">
        <v>21</v>
      </c>
    </row>
    <row r="845" spans="1:7">
      <c r="A845">
        <v>844</v>
      </c>
      <c r="B845" t="str">
        <f>"020713"</f>
        <v>0</v>
      </c>
      <c r="C845" t="s">
        <v>1585</v>
      </c>
      <c r="D845" t="s">
        <v>1586</v>
      </c>
      <c r="E845" t="str">
        <f>"3110400591778"</f>
        <v>0</v>
      </c>
      <c r="F845" t="str">
        <f>"000030"</f>
        <v>0</v>
      </c>
      <c r="G845" t="s">
        <v>21</v>
      </c>
    </row>
    <row r="846" spans="1:7">
      <c r="A846">
        <v>845</v>
      </c>
      <c r="B846" t="str">
        <f>"012057"</f>
        <v>0</v>
      </c>
      <c r="C846" t="s">
        <v>587</v>
      </c>
      <c r="D846" t="s">
        <v>1587</v>
      </c>
      <c r="E846" t="str">
        <f>"3720400754779"</f>
        <v>0</v>
      </c>
      <c r="F846" t="str">
        <f>"000030"</f>
        <v>0</v>
      </c>
      <c r="G846" t="s">
        <v>21</v>
      </c>
    </row>
    <row r="847" spans="1:7">
      <c r="A847">
        <v>846</v>
      </c>
      <c r="B847" t="str">
        <f>"014187"</f>
        <v>0</v>
      </c>
      <c r="C847" t="s">
        <v>1588</v>
      </c>
      <c r="D847" t="s">
        <v>1589</v>
      </c>
      <c r="E847" t="str">
        <f>"3120100345704"</f>
        <v>0</v>
      </c>
      <c r="F847" t="str">
        <f>"000030"</f>
        <v>0</v>
      </c>
      <c r="G847" t="s">
        <v>21</v>
      </c>
    </row>
    <row r="848" spans="1:7">
      <c r="A848">
        <v>847</v>
      </c>
      <c r="B848" t="str">
        <f>"019036"</f>
        <v>0</v>
      </c>
      <c r="C848" t="s">
        <v>1590</v>
      </c>
      <c r="D848" t="s">
        <v>1591</v>
      </c>
      <c r="E848" t="str">
        <f>"3100901449478"</f>
        <v>0</v>
      </c>
      <c r="F848" t="str">
        <f>"000030"</f>
        <v>0</v>
      </c>
      <c r="G848" t="s">
        <v>21</v>
      </c>
    </row>
    <row r="849" spans="1:7">
      <c r="A849">
        <v>848</v>
      </c>
      <c r="B849" t="str">
        <f>"019171"</f>
        <v>0</v>
      </c>
      <c r="C849" t="s">
        <v>346</v>
      </c>
      <c r="D849" t="s">
        <v>1592</v>
      </c>
      <c r="E849" t="str">
        <f>"3101401876521"</f>
        <v>0</v>
      </c>
      <c r="F849" t="str">
        <f>"000030"</f>
        <v>0</v>
      </c>
      <c r="G849" t="s">
        <v>21</v>
      </c>
    </row>
    <row r="850" spans="1:7">
      <c r="A850">
        <v>849</v>
      </c>
      <c r="B850" t="str">
        <f>"019178"</f>
        <v>0</v>
      </c>
      <c r="C850" t="s">
        <v>1593</v>
      </c>
      <c r="D850" t="s">
        <v>1594</v>
      </c>
      <c r="E850" t="str">
        <f>"3100601291933"</f>
        <v>0</v>
      </c>
      <c r="F850" t="str">
        <f>"000030"</f>
        <v>0</v>
      </c>
      <c r="G850" t="s">
        <v>21</v>
      </c>
    </row>
    <row r="851" spans="1:7">
      <c r="A851">
        <v>850</v>
      </c>
      <c r="B851" t="str">
        <f>"022315"</f>
        <v>0</v>
      </c>
      <c r="C851" t="s">
        <v>1595</v>
      </c>
      <c r="D851" t="s">
        <v>1596</v>
      </c>
      <c r="E851" t="str">
        <f>"1120100046573"</f>
        <v>0</v>
      </c>
      <c r="F851" t="str">
        <f>"000030"</f>
        <v>0</v>
      </c>
      <c r="G851" t="s">
        <v>21</v>
      </c>
    </row>
    <row r="852" spans="1:7">
      <c r="A852">
        <v>851</v>
      </c>
      <c r="B852" t="str">
        <f>"027067"</f>
        <v>0</v>
      </c>
      <c r="C852" t="s">
        <v>1597</v>
      </c>
      <c r="D852" t="s">
        <v>1598</v>
      </c>
      <c r="E852" t="str">
        <f>"1102000890510"</f>
        <v>0</v>
      </c>
      <c r="F852" t="str">
        <f>"000030"</f>
        <v>0</v>
      </c>
      <c r="G852" t="s">
        <v>21</v>
      </c>
    </row>
    <row r="853" spans="1:7">
      <c r="A853">
        <v>852</v>
      </c>
      <c r="B853" t="str">
        <f>"019917"</f>
        <v>0</v>
      </c>
      <c r="C853" t="s">
        <v>1599</v>
      </c>
      <c r="D853" t="s">
        <v>1152</v>
      </c>
      <c r="E853" t="str">
        <f>"3800100937346"</f>
        <v>0</v>
      </c>
      <c r="F853" t="str">
        <f>"000030"</f>
        <v>0</v>
      </c>
      <c r="G853" t="s">
        <v>21</v>
      </c>
    </row>
    <row r="854" spans="1:7">
      <c r="A854">
        <v>853</v>
      </c>
      <c r="B854" t="str">
        <f>"020747"</f>
        <v>0</v>
      </c>
      <c r="C854" t="s">
        <v>1600</v>
      </c>
      <c r="D854" t="s">
        <v>928</v>
      </c>
      <c r="E854" t="str">
        <f>"3149900546931"</f>
        <v>0</v>
      </c>
      <c r="F854" t="str">
        <f>"000030"</f>
        <v>0</v>
      </c>
      <c r="G854" t="s">
        <v>21</v>
      </c>
    </row>
    <row r="855" spans="1:7">
      <c r="A855">
        <v>854</v>
      </c>
      <c r="B855" t="str">
        <f>"022878"</f>
        <v>0</v>
      </c>
      <c r="C855" t="s">
        <v>1601</v>
      </c>
      <c r="D855" t="s">
        <v>1602</v>
      </c>
      <c r="E855" t="str">
        <f>"1160400021797"</f>
        <v>0</v>
      </c>
      <c r="F855" t="str">
        <f>"000030"</f>
        <v>0</v>
      </c>
      <c r="G855" t="s">
        <v>21</v>
      </c>
    </row>
    <row r="856" spans="1:7">
      <c r="A856">
        <v>855</v>
      </c>
      <c r="B856" t="str">
        <f>"026284"</f>
        <v>0</v>
      </c>
      <c r="C856" t="s">
        <v>1603</v>
      </c>
      <c r="D856" t="s">
        <v>1604</v>
      </c>
      <c r="E856" t="str">
        <f>"1160100306818"</f>
        <v>0</v>
      </c>
      <c r="F856" t="str">
        <f>"000030"</f>
        <v>0</v>
      </c>
      <c r="G856" t="s">
        <v>21</v>
      </c>
    </row>
    <row r="857" spans="1:7">
      <c r="A857">
        <v>856</v>
      </c>
      <c r="B857" t="str">
        <f>"026111"</f>
        <v>0</v>
      </c>
      <c r="C857" t="s">
        <v>1605</v>
      </c>
      <c r="D857" t="s">
        <v>1606</v>
      </c>
      <c r="E857" t="str">
        <f>"1130200120759"</f>
        <v>0</v>
      </c>
      <c r="F857" t="str">
        <f>"000030"</f>
        <v>0</v>
      </c>
      <c r="G857" t="s">
        <v>21</v>
      </c>
    </row>
    <row r="858" spans="1:7">
      <c r="A858">
        <v>857</v>
      </c>
      <c r="B858" t="str">
        <f>"021249"</f>
        <v>0</v>
      </c>
      <c r="C858" t="s">
        <v>1607</v>
      </c>
      <c r="D858" t="s">
        <v>1608</v>
      </c>
      <c r="E858" t="str">
        <f>"3209900459922"</f>
        <v>0</v>
      </c>
      <c r="F858" t="str">
        <f>"000030"</f>
        <v>0</v>
      </c>
      <c r="G858" t="s">
        <v>21</v>
      </c>
    </row>
    <row r="859" spans="1:7">
      <c r="A859">
        <v>858</v>
      </c>
      <c r="B859" t="str">
        <f>"020289"</f>
        <v>0</v>
      </c>
      <c r="C859" t="s">
        <v>1609</v>
      </c>
      <c r="D859" t="s">
        <v>1610</v>
      </c>
      <c r="E859" t="str">
        <f>"3260100609425"</f>
        <v>0</v>
      </c>
      <c r="F859" t="str">
        <f>"000030"</f>
        <v>0</v>
      </c>
      <c r="G859" t="s">
        <v>21</v>
      </c>
    </row>
    <row r="860" spans="1:7">
      <c r="A860">
        <v>859</v>
      </c>
      <c r="B860" t="str">
        <f>"020281"</f>
        <v>0</v>
      </c>
      <c r="C860" t="s">
        <v>1611</v>
      </c>
      <c r="D860" t="s">
        <v>1612</v>
      </c>
      <c r="E860" t="str">
        <f>"3300800087323"</f>
        <v>0</v>
      </c>
      <c r="F860" t="str">
        <f>"000030"</f>
        <v>0</v>
      </c>
      <c r="G860" t="s">
        <v>21</v>
      </c>
    </row>
    <row r="861" spans="1:7">
      <c r="A861">
        <v>860</v>
      </c>
      <c r="B861" t="str">
        <f>"021654"</f>
        <v>0</v>
      </c>
      <c r="C861" t="s">
        <v>1613</v>
      </c>
      <c r="D861" t="s">
        <v>1614</v>
      </c>
      <c r="E861" t="str">
        <f>"3801500016087"</f>
        <v>0</v>
      </c>
      <c r="F861" t="str">
        <f>"000030"</f>
        <v>0</v>
      </c>
      <c r="G861" t="s">
        <v>21</v>
      </c>
    </row>
    <row r="862" spans="1:7">
      <c r="A862">
        <v>861</v>
      </c>
      <c r="B862" t="str">
        <f>"026285"</f>
        <v>0</v>
      </c>
      <c r="C862" t="s">
        <v>1615</v>
      </c>
      <c r="D862" t="s">
        <v>1616</v>
      </c>
      <c r="E862" t="str">
        <f>"1509900471761"</f>
        <v>0</v>
      </c>
      <c r="F862" t="str">
        <f>"000030"</f>
        <v>0</v>
      </c>
      <c r="G862" t="s">
        <v>21</v>
      </c>
    </row>
    <row r="863" spans="1:7">
      <c r="A863">
        <v>862</v>
      </c>
      <c r="B863" t="str">
        <f>"021340"</f>
        <v>0</v>
      </c>
      <c r="C863" t="s">
        <v>1617</v>
      </c>
      <c r="D863" t="s">
        <v>1618</v>
      </c>
      <c r="E863" t="str">
        <f>"3670100584178"</f>
        <v>0</v>
      </c>
      <c r="F863" t="str">
        <f>"000030"</f>
        <v>0</v>
      </c>
      <c r="G863" t="s">
        <v>21</v>
      </c>
    </row>
    <row r="864" spans="1:7">
      <c r="A864">
        <v>863</v>
      </c>
      <c r="B864" t="str">
        <f>"022937"</f>
        <v>0</v>
      </c>
      <c r="C864" t="s">
        <v>1619</v>
      </c>
      <c r="D864" t="s">
        <v>1620</v>
      </c>
      <c r="E864" t="str">
        <f>"3700100652482"</f>
        <v>0</v>
      </c>
      <c r="F864" t="str">
        <f>"000030"</f>
        <v>0</v>
      </c>
      <c r="G864" t="s">
        <v>21</v>
      </c>
    </row>
    <row r="865" spans="1:7">
      <c r="A865">
        <v>864</v>
      </c>
      <c r="B865" t="str">
        <f>"020089"</f>
        <v>0</v>
      </c>
      <c r="C865" t="s">
        <v>207</v>
      </c>
      <c r="D865" t="s">
        <v>1621</v>
      </c>
      <c r="E865" t="str">
        <f>"3730500325721"</f>
        <v>0</v>
      </c>
      <c r="F865" t="str">
        <f>"000030"</f>
        <v>0</v>
      </c>
      <c r="G865" t="s">
        <v>21</v>
      </c>
    </row>
    <row r="866" spans="1:7">
      <c r="A866">
        <v>865</v>
      </c>
      <c r="B866" t="str">
        <f>"022940"</f>
        <v>0</v>
      </c>
      <c r="C866" t="s">
        <v>1622</v>
      </c>
      <c r="D866" t="s">
        <v>1623</v>
      </c>
      <c r="E866" t="str">
        <f>"1730500065219"</f>
        <v>0</v>
      </c>
      <c r="F866" t="str">
        <f>"000030"</f>
        <v>0</v>
      </c>
      <c r="G866" t="s">
        <v>21</v>
      </c>
    </row>
    <row r="867" spans="1:7">
      <c r="A867">
        <v>866</v>
      </c>
      <c r="B867" t="str">
        <f>"023459"</f>
        <v>0</v>
      </c>
      <c r="C867" t="s">
        <v>1624</v>
      </c>
      <c r="D867" t="s">
        <v>1625</v>
      </c>
      <c r="E867" t="str">
        <f>"3100602091008"</f>
        <v>0</v>
      </c>
      <c r="F867" t="str">
        <f>"000030"</f>
        <v>0</v>
      </c>
      <c r="G867" t="s">
        <v>21</v>
      </c>
    </row>
    <row r="868" spans="1:7">
      <c r="A868">
        <v>867</v>
      </c>
      <c r="B868" t="str">
        <f>"023818"</f>
        <v>0</v>
      </c>
      <c r="C868" t="s">
        <v>1626</v>
      </c>
      <c r="D868" t="s">
        <v>1627</v>
      </c>
      <c r="E868" t="str">
        <f>"1749900045094"</f>
        <v>0</v>
      </c>
      <c r="F868" t="str">
        <f>"000030"</f>
        <v>0</v>
      </c>
      <c r="G868" t="s">
        <v>21</v>
      </c>
    </row>
    <row r="869" spans="1:7">
      <c r="A869">
        <v>868</v>
      </c>
      <c r="B869" t="str">
        <f>"019821"</f>
        <v>0</v>
      </c>
      <c r="C869" t="s">
        <v>1628</v>
      </c>
      <c r="D869" t="s">
        <v>1629</v>
      </c>
      <c r="E869" t="str">
        <f>"3750300535935"</f>
        <v>0</v>
      </c>
      <c r="F869" t="str">
        <f>"000030"</f>
        <v>0</v>
      </c>
      <c r="G869" t="s">
        <v>21</v>
      </c>
    </row>
    <row r="870" spans="1:7">
      <c r="A870">
        <v>869</v>
      </c>
      <c r="B870" t="str">
        <f>"025311"</f>
        <v>0</v>
      </c>
      <c r="C870" t="s">
        <v>1630</v>
      </c>
      <c r="D870" t="s">
        <v>1631</v>
      </c>
      <c r="E870" t="str">
        <f>"1869900143893"</f>
        <v>0</v>
      </c>
      <c r="F870" t="str">
        <f>"000030"</f>
        <v>0</v>
      </c>
      <c r="G870" t="s">
        <v>21</v>
      </c>
    </row>
    <row r="871" spans="1:7">
      <c r="A871">
        <v>870</v>
      </c>
      <c r="B871" t="str">
        <f>"014498"</f>
        <v>0</v>
      </c>
      <c r="C871" t="s">
        <v>1632</v>
      </c>
      <c r="D871" t="s">
        <v>1633</v>
      </c>
      <c r="E871" t="str">
        <f>"3100500524088"</f>
        <v>0</v>
      </c>
      <c r="F871" t="str">
        <f>"000030"</f>
        <v>0</v>
      </c>
      <c r="G871" t="s">
        <v>21</v>
      </c>
    </row>
    <row r="872" spans="1:7">
      <c r="A872">
        <v>871</v>
      </c>
      <c r="B872" t="str">
        <f>"017617"</f>
        <v>0</v>
      </c>
      <c r="C872" t="s">
        <v>1634</v>
      </c>
      <c r="D872" t="s">
        <v>1635</v>
      </c>
      <c r="E872" t="str">
        <f>"3102001012075"</f>
        <v>0</v>
      </c>
      <c r="F872" t="str">
        <f>"000030"</f>
        <v>0</v>
      </c>
      <c r="G872" t="s">
        <v>21</v>
      </c>
    </row>
    <row r="873" spans="1:7">
      <c r="A873">
        <v>872</v>
      </c>
      <c r="B873" t="str">
        <f>"019138"</f>
        <v>0</v>
      </c>
      <c r="C873" t="s">
        <v>1636</v>
      </c>
      <c r="D873" t="s">
        <v>1637</v>
      </c>
      <c r="E873" t="str">
        <f>"3640700632319"</f>
        <v>0</v>
      </c>
      <c r="F873" t="str">
        <f>"000030"</f>
        <v>0</v>
      </c>
      <c r="G873" t="s">
        <v>21</v>
      </c>
    </row>
    <row r="874" spans="1:7">
      <c r="A874">
        <v>873</v>
      </c>
      <c r="B874" t="str">
        <f>"026876"</f>
        <v>0</v>
      </c>
      <c r="C874" t="s">
        <v>1638</v>
      </c>
      <c r="D874" t="s">
        <v>1639</v>
      </c>
      <c r="E874" t="str">
        <f>"3120300336172"</f>
        <v>0</v>
      </c>
      <c r="F874" t="str">
        <f>"000030"</f>
        <v>0</v>
      </c>
      <c r="G874" t="s">
        <v>21</v>
      </c>
    </row>
    <row r="875" spans="1:7">
      <c r="A875">
        <v>874</v>
      </c>
      <c r="B875" t="str">
        <f>"018533"</f>
        <v>0</v>
      </c>
      <c r="C875" t="s">
        <v>837</v>
      </c>
      <c r="D875" t="s">
        <v>1640</v>
      </c>
      <c r="E875" t="str">
        <f>"3130600229797"</f>
        <v>0</v>
      </c>
      <c r="F875" t="str">
        <f>"000030"</f>
        <v>0</v>
      </c>
      <c r="G875" t="s">
        <v>21</v>
      </c>
    </row>
    <row r="876" spans="1:7">
      <c r="A876">
        <v>875</v>
      </c>
      <c r="B876" t="str">
        <f>"014009"</f>
        <v>0</v>
      </c>
      <c r="C876" t="s">
        <v>1641</v>
      </c>
      <c r="D876" t="s">
        <v>1642</v>
      </c>
      <c r="E876" t="str">
        <f>"3100900782998"</f>
        <v>0</v>
      </c>
      <c r="F876" t="str">
        <f>"000030"</f>
        <v>0</v>
      </c>
      <c r="G876" t="s">
        <v>21</v>
      </c>
    </row>
    <row r="877" spans="1:7">
      <c r="A877">
        <v>876</v>
      </c>
      <c r="B877" t="str">
        <f>"017413"</f>
        <v>0</v>
      </c>
      <c r="C877" t="s">
        <v>1643</v>
      </c>
      <c r="D877" t="s">
        <v>1644</v>
      </c>
      <c r="E877" t="str">
        <f>"3102202045884"</f>
        <v>0</v>
      </c>
      <c r="F877" t="str">
        <f>"000030"</f>
        <v>0</v>
      </c>
      <c r="G877" t="s">
        <v>21</v>
      </c>
    </row>
    <row r="878" spans="1:7">
      <c r="A878">
        <v>877</v>
      </c>
      <c r="B878" t="str">
        <f>"019693"</f>
        <v>0</v>
      </c>
      <c r="C878" t="s">
        <v>1645</v>
      </c>
      <c r="D878" t="s">
        <v>1646</v>
      </c>
      <c r="E878" t="str">
        <f>"3101300404454"</f>
        <v>0</v>
      </c>
      <c r="F878" t="str">
        <f>"000030"</f>
        <v>0</v>
      </c>
      <c r="G878" t="s">
        <v>21</v>
      </c>
    </row>
    <row r="879" spans="1:7">
      <c r="A879">
        <v>878</v>
      </c>
      <c r="B879" t="str">
        <f>"020139"</f>
        <v>0</v>
      </c>
      <c r="C879" t="s">
        <v>1647</v>
      </c>
      <c r="D879" t="s">
        <v>1648</v>
      </c>
      <c r="E879" t="str">
        <f>"3521000500012"</f>
        <v>0</v>
      </c>
      <c r="F879" t="str">
        <f>"000030"</f>
        <v>0</v>
      </c>
      <c r="G879" t="s">
        <v>21</v>
      </c>
    </row>
    <row r="880" spans="1:7">
      <c r="A880">
        <v>879</v>
      </c>
      <c r="B880" t="str">
        <f>"020551"</f>
        <v>0</v>
      </c>
      <c r="C880" t="s">
        <v>1649</v>
      </c>
      <c r="D880" t="s">
        <v>1650</v>
      </c>
      <c r="E880" t="str">
        <f>"3430200413393"</f>
        <v>0</v>
      </c>
      <c r="F880" t="str">
        <f>"000030"</f>
        <v>0</v>
      </c>
      <c r="G880" t="s">
        <v>21</v>
      </c>
    </row>
    <row r="881" spans="1:7">
      <c r="A881">
        <v>880</v>
      </c>
      <c r="B881" t="str">
        <f>"025765"</f>
        <v>0</v>
      </c>
      <c r="C881" t="s">
        <v>1651</v>
      </c>
      <c r="D881" t="s">
        <v>1652</v>
      </c>
      <c r="E881" t="str">
        <f>"1189900121748"</f>
        <v>0</v>
      </c>
      <c r="F881" t="str">
        <f>"000030"</f>
        <v>0</v>
      </c>
      <c r="G881" t="s">
        <v>21</v>
      </c>
    </row>
    <row r="882" spans="1:7">
      <c r="A882">
        <v>881</v>
      </c>
      <c r="B882" t="str">
        <f>"025827"</f>
        <v>0</v>
      </c>
      <c r="C882" t="s">
        <v>1653</v>
      </c>
      <c r="D882" t="s">
        <v>1654</v>
      </c>
      <c r="E882" t="str">
        <f>"1100800356664"</f>
        <v>0</v>
      </c>
      <c r="F882" t="str">
        <f>"000030"</f>
        <v>0</v>
      </c>
      <c r="G882" t="s">
        <v>21</v>
      </c>
    </row>
    <row r="883" spans="1:7">
      <c r="A883">
        <v>882</v>
      </c>
      <c r="B883" t="str">
        <f>"026961"</f>
        <v>0</v>
      </c>
      <c r="C883" t="s">
        <v>1655</v>
      </c>
      <c r="D883" t="s">
        <v>1656</v>
      </c>
      <c r="E883" t="str">
        <f>"1919900012356"</f>
        <v>0</v>
      </c>
      <c r="F883" t="str">
        <f>"000030"</f>
        <v>0</v>
      </c>
      <c r="G883" t="s">
        <v>21</v>
      </c>
    </row>
    <row r="884" spans="1:7">
      <c r="A884">
        <v>883</v>
      </c>
      <c r="B884" t="str">
        <f>"019792"</f>
        <v>0</v>
      </c>
      <c r="C884" t="s">
        <v>1657</v>
      </c>
      <c r="D884" t="s">
        <v>1658</v>
      </c>
      <c r="E884" t="str">
        <f>"3649800044271"</f>
        <v>0</v>
      </c>
      <c r="F884" t="str">
        <f>"000030"</f>
        <v>0</v>
      </c>
      <c r="G884" t="s">
        <v>21</v>
      </c>
    </row>
    <row r="885" spans="1:7">
      <c r="A885">
        <v>884</v>
      </c>
      <c r="B885" t="str">
        <f>"020407"</f>
        <v>0</v>
      </c>
      <c r="C885" t="s">
        <v>372</v>
      </c>
      <c r="D885" t="s">
        <v>1659</v>
      </c>
      <c r="E885" t="str">
        <f>"3341100037821"</f>
        <v>0</v>
      </c>
      <c r="F885" t="str">
        <f>"000030"</f>
        <v>0</v>
      </c>
      <c r="G885" t="s">
        <v>21</v>
      </c>
    </row>
    <row r="886" spans="1:7">
      <c r="A886">
        <v>885</v>
      </c>
      <c r="B886" t="str">
        <f>"023415"</f>
        <v>0</v>
      </c>
      <c r="C886" t="s">
        <v>1660</v>
      </c>
      <c r="D886" t="s">
        <v>1661</v>
      </c>
      <c r="E886" t="str">
        <f>"5840700020300"</f>
        <v>0</v>
      </c>
      <c r="F886" t="str">
        <f>"000030"</f>
        <v>0</v>
      </c>
      <c r="G886" t="s">
        <v>21</v>
      </c>
    </row>
    <row r="887" spans="1:7">
      <c r="A887">
        <v>886</v>
      </c>
      <c r="B887" t="str">
        <f>"026629"</f>
        <v>0</v>
      </c>
      <c r="C887" t="s">
        <v>1662</v>
      </c>
      <c r="D887" t="s">
        <v>1663</v>
      </c>
      <c r="E887" t="str">
        <f>"1100800029396"</f>
        <v>0</v>
      </c>
      <c r="F887" t="str">
        <f>"000030"</f>
        <v>0</v>
      </c>
      <c r="G887" t="s">
        <v>21</v>
      </c>
    </row>
    <row r="888" spans="1:7">
      <c r="A888">
        <v>887</v>
      </c>
      <c r="B888" t="str">
        <f>"023163"</f>
        <v>0</v>
      </c>
      <c r="C888" t="s">
        <v>1664</v>
      </c>
      <c r="D888" t="s">
        <v>1665</v>
      </c>
      <c r="E888" t="str">
        <f>"3439900143940"</f>
        <v>0</v>
      </c>
      <c r="F888" t="str">
        <f>"000030"</f>
        <v>0</v>
      </c>
      <c r="G888" t="s">
        <v>21</v>
      </c>
    </row>
    <row r="889" spans="1:7">
      <c r="A889">
        <v>888</v>
      </c>
      <c r="B889" t="str">
        <f>"021681"</f>
        <v>0</v>
      </c>
      <c r="C889" t="s">
        <v>1666</v>
      </c>
      <c r="D889" t="s">
        <v>1667</v>
      </c>
      <c r="E889" t="str">
        <f>"3709900164383"</f>
        <v>0</v>
      </c>
      <c r="F889" t="str">
        <f>"000030"</f>
        <v>0</v>
      </c>
      <c r="G889" t="s">
        <v>21</v>
      </c>
    </row>
    <row r="890" spans="1:7">
      <c r="A890">
        <v>889</v>
      </c>
      <c r="B890" t="str">
        <f>"019794"</f>
        <v>0</v>
      </c>
      <c r="C890" t="s">
        <v>1668</v>
      </c>
      <c r="D890" t="s">
        <v>1669</v>
      </c>
      <c r="E890" t="str">
        <f>"3729900227598"</f>
        <v>0</v>
      </c>
      <c r="F890" t="str">
        <f>"000030"</f>
        <v>0</v>
      </c>
      <c r="G890" t="s">
        <v>21</v>
      </c>
    </row>
    <row r="891" spans="1:7">
      <c r="A891">
        <v>890</v>
      </c>
      <c r="B891" t="str">
        <f>"023938"</f>
        <v>0</v>
      </c>
      <c r="C891" t="s">
        <v>1670</v>
      </c>
      <c r="D891" t="s">
        <v>1671</v>
      </c>
      <c r="E891" t="str">
        <f>"2950200007481"</f>
        <v>0</v>
      </c>
      <c r="F891" t="str">
        <f>"000030"</f>
        <v>0</v>
      </c>
      <c r="G891" t="s">
        <v>21</v>
      </c>
    </row>
    <row r="892" spans="1:7">
      <c r="A892">
        <v>891</v>
      </c>
      <c r="B892" t="str">
        <f>"014490"</f>
        <v>0</v>
      </c>
      <c r="C892" t="s">
        <v>1672</v>
      </c>
      <c r="D892" t="s">
        <v>1673</v>
      </c>
      <c r="E892" t="str">
        <f>"3940200004740"</f>
        <v>0</v>
      </c>
      <c r="F892" t="str">
        <f>"000030"</f>
        <v>0</v>
      </c>
      <c r="G892" t="s">
        <v>21</v>
      </c>
    </row>
    <row r="893" spans="1:7">
      <c r="A893">
        <v>892</v>
      </c>
      <c r="B893" t="str">
        <f>"019656"</f>
        <v>0</v>
      </c>
      <c r="C893" t="s">
        <v>1674</v>
      </c>
      <c r="D893" t="s">
        <v>1675</v>
      </c>
      <c r="E893" t="str">
        <f>"3130200184397"</f>
        <v>0</v>
      </c>
      <c r="F893" t="str">
        <f>"000030"</f>
        <v>0</v>
      </c>
      <c r="G893" t="s">
        <v>21</v>
      </c>
    </row>
    <row r="894" spans="1:7">
      <c r="A894">
        <v>893</v>
      </c>
      <c r="B894" t="str">
        <f>"017540"</f>
        <v>0</v>
      </c>
      <c r="C894" t="s">
        <v>1676</v>
      </c>
      <c r="D894" t="s">
        <v>1677</v>
      </c>
      <c r="E894" t="str">
        <f>"3100500347305"</f>
        <v>0</v>
      </c>
      <c r="F894" t="str">
        <f>"000030"</f>
        <v>0</v>
      </c>
      <c r="G894" t="s">
        <v>21</v>
      </c>
    </row>
    <row r="895" spans="1:7">
      <c r="A895">
        <v>894</v>
      </c>
      <c r="B895" t="str">
        <f>"022644"</f>
        <v>0</v>
      </c>
      <c r="C895" t="s">
        <v>1678</v>
      </c>
      <c r="D895" t="s">
        <v>1679</v>
      </c>
      <c r="E895" t="str">
        <f>"1310600024488"</f>
        <v>0</v>
      </c>
      <c r="F895" t="str">
        <f>"000030"</f>
        <v>0</v>
      </c>
      <c r="G895" t="s">
        <v>21</v>
      </c>
    </row>
    <row r="896" spans="1:7">
      <c r="A896">
        <v>895</v>
      </c>
      <c r="B896" t="str">
        <f>"015197"</f>
        <v>0</v>
      </c>
      <c r="C896" t="s">
        <v>1680</v>
      </c>
      <c r="D896" t="s">
        <v>1681</v>
      </c>
      <c r="E896" t="str">
        <f>"3330900809703"</f>
        <v>0</v>
      </c>
      <c r="F896" t="str">
        <f>"000030"</f>
        <v>0</v>
      </c>
      <c r="G896" t="s">
        <v>21</v>
      </c>
    </row>
    <row r="897" spans="1:7">
      <c r="A897">
        <v>896</v>
      </c>
      <c r="B897" t="str">
        <f>"018385"</f>
        <v>0</v>
      </c>
      <c r="C897" t="s">
        <v>1682</v>
      </c>
      <c r="D897" t="s">
        <v>1683</v>
      </c>
      <c r="E897" t="str">
        <f>"3609900001205"</f>
        <v>0</v>
      </c>
      <c r="F897" t="str">
        <f>"000030"</f>
        <v>0</v>
      </c>
      <c r="G897" t="s">
        <v>21</v>
      </c>
    </row>
    <row r="898" spans="1:7">
      <c r="A898">
        <v>897</v>
      </c>
      <c r="B898" t="str">
        <f>"019022"</f>
        <v>0</v>
      </c>
      <c r="C898" t="s">
        <v>1684</v>
      </c>
      <c r="D898" t="s">
        <v>1685</v>
      </c>
      <c r="E898" t="str">
        <f>"3609900297741"</f>
        <v>0</v>
      </c>
      <c r="F898" t="str">
        <f>"000030"</f>
        <v>0</v>
      </c>
      <c r="G898" t="s">
        <v>21</v>
      </c>
    </row>
    <row r="899" spans="1:7">
      <c r="A899">
        <v>898</v>
      </c>
      <c r="B899" t="str">
        <f>"020152"</f>
        <v>0</v>
      </c>
      <c r="C899" t="s">
        <v>32</v>
      </c>
      <c r="D899" t="s">
        <v>1686</v>
      </c>
      <c r="E899" t="str">
        <f>"3102300423409"</f>
        <v>0</v>
      </c>
      <c r="F899" t="str">
        <f>"000030"</f>
        <v>0</v>
      </c>
      <c r="G899" t="s">
        <v>21</v>
      </c>
    </row>
    <row r="900" spans="1:7">
      <c r="A900">
        <v>899</v>
      </c>
      <c r="B900" t="str">
        <f>"021579"</f>
        <v>0</v>
      </c>
      <c r="C900" t="s">
        <v>1687</v>
      </c>
      <c r="D900" t="s">
        <v>1688</v>
      </c>
      <c r="E900" t="str">
        <f>"3679900066072"</f>
        <v>0</v>
      </c>
      <c r="F900" t="str">
        <f>"000030"</f>
        <v>0</v>
      </c>
      <c r="G900" t="s">
        <v>21</v>
      </c>
    </row>
    <row r="901" spans="1:7">
      <c r="A901">
        <v>900</v>
      </c>
      <c r="B901" t="str">
        <f>"023099"</f>
        <v>0</v>
      </c>
      <c r="C901" t="s">
        <v>1689</v>
      </c>
      <c r="D901" t="s">
        <v>1690</v>
      </c>
      <c r="E901" t="str">
        <f>"3570501045961"</f>
        <v>0</v>
      </c>
      <c r="F901" t="str">
        <f>"000030"</f>
        <v>0</v>
      </c>
      <c r="G901" t="s">
        <v>21</v>
      </c>
    </row>
    <row r="902" spans="1:7">
      <c r="A902">
        <v>901</v>
      </c>
      <c r="B902" t="str">
        <f>"024842"</f>
        <v>0</v>
      </c>
      <c r="C902" t="s">
        <v>1691</v>
      </c>
      <c r="D902" t="s">
        <v>1692</v>
      </c>
      <c r="E902" t="str">
        <f>"1659900040506"</f>
        <v>0</v>
      </c>
      <c r="F902" t="str">
        <f>"000030"</f>
        <v>0</v>
      </c>
      <c r="G902" t="s">
        <v>21</v>
      </c>
    </row>
    <row r="903" spans="1:7">
      <c r="A903">
        <v>902</v>
      </c>
      <c r="B903" t="str">
        <f>"025702"</f>
        <v>0</v>
      </c>
      <c r="C903" t="s">
        <v>1693</v>
      </c>
      <c r="D903" t="s">
        <v>1694</v>
      </c>
      <c r="E903" t="str">
        <f>"1509900802652"</f>
        <v>0</v>
      </c>
      <c r="F903" t="str">
        <f>"000030"</f>
        <v>0</v>
      </c>
      <c r="G903" t="s">
        <v>21</v>
      </c>
    </row>
    <row r="904" spans="1:7">
      <c r="A904">
        <v>903</v>
      </c>
      <c r="B904" t="str">
        <f>"025830"</f>
        <v>0</v>
      </c>
      <c r="C904" t="s">
        <v>1695</v>
      </c>
      <c r="D904" t="s">
        <v>1696</v>
      </c>
      <c r="E904" t="str">
        <f>"1110300120581"</f>
        <v>0</v>
      </c>
      <c r="F904" t="str">
        <f>"000030"</f>
        <v>0</v>
      </c>
      <c r="G904" t="s">
        <v>21</v>
      </c>
    </row>
    <row r="905" spans="1:7">
      <c r="A905">
        <v>904</v>
      </c>
      <c r="B905" t="str">
        <f>"018801"</f>
        <v>0</v>
      </c>
      <c r="C905" t="s">
        <v>1697</v>
      </c>
      <c r="D905" t="s">
        <v>1698</v>
      </c>
      <c r="E905" t="str">
        <f>"3770600889210"</f>
        <v>0</v>
      </c>
      <c r="F905" t="str">
        <f>"000030"</f>
        <v>0</v>
      </c>
      <c r="G905" t="s">
        <v>21</v>
      </c>
    </row>
    <row r="906" spans="1:7">
      <c r="A906">
        <v>905</v>
      </c>
      <c r="B906" t="str">
        <f>"019875"</f>
        <v>0</v>
      </c>
      <c r="C906" t="s">
        <v>1699</v>
      </c>
      <c r="D906" t="s">
        <v>1700</v>
      </c>
      <c r="E906" t="str">
        <f>"3530100890598"</f>
        <v>0</v>
      </c>
      <c r="F906" t="str">
        <f>"000030"</f>
        <v>0</v>
      </c>
      <c r="G906" t="s">
        <v>21</v>
      </c>
    </row>
    <row r="907" spans="1:7">
      <c r="A907">
        <v>906</v>
      </c>
      <c r="B907" t="str">
        <f>"021342"</f>
        <v>0</v>
      </c>
      <c r="C907" t="s">
        <v>1701</v>
      </c>
      <c r="D907" t="s">
        <v>1702</v>
      </c>
      <c r="E907" t="str">
        <f>"3141200142890"</f>
        <v>0</v>
      </c>
      <c r="F907" t="str">
        <f>"000030"</f>
        <v>0</v>
      </c>
      <c r="G907" t="s">
        <v>21</v>
      </c>
    </row>
    <row r="908" spans="1:7">
      <c r="A908">
        <v>907</v>
      </c>
      <c r="B908" t="str">
        <f>"021292"</f>
        <v>0</v>
      </c>
      <c r="C908" t="s">
        <v>1703</v>
      </c>
      <c r="D908" t="s">
        <v>1704</v>
      </c>
      <c r="E908" t="str">
        <f>"3102001120820"</f>
        <v>0</v>
      </c>
      <c r="F908" t="str">
        <f>"000030"</f>
        <v>0</v>
      </c>
      <c r="G908" t="s">
        <v>21</v>
      </c>
    </row>
    <row r="909" spans="1:7">
      <c r="A909">
        <v>908</v>
      </c>
      <c r="B909" t="str">
        <f>"021864"</f>
        <v>0</v>
      </c>
      <c r="C909" t="s">
        <v>1705</v>
      </c>
      <c r="D909" t="s">
        <v>1706</v>
      </c>
      <c r="E909" t="str">
        <f>"3101702083865"</f>
        <v>0</v>
      </c>
      <c r="F909" t="str">
        <f>"000030"</f>
        <v>0</v>
      </c>
      <c r="G909" t="s">
        <v>21</v>
      </c>
    </row>
    <row r="910" spans="1:7">
      <c r="A910">
        <v>909</v>
      </c>
      <c r="B910" t="str">
        <f>"023433"</f>
        <v>0</v>
      </c>
      <c r="C910" t="s">
        <v>1707</v>
      </c>
      <c r="D910" t="s">
        <v>1708</v>
      </c>
      <c r="E910" t="str">
        <f>"3130100209215"</f>
        <v>0</v>
      </c>
      <c r="F910" t="str">
        <f>"000030"</f>
        <v>0</v>
      </c>
      <c r="G910" t="s">
        <v>21</v>
      </c>
    </row>
    <row r="911" spans="1:7">
      <c r="A911">
        <v>910</v>
      </c>
      <c r="B911" t="str">
        <f>"021894"</f>
        <v>0</v>
      </c>
      <c r="C911" t="s">
        <v>1709</v>
      </c>
      <c r="D911" t="s">
        <v>1710</v>
      </c>
      <c r="E911" t="str">
        <f>"1101400378254"</f>
        <v>0</v>
      </c>
      <c r="F911" t="str">
        <f>"000030"</f>
        <v>0</v>
      </c>
      <c r="G911" t="s">
        <v>21</v>
      </c>
    </row>
    <row r="912" spans="1:7">
      <c r="A912">
        <v>911</v>
      </c>
      <c r="B912" t="str">
        <f>"024886"</f>
        <v>0</v>
      </c>
      <c r="C912" t="s">
        <v>1711</v>
      </c>
      <c r="D912" t="s">
        <v>1712</v>
      </c>
      <c r="E912" t="str">
        <f>"1150600006759"</f>
        <v>0</v>
      </c>
      <c r="F912" t="str">
        <f>"000030"</f>
        <v>0</v>
      </c>
      <c r="G912" t="s">
        <v>21</v>
      </c>
    </row>
    <row r="913" spans="1:7">
      <c r="A913">
        <v>912</v>
      </c>
      <c r="B913" t="str">
        <f>"018792"</f>
        <v>0</v>
      </c>
      <c r="C913" t="s">
        <v>1713</v>
      </c>
      <c r="D913" t="s">
        <v>1714</v>
      </c>
      <c r="E913" t="str">
        <f>"3259900201674"</f>
        <v>0</v>
      </c>
      <c r="F913" t="str">
        <f>"000030"</f>
        <v>0</v>
      </c>
      <c r="G913" t="s">
        <v>21</v>
      </c>
    </row>
    <row r="914" spans="1:7">
      <c r="A914">
        <v>913</v>
      </c>
      <c r="B914" t="str">
        <f>"024735"</f>
        <v>0</v>
      </c>
      <c r="C914" t="s">
        <v>1715</v>
      </c>
      <c r="D914" t="s">
        <v>1716</v>
      </c>
      <c r="E914" t="str">
        <f>"3369900152192"</f>
        <v>0</v>
      </c>
      <c r="F914" t="str">
        <f>"000030"</f>
        <v>0</v>
      </c>
      <c r="G914" t="s">
        <v>21</v>
      </c>
    </row>
    <row r="915" spans="1:7">
      <c r="A915">
        <v>914</v>
      </c>
      <c r="B915" t="str">
        <f>"023656"</f>
        <v>0</v>
      </c>
      <c r="C915" t="s">
        <v>1200</v>
      </c>
      <c r="D915" t="s">
        <v>1717</v>
      </c>
      <c r="E915" t="str">
        <f>"1529900359902"</f>
        <v>0</v>
      </c>
      <c r="F915" t="str">
        <f>"000030"</f>
        <v>0</v>
      </c>
      <c r="G915" t="s">
        <v>21</v>
      </c>
    </row>
    <row r="916" spans="1:7">
      <c r="A916">
        <v>915</v>
      </c>
      <c r="B916" t="str">
        <f>"027068"</f>
        <v>0</v>
      </c>
      <c r="C916" t="s">
        <v>1718</v>
      </c>
      <c r="D916" t="s">
        <v>1719</v>
      </c>
      <c r="E916" t="str">
        <f>"1810100119019"</f>
        <v>0</v>
      </c>
      <c r="F916" t="str">
        <f>"000030"</f>
        <v>0</v>
      </c>
      <c r="G916" t="s">
        <v>21</v>
      </c>
    </row>
    <row r="917" spans="1:7">
      <c r="A917">
        <v>916</v>
      </c>
      <c r="B917" t="str">
        <f>"023382"</f>
        <v>0</v>
      </c>
      <c r="C917" t="s">
        <v>1720</v>
      </c>
      <c r="D917" t="s">
        <v>1721</v>
      </c>
      <c r="E917" t="str">
        <f>"3841000036844"</f>
        <v>0</v>
      </c>
      <c r="F917" t="str">
        <f>"000030"</f>
        <v>0</v>
      </c>
      <c r="G917" t="s">
        <v>21</v>
      </c>
    </row>
    <row r="918" spans="1:7">
      <c r="A918">
        <v>917</v>
      </c>
      <c r="B918" t="str">
        <f>"024542"</f>
        <v>0</v>
      </c>
      <c r="C918" t="s">
        <v>1722</v>
      </c>
      <c r="D918" t="s">
        <v>1723</v>
      </c>
      <c r="E918" t="str">
        <f>"1859900002149"</f>
        <v>0</v>
      </c>
      <c r="F918" t="str">
        <f>"000030"</f>
        <v>0</v>
      </c>
      <c r="G918" t="s">
        <v>21</v>
      </c>
    </row>
    <row r="919" spans="1:7">
      <c r="A919">
        <v>918</v>
      </c>
      <c r="B919" t="str">
        <f>"015569"</f>
        <v>0</v>
      </c>
      <c r="C919" t="s">
        <v>1724</v>
      </c>
      <c r="D919" t="s">
        <v>764</v>
      </c>
      <c r="E919" t="str">
        <f>"3100503796763"</f>
        <v>0</v>
      </c>
      <c r="F919" t="str">
        <f>"000030"</f>
        <v>0</v>
      </c>
      <c r="G919" t="s">
        <v>21</v>
      </c>
    </row>
    <row r="920" spans="1:7">
      <c r="A920">
        <v>919</v>
      </c>
      <c r="B920" t="str">
        <f>"019100"</f>
        <v>0</v>
      </c>
      <c r="C920" t="s">
        <v>1725</v>
      </c>
      <c r="D920" t="s">
        <v>1726</v>
      </c>
      <c r="E920" t="str">
        <f>"3159900024838"</f>
        <v>0</v>
      </c>
      <c r="F920" t="str">
        <f>"000030"</f>
        <v>0</v>
      </c>
      <c r="G920" t="s">
        <v>21</v>
      </c>
    </row>
    <row r="921" spans="1:7">
      <c r="A921">
        <v>920</v>
      </c>
      <c r="B921" t="str">
        <f>"027540"</f>
        <v>0</v>
      </c>
      <c r="C921" t="s">
        <v>1727</v>
      </c>
      <c r="D921" t="s">
        <v>1728</v>
      </c>
      <c r="E921" t="str">
        <f>"1529900236851"</f>
        <v>0</v>
      </c>
      <c r="F921" t="str">
        <f>"000030"</f>
        <v>0</v>
      </c>
      <c r="G921" t="s">
        <v>21</v>
      </c>
    </row>
    <row r="922" spans="1:7">
      <c r="A922">
        <v>921</v>
      </c>
      <c r="B922" t="str">
        <f>"027541"</f>
        <v>0</v>
      </c>
      <c r="C922" t="s">
        <v>1729</v>
      </c>
      <c r="D922" t="s">
        <v>1730</v>
      </c>
      <c r="E922" t="str">
        <f>"5520100064830"</f>
        <v>0</v>
      </c>
      <c r="F922" t="str">
        <f>"000030"</f>
        <v>0</v>
      </c>
      <c r="G922" t="s">
        <v>21</v>
      </c>
    </row>
    <row r="923" spans="1:7">
      <c r="A923">
        <v>922</v>
      </c>
      <c r="B923" t="str">
        <f>"027578"</f>
        <v>0</v>
      </c>
      <c r="C923" t="s">
        <v>1731</v>
      </c>
      <c r="D923" t="s">
        <v>1732</v>
      </c>
      <c r="E923" t="str">
        <f>"1529900043476"</f>
        <v>0</v>
      </c>
      <c r="F923" t="str">
        <f>"000030"</f>
        <v>0</v>
      </c>
      <c r="G923" t="s">
        <v>21</v>
      </c>
    </row>
    <row r="924" spans="1:7">
      <c r="A924">
        <v>923</v>
      </c>
      <c r="B924" t="str">
        <f>"010558"</f>
        <v>0</v>
      </c>
      <c r="C924" t="s">
        <v>1733</v>
      </c>
      <c r="D924" t="s">
        <v>1734</v>
      </c>
      <c r="E924" t="str">
        <f>"3720200149391"</f>
        <v>0</v>
      </c>
      <c r="F924" t="str">
        <f>"000310"</f>
        <v>0</v>
      </c>
      <c r="G924" t="s">
        <v>21</v>
      </c>
    </row>
    <row r="925" spans="1:7">
      <c r="A925">
        <v>924</v>
      </c>
      <c r="B925" t="str">
        <f>"014238"</f>
        <v>0</v>
      </c>
      <c r="C925" t="s">
        <v>1735</v>
      </c>
      <c r="D925" t="s">
        <v>1736</v>
      </c>
      <c r="E925" t="str">
        <f>"3102300182801"</f>
        <v>0</v>
      </c>
      <c r="F925" t="str">
        <f>"000310"</f>
        <v>0</v>
      </c>
      <c r="G925" t="s">
        <v>21</v>
      </c>
    </row>
    <row r="926" spans="1:7">
      <c r="A926">
        <v>925</v>
      </c>
      <c r="B926" t="str">
        <f>"016051"</f>
        <v>0</v>
      </c>
      <c r="C926" t="s">
        <v>462</v>
      </c>
      <c r="D926" t="s">
        <v>1737</v>
      </c>
      <c r="E926" t="str">
        <f>"3100200983664"</f>
        <v>0</v>
      </c>
      <c r="F926" t="str">
        <f>"000310"</f>
        <v>0</v>
      </c>
      <c r="G926" t="s">
        <v>21</v>
      </c>
    </row>
    <row r="927" spans="1:7">
      <c r="A927">
        <v>926</v>
      </c>
      <c r="B927" t="str">
        <f>"017442"</f>
        <v>0</v>
      </c>
      <c r="C927" t="s">
        <v>1738</v>
      </c>
      <c r="D927" t="s">
        <v>1739</v>
      </c>
      <c r="E927" t="str">
        <f>"3100503753444"</f>
        <v>0</v>
      </c>
      <c r="F927" t="str">
        <f>"000310"</f>
        <v>0</v>
      </c>
      <c r="G927" t="s">
        <v>21</v>
      </c>
    </row>
    <row r="928" spans="1:7">
      <c r="A928">
        <v>927</v>
      </c>
      <c r="B928" t="str">
        <f>"020282"</f>
        <v>0</v>
      </c>
      <c r="C928" t="s">
        <v>1740</v>
      </c>
      <c r="D928" t="s">
        <v>1368</v>
      </c>
      <c r="E928" t="str">
        <f>"3100503051661"</f>
        <v>0</v>
      </c>
      <c r="F928" t="str">
        <f>"000310"</f>
        <v>0</v>
      </c>
      <c r="G928" t="s">
        <v>21</v>
      </c>
    </row>
    <row r="929" spans="1:7">
      <c r="A929">
        <v>928</v>
      </c>
      <c r="B929" t="str">
        <f>"020340"</f>
        <v>0</v>
      </c>
      <c r="C929" t="s">
        <v>1741</v>
      </c>
      <c r="D929" t="s">
        <v>1742</v>
      </c>
      <c r="E929" t="str">
        <f>"3100200805634"</f>
        <v>0</v>
      </c>
      <c r="F929" t="str">
        <f>"000310"</f>
        <v>0</v>
      </c>
      <c r="G929" t="s">
        <v>21</v>
      </c>
    </row>
    <row r="930" spans="1:7">
      <c r="A930">
        <v>929</v>
      </c>
      <c r="B930" t="str">
        <f>"020703"</f>
        <v>0</v>
      </c>
      <c r="C930" t="s">
        <v>1743</v>
      </c>
      <c r="D930" t="s">
        <v>1744</v>
      </c>
      <c r="E930" t="str">
        <f>"3800101174672"</f>
        <v>0</v>
      </c>
      <c r="F930" t="str">
        <f>"000310"</f>
        <v>0</v>
      </c>
      <c r="G930" t="s">
        <v>21</v>
      </c>
    </row>
    <row r="931" spans="1:7">
      <c r="A931">
        <v>930</v>
      </c>
      <c r="B931" t="str">
        <f>"020833"</f>
        <v>0</v>
      </c>
      <c r="C931" t="s">
        <v>1745</v>
      </c>
      <c r="D931" t="s">
        <v>1746</v>
      </c>
      <c r="E931" t="str">
        <f>"3101100359650"</f>
        <v>0</v>
      </c>
      <c r="F931" t="str">
        <f>"000310"</f>
        <v>0</v>
      </c>
      <c r="G931" t="s">
        <v>21</v>
      </c>
    </row>
    <row r="932" spans="1:7">
      <c r="A932">
        <v>931</v>
      </c>
      <c r="B932" t="str">
        <f>"020998"</f>
        <v>0</v>
      </c>
      <c r="C932" t="s">
        <v>1617</v>
      </c>
      <c r="D932" t="s">
        <v>1747</v>
      </c>
      <c r="E932" t="str">
        <f>"3100200359316"</f>
        <v>0</v>
      </c>
      <c r="F932" t="str">
        <f>"000310"</f>
        <v>0</v>
      </c>
      <c r="G932" t="s">
        <v>21</v>
      </c>
    </row>
    <row r="933" spans="1:7">
      <c r="A933">
        <v>932</v>
      </c>
      <c r="B933" t="str">
        <f>"021304"</f>
        <v>0</v>
      </c>
      <c r="C933" t="s">
        <v>191</v>
      </c>
      <c r="D933" t="s">
        <v>1748</v>
      </c>
      <c r="E933" t="str">
        <f>"1209800023557"</f>
        <v>0</v>
      </c>
      <c r="F933" t="str">
        <f>"000310"</f>
        <v>0</v>
      </c>
      <c r="G933" t="s">
        <v>21</v>
      </c>
    </row>
    <row r="934" spans="1:7">
      <c r="A934">
        <v>933</v>
      </c>
      <c r="B934" t="str">
        <f>"022647"</f>
        <v>0</v>
      </c>
      <c r="C934" t="s">
        <v>1749</v>
      </c>
      <c r="D934" t="s">
        <v>1750</v>
      </c>
      <c r="E934" t="str">
        <f>"3949900138330"</f>
        <v>0</v>
      </c>
      <c r="F934" t="str">
        <f>"000310"</f>
        <v>0</v>
      </c>
      <c r="G934" t="s">
        <v>21</v>
      </c>
    </row>
    <row r="935" spans="1:7">
      <c r="A935">
        <v>934</v>
      </c>
      <c r="B935" t="str">
        <f>"022648"</f>
        <v>0</v>
      </c>
      <c r="C935" t="s">
        <v>1751</v>
      </c>
      <c r="D935" t="s">
        <v>1752</v>
      </c>
      <c r="E935" t="str">
        <f>"3120101524467"</f>
        <v>0</v>
      </c>
      <c r="F935" t="str">
        <f>"000310"</f>
        <v>0</v>
      </c>
      <c r="G935" t="s">
        <v>21</v>
      </c>
    </row>
    <row r="936" spans="1:7">
      <c r="A936">
        <v>935</v>
      </c>
      <c r="B936" t="str">
        <f>"022939"</f>
        <v>0</v>
      </c>
      <c r="C936" t="s">
        <v>1753</v>
      </c>
      <c r="D936" t="s">
        <v>1754</v>
      </c>
      <c r="E936" t="str">
        <f>"3100900194751"</f>
        <v>0</v>
      </c>
      <c r="F936" t="str">
        <f>"000310"</f>
        <v>0</v>
      </c>
      <c r="G936" t="s">
        <v>21</v>
      </c>
    </row>
    <row r="937" spans="1:7">
      <c r="A937">
        <v>936</v>
      </c>
      <c r="B937" t="str">
        <f>"023557"</f>
        <v>0</v>
      </c>
      <c r="C937" t="s">
        <v>1755</v>
      </c>
      <c r="D937" t="s">
        <v>1756</v>
      </c>
      <c r="E937" t="str">
        <f>"1119900059325"</f>
        <v>0</v>
      </c>
      <c r="F937" t="str">
        <f>"000310"</f>
        <v>0</v>
      </c>
      <c r="G937" t="s">
        <v>21</v>
      </c>
    </row>
    <row r="938" spans="1:7">
      <c r="A938">
        <v>937</v>
      </c>
      <c r="B938" t="str">
        <f>"023083"</f>
        <v>0</v>
      </c>
      <c r="C938" t="s">
        <v>1757</v>
      </c>
      <c r="D938" t="s">
        <v>1758</v>
      </c>
      <c r="E938" t="str">
        <f>"3100500206388"</f>
        <v>0</v>
      </c>
      <c r="F938" t="str">
        <f>"000310"</f>
        <v>0</v>
      </c>
      <c r="G938" t="s">
        <v>21</v>
      </c>
    </row>
    <row r="939" spans="1:7">
      <c r="A939">
        <v>938</v>
      </c>
      <c r="B939" t="str">
        <f>"026074"</f>
        <v>0</v>
      </c>
      <c r="C939" t="s">
        <v>1759</v>
      </c>
      <c r="D939" t="s">
        <v>1760</v>
      </c>
      <c r="E939" t="str">
        <f>"1100500936282"</f>
        <v>0</v>
      </c>
      <c r="F939" t="str">
        <f>"000310"</f>
        <v>0</v>
      </c>
      <c r="G939" t="s">
        <v>21</v>
      </c>
    </row>
    <row r="940" spans="1:7">
      <c r="A940">
        <v>939</v>
      </c>
      <c r="B940" t="str">
        <f>"015255"</f>
        <v>0</v>
      </c>
      <c r="C940" t="s">
        <v>1761</v>
      </c>
      <c r="D940" t="s">
        <v>1762</v>
      </c>
      <c r="E940" t="str">
        <f>"3649900010093"</f>
        <v>0</v>
      </c>
      <c r="F940" t="str">
        <f>"000310"</f>
        <v>0</v>
      </c>
      <c r="G940" t="s">
        <v>21</v>
      </c>
    </row>
    <row r="941" spans="1:7">
      <c r="A941">
        <v>940</v>
      </c>
      <c r="B941" t="str">
        <f>"025406"</f>
        <v>0</v>
      </c>
      <c r="C941" t="s">
        <v>1763</v>
      </c>
      <c r="D941" t="s">
        <v>1764</v>
      </c>
      <c r="E941" t="str">
        <f>"1220300061656"</f>
        <v>0</v>
      </c>
      <c r="F941" t="str">
        <f>"000310"</f>
        <v>0</v>
      </c>
      <c r="G941" t="s">
        <v>21</v>
      </c>
    </row>
    <row r="942" spans="1:7">
      <c r="A942">
        <v>941</v>
      </c>
      <c r="B942" t="str">
        <f>"019519"</f>
        <v>0</v>
      </c>
      <c r="C942" t="s">
        <v>1765</v>
      </c>
      <c r="D942" t="s">
        <v>1766</v>
      </c>
      <c r="E942" t="str">
        <f>"3360101356953"</f>
        <v>0</v>
      </c>
      <c r="F942" t="str">
        <f>"000310"</f>
        <v>0</v>
      </c>
      <c r="G942" t="s">
        <v>21</v>
      </c>
    </row>
    <row r="943" spans="1:7">
      <c r="A943">
        <v>942</v>
      </c>
      <c r="B943" t="str">
        <f>"010729"</f>
        <v>0</v>
      </c>
      <c r="C943" t="s">
        <v>352</v>
      </c>
      <c r="D943" t="s">
        <v>1767</v>
      </c>
      <c r="E943" t="str">
        <f>"3200300146224"</f>
        <v>0</v>
      </c>
      <c r="F943" t="str">
        <f>"000310"</f>
        <v>0</v>
      </c>
      <c r="G943" t="s">
        <v>21</v>
      </c>
    </row>
    <row r="944" spans="1:7">
      <c r="A944">
        <v>943</v>
      </c>
      <c r="B944" t="str">
        <f>"026332"</f>
        <v>0</v>
      </c>
      <c r="C944" t="s">
        <v>1768</v>
      </c>
      <c r="D944" t="s">
        <v>1769</v>
      </c>
      <c r="E944" t="str">
        <f>"1400900171981"</f>
        <v>0</v>
      </c>
      <c r="F944" t="str">
        <f>"000310"</f>
        <v>0</v>
      </c>
      <c r="G944" t="s">
        <v>21</v>
      </c>
    </row>
    <row r="945" spans="1:7">
      <c r="A945">
        <v>944</v>
      </c>
      <c r="B945" t="str">
        <f>"025473"</f>
        <v>0</v>
      </c>
      <c r="C945" t="s">
        <v>1518</v>
      </c>
      <c r="D945" t="s">
        <v>1770</v>
      </c>
      <c r="E945" t="str">
        <f>"1451400003568"</f>
        <v>0</v>
      </c>
      <c r="F945" t="str">
        <f>"000310"</f>
        <v>0</v>
      </c>
      <c r="G945" t="s">
        <v>21</v>
      </c>
    </row>
    <row r="946" spans="1:7">
      <c r="A946">
        <v>945</v>
      </c>
      <c r="B946" t="str">
        <f>"026667"</f>
        <v>0</v>
      </c>
      <c r="C946" t="s">
        <v>1771</v>
      </c>
      <c r="D946" t="s">
        <v>1772</v>
      </c>
      <c r="E946" t="str">
        <f>"3530700388419"</f>
        <v>0</v>
      </c>
      <c r="F946" t="str">
        <f>"000310"</f>
        <v>0</v>
      </c>
      <c r="G946" t="s">
        <v>21</v>
      </c>
    </row>
    <row r="947" spans="1:7">
      <c r="A947">
        <v>946</v>
      </c>
      <c r="B947" t="str">
        <f>"023658"</f>
        <v>0</v>
      </c>
      <c r="C947" t="s">
        <v>1773</v>
      </c>
      <c r="D947" t="s">
        <v>1774</v>
      </c>
      <c r="E947" t="str">
        <f>"1709900322977"</f>
        <v>0</v>
      </c>
      <c r="F947" t="str">
        <f>"000310"</f>
        <v>0</v>
      </c>
      <c r="G947" t="s">
        <v>21</v>
      </c>
    </row>
    <row r="948" spans="1:7">
      <c r="A948">
        <v>947</v>
      </c>
      <c r="B948" t="str">
        <f>"019562"</f>
        <v>0</v>
      </c>
      <c r="C948" t="s">
        <v>1775</v>
      </c>
      <c r="D948" t="s">
        <v>1776</v>
      </c>
      <c r="E948" t="str">
        <f>"3700700013588"</f>
        <v>0</v>
      </c>
      <c r="F948" t="str">
        <f>"000310"</f>
        <v>0</v>
      </c>
      <c r="G948" t="s">
        <v>21</v>
      </c>
    </row>
    <row r="949" spans="1:7">
      <c r="A949">
        <v>948</v>
      </c>
      <c r="B949" t="str">
        <f>"021542"</f>
        <v>0</v>
      </c>
      <c r="C949" t="s">
        <v>1777</v>
      </c>
      <c r="D949" t="s">
        <v>1778</v>
      </c>
      <c r="E949" t="str">
        <f>"3739900319107"</f>
        <v>0</v>
      </c>
      <c r="F949" t="str">
        <f>"000310"</f>
        <v>0</v>
      </c>
      <c r="G949" t="s">
        <v>21</v>
      </c>
    </row>
    <row r="950" spans="1:7">
      <c r="A950">
        <v>949</v>
      </c>
      <c r="B950" t="str">
        <f>"025376"</f>
        <v>0</v>
      </c>
      <c r="C950" t="s">
        <v>1779</v>
      </c>
      <c r="D950" t="s">
        <v>1780</v>
      </c>
      <c r="E950" t="str">
        <f>"1930600006140"</f>
        <v>0</v>
      </c>
      <c r="F950" t="str">
        <f>"000310"</f>
        <v>0</v>
      </c>
      <c r="G950" t="s">
        <v>21</v>
      </c>
    </row>
    <row r="951" spans="1:7">
      <c r="A951">
        <v>950</v>
      </c>
      <c r="B951" t="str">
        <f>"024198"</f>
        <v>0</v>
      </c>
      <c r="C951" t="s">
        <v>1781</v>
      </c>
      <c r="D951" t="s">
        <v>1782</v>
      </c>
      <c r="E951" t="str">
        <f>"3719900168788"</f>
        <v>0</v>
      </c>
      <c r="F951" t="str">
        <f>"000310"</f>
        <v>0</v>
      </c>
      <c r="G951" t="s">
        <v>21</v>
      </c>
    </row>
    <row r="952" spans="1:7">
      <c r="A952">
        <v>951</v>
      </c>
      <c r="B952" t="str">
        <f>"011038"</f>
        <v>0</v>
      </c>
      <c r="C952" t="s">
        <v>1783</v>
      </c>
      <c r="D952" t="s">
        <v>1784</v>
      </c>
      <c r="E952" t="str">
        <f>"3100601896843"</f>
        <v>0</v>
      </c>
      <c r="F952" t="str">
        <f>"000310"</f>
        <v>0</v>
      </c>
      <c r="G952" t="s">
        <v>21</v>
      </c>
    </row>
    <row r="953" spans="1:7">
      <c r="A953">
        <v>952</v>
      </c>
      <c r="B953" t="str">
        <f>"022074"</f>
        <v>0</v>
      </c>
      <c r="C953" t="s">
        <v>1785</v>
      </c>
      <c r="D953" t="s">
        <v>687</v>
      </c>
      <c r="E953" t="str">
        <f>"1102000058148"</f>
        <v>0</v>
      </c>
      <c r="F953" t="str">
        <f>"000310"</f>
        <v>0</v>
      </c>
      <c r="G953" t="s">
        <v>21</v>
      </c>
    </row>
    <row r="954" spans="1:7">
      <c r="A954">
        <v>953</v>
      </c>
      <c r="B954" t="str">
        <f>"020485"</f>
        <v>0</v>
      </c>
      <c r="C954" t="s">
        <v>1786</v>
      </c>
      <c r="D954" t="s">
        <v>1787</v>
      </c>
      <c r="E954" t="str">
        <f>"3959900103315"</f>
        <v>0</v>
      </c>
      <c r="F954" t="str">
        <f>"000310"</f>
        <v>0</v>
      </c>
      <c r="G954" t="s">
        <v>21</v>
      </c>
    </row>
    <row r="955" spans="1:7">
      <c r="A955">
        <v>954</v>
      </c>
      <c r="B955" t="str">
        <f>"021037"</f>
        <v>0</v>
      </c>
      <c r="C955" t="s">
        <v>104</v>
      </c>
      <c r="D955" t="s">
        <v>1788</v>
      </c>
      <c r="E955" t="str">
        <f>"3920400582569"</f>
        <v>0</v>
      </c>
      <c r="F955" t="str">
        <f>"000310"</f>
        <v>0</v>
      </c>
      <c r="G955" t="s">
        <v>21</v>
      </c>
    </row>
    <row r="956" spans="1:7">
      <c r="A956">
        <v>955</v>
      </c>
      <c r="B956" t="str">
        <f>"027514"</f>
        <v>0</v>
      </c>
      <c r="C956" t="s">
        <v>191</v>
      </c>
      <c r="D956" t="s">
        <v>1789</v>
      </c>
      <c r="E956" t="str">
        <f>"1349900031739"</f>
        <v>0</v>
      </c>
      <c r="F956" t="str">
        <f>"000310"</f>
        <v>0</v>
      </c>
      <c r="G956" t="s">
        <v>21</v>
      </c>
    </row>
    <row r="957" spans="1:7">
      <c r="A957">
        <v>956</v>
      </c>
      <c r="B957" t="str">
        <f>"027542"</f>
        <v>0</v>
      </c>
      <c r="C957" t="s">
        <v>1790</v>
      </c>
      <c r="D957" t="s">
        <v>1791</v>
      </c>
      <c r="E957" t="str">
        <f>"1102002782510"</f>
        <v>0</v>
      </c>
      <c r="F957" t="str">
        <f>"000310"</f>
        <v>0</v>
      </c>
      <c r="G957" t="s">
        <v>21</v>
      </c>
    </row>
    <row r="958" spans="1:7">
      <c r="A958">
        <v>957</v>
      </c>
      <c r="B958" t="str">
        <f>"000405"</f>
        <v>0</v>
      </c>
      <c r="C958" t="s">
        <v>1792</v>
      </c>
      <c r="D958" t="s">
        <v>1793</v>
      </c>
      <c r="E958" t="str">
        <f>"3819900019251"</f>
        <v>0</v>
      </c>
      <c r="F958" t="str">
        <f>"000320"</f>
        <v>0</v>
      </c>
      <c r="G958" t="s">
        <v>21</v>
      </c>
    </row>
    <row r="959" spans="1:7">
      <c r="A959">
        <v>958</v>
      </c>
      <c r="B959" t="str">
        <f>"001951"</f>
        <v>0</v>
      </c>
      <c r="C959" t="s">
        <v>1794</v>
      </c>
      <c r="D959" t="s">
        <v>1795</v>
      </c>
      <c r="E959" t="str">
        <f>"3819900111882"</f>
        <v>0</v>
      </c>
      <c r="F959" t="str">
        <f>"000320"</f>
        <v>0</v>
      </c>
      <c r="G959" t="s">
        <v>21</v>
      </c>
    </row>
    <row r="960" spans="1:7">
      <c r="A960">
        <v>959</v>
      </c>
      <c r="B960" t="str">
        <f>"002117"</f>
        <v>0</v>
      </c>
      <c r="C960" t="s">
        <v>1796</v>
      </c>
      <c r="D960" t="s">
        <v>1797</v>
      </c>
      <c r="E960" t="str">
        <f>"3961100163499"</f>
        <v>0</v>
      </c>
      <c r="F960" t="str">
        <f>"000320"</f>
        <v>0</v>
      </c>
      <c r="G960" t="s">
        <v>21</v>
      </c>
    </row>
    <row r="961" spans="1:7">
      <c r="A961">
        <v>960</v>
      </c>
      <c r="B961" t="str">
        <f>"002286"</f>
        <v>0</v>
      </c>
      <c r="C961" t="s">
        <v>1798</v>
      </c>
      <c r="D961" t="s">
        <v>1799</v>
      </c>
      <c r="E961" t="str">
        <f>"3819900160042"</f>
        <v>0</v>
      </c>
      <c r="F961" t="str">
        <f>"000320"</f>
        <v>0</v>
      </c>
      <c r="G961" t="s">
        <v>21</v>
      </c>
    </row>
    <row r="962" spans="1:7">
      <c r="A962">
        <v>961</v>
      </c>
      <c r="B962" t="str">
        <f>"003603"</f>
        <v>0</v>
      </c>
      <c r="C962" t="s">
        <v>1800</v>
      </c>
      <c r="D962" t="s">
        <v>1801</v>
      </c>
      <c r="E962" t="str">
        <f>"3810100156778"</f>
        <v>0</v>
      </c>
      <c r="F962" t="str">
        <f>"000320"</f>
        <v>0</v>
      </c>
      <c r="G962" t="s">
        <v>21</v>
      </c>
    </row>
    <row r="963" spans="1:7">
      <c r="A963">
        <v>962</v>
      </c>
      <c r="B963" t="str">
        <f>"003859"</f>
        <v>0</v>
      </c>
      <c r="C963" t="s">
        <v>1802</v>
      </c>
      <c r="D963" t="s">
        <v>1803</v>
      </c>
      <c r="E963" t="str">
        <f>"3810400267061"</f>
        <v>0</v>
      </c>
      <c r="F963" t="str">
        <f>"000320"</f>
        <v>0</v>
      </c>
      <c r="G963" t="s">
        <v>21</v>
      </c>
    </row>
    <row r="964" spans="1:7">
      <c r="A964">
        <v>963</v>
      </c>
      <c r="B964" t="str">
        <f>"003861"</f>
        <v>0</v>
      </c>
      <c r="C964" t="s">
        <v>1804</v>
      </c>
      <c r="D964" t="s">
        <v>1805</v>
      </c>
      <c r="E964" t="str">
        <f>"3819900167438"</f>
        <v>0</v>
      </c>
      <c r="F964" t="str">
        <f>"000320"</f>
        <v>0</v>
      </c>
      <c r="G964" t="s">
        <v>21</v>
      </c>
    </row>
    <row r="965" spans="1:7">
      <c r="A965">
        <v>964</v>
      </c>
      <c r="B965" t="str">
        <f>"003862"</f>
        <v>0</v>
      </c>
      <c r="C965" t="s">
        <v>1806</v>
      </c>
      <c r="D965" t="s">
        <v>1807</v>
      </c>
      <c r="E965" t="str">
        <f>"3819900087183"</f>
        <v>0</v>
      </c>
      <c r="F965" t="str">
        <f>"000320"</f>
        <v>0</v>
      </c>
      <c r="G965" t="s">
        <v>21</v>
      </c>
    </row>
    <row r="966" spans="1:7">
      <c r="A966">
        <v>965</v>
      </c>
      <c r="B966" t="str">
        <f>"003970"</f>
        <v>0</v>
      </c>
      <c r="C966" t="s">
        <v>1808</v>
      </c>
      <c r="D966" t="s">
        <v>1809</v>
      </c>
      <c r="E966" t="str">
        <f>"3489900073631"</f>
        <v>0</v>
      </c>
      <c r="F966" t="str">
        <f>"000320"</f>
        <v>0</v>
      </c>
      <c r="G966" t="s">
        <v>21</v>
      </c>
    </row>
    <row r="967" spans="1:7">
      <c r="A967">
        <v>966</v>
      </c>
      <c r="B967" t="str">
        <f>"004387"</f>
        <v>0</v>
      </c>
      <c r="C967" t="s">
        <v>447</v>
      </c>
      <c r="D967" t="s">
        <v>1810</v>
      </c>
      <c r="E967" t="str">
        <f>"3810500024551"</f>
        <v>0</v>
      </c>
      <c r="F967" t="str">
        <f>"000320"</f>
        <v>0</v>
      </c>
      <c r="G967" t="s">
        <v>21</v>
      </c>
    </row>
    <row r="968" spans="1:7">
      <c r="A968">
        <v>967</v>
      </c>
      <c r="B968" t="str">
        <f>"004751"</f>
        <v>0</v>
      </c>
      <c r="C968" t="s">
        <v>1811</v>
      </c>
      <c r="D968" t="s">
        <v>1812</v>
      </c>
      <c r="E968" t="str">
        <f>"3801300071718"</f>
        <v>0</v>
      </c>
      <c r="F968" t="str">
        <f>"000320"</f>
        <v>0</v>
      </c>
      <c r="G968" t="s">
        <v>21</v>
      </c>
    </row>
    <row r="969" spans="1:7">
      <c r="A969">
        <v>968</v>
      </c>
      <c r="B969" t="str">
        <f>"005127"</f>
        <v>0</v>
      </c>
      <c r="C969" t="s">
        <v>1813</v>
      </c>
      <c r="D969" t="s">
        <v>1814</v>
      </c>
      <c r="E969" t="str">
        <f>"3519900063040"</f>
        <v>0</v>
      </c>
      <c r="F969" t="str">
        <f>"000320"</f>
        <v>0</v>
      </c>
      <c r="G969" t="s">
        <v>21</v>
      </c>
    </row>
    <row r="970" spans="1:7">
      <c r="A970">
        <v>969</v>
      </c>
      <c r="B970" t="str">
        <f>"005336"</f>
        <v>0</v>
      </c>
      <c r="C970" t="s">
        <v>1815</v>
      </c>
      <c r="D970" t="s">
        <v>1816</v>
      </c>
      <c r="E970" t="str">
        <f>"3800200113914"</f>
        <v>0</v>
      </c>
      <c r="F970" t="str">
        <f>"000320"</f>
        <v>0</v>
      </c>
      <c r="G970" t="s">
        <v>21</v>
      </c>
    </row>
    <row r="971" spans="1:7">
      <c r="A971">
        <v>970</v>
      </c>
      <c r="B971" t="str">
        <f>"005518"</f>
        <v>0</v>
      </c>
      <c r="C971" t="s">
        <v>1817</v>
      </c>
      <c r="D971" t="s">
        <v>1818</v>
      </c>
      <c r="E971" t="str">
        <f>"3810400263618"</f>
        <v>0</v>
      </c>
      <c r="F971" t="str">
        <f>"000320"</f>
        <v>0</v>
      </c>
      <c r="G971" t="s">
        <v>21</v>
      </c>
    </row>
    <row r="972" spans="1:7">
      <c r="A972">
        <v>971</v>
      </c>
      <c r="B972" t="str">
        <f>"007402"</f>
        <v>0</v>
      </c>
      <c r="C972" t="s">
        <v>1819</v>
      </c>
      <c r="D972" t="s">
        <v>1816</v>
      </c>
      <c r="E972" t="str">
        <f>"3800200113922"</f>
        <v>0</v>
      </c>
      <c r="F972" t="str">
        <f>"000320"</f>
        <v>0</v>
      </c>
      <c r="G972" t="s">
        <v>21</v>
      </c>
    </row>
    <row r="973" spans="1:7">
      <c r="A973">
        <v>972</v>
      </c>
      <c r="B973" t="str">
        <f>"007470"</f>
        <v>0</v>
      </c>
      <c r="C973" t="s">
        <v>1820</v>
      </c>
      <c r="D973" t="s">
        <v>1821</v>
      </c>
      <c r="E973" t="str">
        <f>"4820100002493"</f>
        <v>0</v>
      </c>
      <c r="F973" t="str">
        <f>"000320"</f>
        <v>0</v>
      </c>
      <c r="G973" t="s">
        <v>21</v>
      </c>
    </row>
    <row r="974" spans="1:7">
      <c r="A974">
        <v>973</v>
      </c>
      <c r="B974" t="str">
        <f>"007936"</f>
        <v>0</v>
      </c>
      <c r="C974" t="s">
        <v>1822</v>
      </c>
      <c r="D974" t="s">
        <v>1823</v>
      </c>
      <c r="E974" t="str">
        <f>"3929900295591"</f>
        <v>0</v>
      </c>
      <c r="F974" t="str">
        <f>"000320"</f>
        <v>0</v>
      </c>
      <c r="G974" t="s">
        <v>21</v>
      </c>
    </row>
    <row r="975" spans="1:7">
      <c r="A975">
        <v>974</v>
      </c>
      <c r="B975" t="str">
        <f>"008062"</f>
        <v>0</v>
      </c>
      <c r="C975" t="s">
        <v>947</v>
      </c>
      <c r="D975" t="s">
        <v>1824</v>
      </c>
      <c r="E975" t="str">
        <f>"3321000241175"</f>
        <v>0</v>
      </c>
      <c r="F975" t="str">
        <f>"000320"</f>
        <v>0</v>
      </c>
      <c r="G975" t="s">
        <v>21</v>
      </c>
    </row>
    <row r="976" spans="1:7">
      <c r="A976">
        <v>975</v>
      </c>
      <c r="B976" t="str">
        <f>"008617"</f>
        <v>0</v>
      </c>
      <c r="C976" t="s">
        <v>1825</v>
      </c>
      <c r="D976" t="s">
        <v>1826</v>
      </c>
      <c r="E976" t="str">
        <f>"3450200016211"</f>
        <v>0</v>
      </c>
      <c r="F976" t="str">
        <f>"000320"</f>
        <v>0</v>
      </c>
      <c r="G976" t="s">
        <v>21</v>
      </c>
    </row>
    <row r="977" spans="1:7">
      <c r="A977">
        <v>976</v>
      </c>
      <c r="B977" t="str">
        <f>"008873"</f>
        <v>0</v>
      </c>
      <c r="C977" t="s">
        <v>1827</v>
      </c>
      <c r="D977" t="s">
        <v>1828</v>
      </c>
      <c r="E977" t="str">
        <f>"3959940217117"</f>
        <v>0</v>
      </c>
      <c r="F977" t="str">
        <f>"000320"</f>
        <v>0</v>
      </c>
      <c r="G977" t="s">
        <v>21</v>
      </c>
    </row>
    <row r="978" spans="1:7">
      <c r="A978">
        <v>977</v>
      </c>
      <c r="B978" t="str">
        <f>"009114"</f>
        <v>0</v>
      </c>
      <c r="C978" t="s">
        <v>1829</v>
      </c>
      <c r="D978" t="s">
        <v>166</v>
      </c>
      <c r="E978" t="str">
        <f>"3810500311649"</f>
        <v>0</v>
      </c>
      <c r="F978" t="str">
        <f>"000320"</f>
        <v>0</v>
      </c>
      <c r="G978" t="s">
        <v>21</v>
      </c>
    </row>
    <row r="979" spans="1:7">
      <c r="A979">
        <v>978</v>
      </c>
      <c r="B979" t="str">
        <f>"011866"</f>
        <v>0</v>
      </c>
      <c r="C979" t="s">
        <v>1830</v>
      </c>
      <c r="D979" t="s">
        <v>1831</v>
      </c>
      <c r="E979" t="str">
        <f>"3819900087175"</f>
        <v>0</v>
      </c>
      <c r="F979" t="str">
        <f>"000320"</f>
        <v>0</v>
      </c>
      <c r="G979" t="s">
        <v>21</v>
      </c>
    </row>
    <row r="980" spans="1:7">
      <c r="A980">
        <v>979</v>
      </c>
      <c r="B980" t="str">
        <f>"011919"</f>
        <v>0</v>
      </c>
      <c r="C980" t="s">
        <v>1832</v>
      </c>
      <c r="D980" t="s">
        <v>1833</v>
      </c>
      <c r="E980" t="str">
        <f>"3810500098635"</f>
        <v>0</v>
      </c>
      <c r="F980" t="str">
        <f>"000320"</f>
        <v>0</v>
      </c>
      <c r="G980" t="s">
        <v>21</v>
      </c>
    </row>
    <row r="981" spans="1:7">
      <c r="A981">
        <v>980</v>
      </c>
      <c r="B981" t="str">
        <f>"013248"</f>
        <v>0</v>
      </c>
      <c r="C981" t="s">
        <v>1834</v>
      </c>
      <c r="D981" t="s">
        <v>1835</v>
      </c>
      <c r="E981" t="str">
        <f>"3829900070434"</f>
        <v>0</v>
      </c>
      <c r="F981" t="str">
        <f>"000320"</f>
        <v>0</v>
      </c>
      <c r="G981" t="s">
        <v>21</v>
      </c>
    </row>
    <row r="982" spans="1:7">
      <c r="A982">
        <v>981</v>
      </c>
      <c r="B982" t="str">
        <f>"014894"</f>
        <v>0</v>
      </c>
      <c r="C982" t="s">
        <v>314</v>
      </c>
      <c r="D982" t="s">
        <v>1836</v>
      </c>
      <c r="E982" t="str">
        <f>"3401200122799"</f>
        <v>0</v>
      </c>
      <c r="F982" t="str">
        <f>"000320"</f>
        <v>0</v>
      </c>
      <c r="G982" t="s">
        <v>21</v>
      </c>
    </row>
    <row r="983" spans="1:7">
      <c r="A983">
        <v>982</v>
      </c>
      <c r="B983" t="str">
        <f>"017247"</f>
        <v>0</v>
      </c>
      <c r="C983" t="s">
        <v>1837</v>
      </c>
      <c r="D983" t="s">
        <v>1838</v>
      </c>
      <c r="E983" t="str">
        <f>"3800100519102"</f>
        <v>0</v>
      </c>
      <c r="F983" t="str">
        <f>"000320"</f>
        <v>0</v>
      </c>
      <c r="G983" t="s">
        <v>21</v>
      </c>
    </row>
    <row r="984" spans="1:7">
      <c r="A984">
        <v>983</v>
      </c>
      <c r="B984" t="str">
        <f>"017373"</f>
        <v>0</v>
      </c>
      <c r="C984" t="s">
        <v>1839</v>
      </c>
      <c r="D984" t="s">
        <v>1840</v>
      </c>
      <c r="E984" t="str">
        <f>"3810200201716"</f>
        <v>0</v>
      </c>
      <c r="F984" t="str">
        <f>"000320"</f>
        <v>0</v>
      </c>
      <c r="G984" t="s">
        <v>21</v>
      </c>
    </row>
    <row r="985" spans="1:7">
      <c r="A985">
        <v>984</v>
      </c>
      <c r="B985" t="str">
        <f>"017933"</f>
        <v>0</v>
      </c>
      <c r="C985" t="s">
        <v>1841</v>
      </c>
      <c r="D985" t="s">
        <v>1842</v>
      </c>
      <c r="E985" t="str">
        <f>"3810100019967"</f>
        <v>0</v>
      </c>
      <c r="F985" t="str">
        <f>"000320"</f>
        <v>0</v>
      </c>
      <c r="G985" t="s">
        <v>21</v>
      </c>
    </row>
    <row r="986" spans="1:7">
      <c r="A986">
        <v>985</v>
      </c>
      <c r="B986" t="str">
        <f>"019560"</f>
        <v>0</v>
      </c>
      <c r="C986" t="s">
        <v>305</v>
      </c>
      <c r="D986" t="s">
        <v>1843</v>
      </c>
      <c r="E986" t="str">
        <f>"3809900040888"</f>
        <v>0</v>
      </c>
      <c r="F986" t="str">
        <f>"000320"</f>
        <v>0</v>
      </c>
      <c r="G986" t="s">
        <v>21</v>
      </c>
    </row>
    <row r="987" spans="1:7">
      <c r="A987">
        <v>986</v>
      </c>
      <c r="B987" t="str">
        <f>"023238"</f>
        <v>0</v>
      </c>
      <c r="C987" t="s">
        <v>1844</v>
      </c>
      <c r="D987" t="s">
        <v>1845</v>
      </c>
      <c r="E987" t="str">
        <f>"3810500105828"</f>
        <v>0</v>
      </c>
      <c r="F987" t="str">
        <f>"000320"</f>
        <v>0</v>
      </c>
      <c r="G987" t="s">
        <v>21</v>
      </c>
    </row>
    <row r="988" spans="1:7">
      <c r="A988">
        <v>987</v>
      </c>
      <c r="B988" t="str">
        <f>"006084"</f>
        <v>0</v>
      </c>
      <c r="C988" t="s">
        <v>389</v>
      </c>
      <c r="D988" t="s">
        <v>1846</v>
      </c>
      <c r="E988" t="str">
        <f>"3801000018889"</f>
        <v>0</v>
      </c>
      <c r="F988" t="str">
        <f>"000320"</f>
        <v>0</v>
      </c>
      <c r="G988" t="s">
        <v>21</v>
      </c>
    </row>
    <row r="989" spans="1:7">
      <c r="A989">
        <v>988</v>
      </c>
      <c r="B989" t="str">
        <f>"006085"</f>
        <v>0</v>
      </c>
      <c r="C989" t="s">
        <v>1847</v>
      </c>
      <c r="D989" t="s">
        <v>1848</v>
      </c>
      <c r="E989" t="str">
        <f>"3810100242780"</f>
        <v>0</v>
      </c>
      <c r="F989" t="str">
        <f>"000320"</f>
        <v>0</v>
      </c>
      <c r="G989" t="s">
        <v>21</v>
      </c>
    </row>
    <row r="990" spans="1:7">
      <c r="A990">
        <v>989</v>
      </c>
      <c r="B990" t="str">
        <f>"006086"</f>
        <v>0</v>
      </c>
      <c r="C990" t="s">
        <v>1849</v>
      </c>
      <c r="D990" t="s">
        <v>1850</v>
      </c>
      <c r="E990" t="str">
        <f>"3810100122351"</f>
        <v>0</v>
      </c>
      <c r="F990" t="str">
        <f>"000320"</f>
        <v>0</v>
      </c>
      <c r="G990" t="s">
        <v>21</v>
      </c>
    </row>
    <row r="991" spans="1:7">
      <c r="A991">
        <v>990</v>
      </c>
      <c r="B991" t="str">
        <f>"011868"</f>
        <v>0</v>
      </c>
      <c r="C991" t="s">
        <v>1851</v>
      </c>
      <c r="D991" t="s">
        <v>1852</v>
      </c>
      <c r="E991" t="str">
        <f>"3810100717176"</f>
        <v>0</v>
      </c>
      <c r="F991" t="str">
        <f>"000320"</f>
        <v>0</v>
      </c>
      <c r="G991" t="s">
        <v>21</v>
      </c>
    </row>
    <row r="992" spans="1:7">
      <c r="A992">
        <v>991</v>
      </c>
      <c r="B992" t="str">
        <f>"020630"</f>
        <v>0</v>
      </c>
      <c r="C992" t="s">
        <v>1853</v>
      </c>
      <c r="D992" t="s">
        <v>1854</v>
      </c>
      <c r="E992" t="str">
        <f>"3120100524846"</f>
        <v>0</v>
      </c>
      <c r="F992" t="str">
        <f>"000320"</f>
        <v>0</v>
      </c>
      <c r="G992" t="s">
        <v>21</v>
      </c>
    </row>
    <row r="993" spans="1:7">
      <c r="A993">
        <v>992</v>
      </c>
      <c r="B993" t="str">
        <f>"010880"</f>
        <v>0</v>
      </c>
      <c r="C993" t="s">
        <v>1855</v>
      </c>
      <c r="D993" t="s">
        <v>1856</v>
      </c>
      <c r="E993" t="str">
        <f>"3900900013296"</f>
        <v>0</v>
      </c>
      <c r="F993" t="str">
        <f>"000320"</f>
        <v>0</v>
      </c>
      <c r="G993" t="s">
        <v>21</v>
      </c>
    </row>
    <row r="994" spans="1:7">
      <c r="A994">
        <v>993</v>
      </c>
      <c r="B994" t="str">
        <f>"020122"</f>
        <v>0</v>
      </c>
      <c r="C994" t="s">
        <v>1857</v>
      </c>
      <c r="D994" t="s">
        <v>1858</v>
      </c>
      <c r="E994" t="str">
        <f>"3440800455810"</f>
        <v>0</v>
      </c>
      <c r="F994" t="str">
        <f>"000320"</f>
        <v>0</v>
      </c>
      <c r="G994" t="s">
        <v>21</v>
      </c>
    </row>
    <row r="995" spans="1:7">
      <c r="A995">
        <v>994</v>
      </c>
      <c r="B995" t="str">
        <f>"025832"</f>
        <v>0</v>
      </c>
      <c r="C995" t="s">
        <v>1859</v>
      </c>
      <c r="D995" t="s">
        <v>1860</v>
      </c>
      <c r="E995" t="str">
        <f>"1500900020061"</f>
        <v>0</v>
      </c>
      <c r="F995" t="str">
        <f>"000320"</f>
        <v>0</v>
      </c>
      <c r="G995" t="s">
        <v>21</v>
      </c>
    </row>
    <row r="996" spans="1:7">
      <c r="A996">
        <v>995</v>
      </c>
      <c r="B996" t="str">
        <f>"024211"</f>
        <v>0</v>
      </c>
      <c r="C996" t="s">
        <v>1345</v>
      </c>
      <c r="D996" t="s">
        <v>1861</v>
      </c>
      <c r="E996" t="str">
        <f>"3770100312479"</f>
        <v>0</v>
      </c>
      <c r="F996" t="str">
        <f>"000320"</f>
        <v>0</v>
      </c>
      <c r="G996" t="s">
        <v>21</v>
      </c>
    </row>
    <row r="997" spans="1:7">
      <c r="A997">
        <v>996</v>
      </c>
      <c r="B997" t="str">
        <f>"020264"</f>
        <v>0</v>
      </c>
      <c r="C997" t="s">
        <v>1862</v>
      </c>
      <c r="D997" t="s">
        <v>1863</v>
      </c>
      <c r="E997" t="str">
        <f>"3801500101777"</f>
        <v>0</v>
      </c>
      <c r="F997" t="str">
        <f>"000320"</f>
        <v>0</v>
      </c>
      <c r="G997" t="s">
        <v>21</v>
      </c>
    </row>
    <row r="998" spans="1:7">
      <c r="A998">
        <v>997</v>
      </c>
      <c r="B998" t="str">
        <f>"022358"</f>
        <v>0</v>
      </c>
      <c r="C998" t="s">
        <v>1864</v>
      </c>
      <c r="D998" t="s">
        <v>1865</v>
      </c>
      <c r="E998" t="str">
        <f>"3800400383923"</f>
        <v>0</v>
      </c>
      <c r="F998" t="str">
        <f>"000320"</f>
        <v>0</v>
      </c>
      <c r="G998" t="s">
        <v>21</v>
      </c>
    </row>
    <row r="999" spans="1:7">
      <c r="A999">
        <v>998</v>
      </c>
      <c r="B999" t="str">
        <f>"023295"</f>
        <v>0</v>
      </c>
      <c r="C999" t="s">
        <v>1866</v>
      </c>
      <c r="D999" t="s">
        <v>1867</v>
      </c>
      <c r="E999" t="str">
        <f>"3801301119943"</f>
        <v>0</v>
      </c>
      <c r="F999" t="str">
        <f>"000320"</f>
        <v>0</v>
      </c>
      <c r="G999" t="s">
        <v>21</v>
      </c>
    </row>
    <row r="1000" spans="1:7">
      <c r="A1000">
        <v>999</v>
      </c>
      <c r="B1000" t="str">
        <f>"025767"</f>
        <v>0</v>
      </c>
      <c r="C1000" t="s">
        <v>1868</v>
      </c>
      <c r="D1000" t="s">
        <v>1869</v>
      </c>
      <c r="E1000" t="str">
        <f>"1800700041363"</f>
        <v>0</v>
      </c>
      <c r="F1000" t="str">
        <f>"000320"</f>
        <v>0</v>
      </c>
      <c r="G1000" t="s">
        <v>21</v>
      </c>
    </row>
    <row r="1001" spans="1:7">
      <c r="A1001">
        <v>1000</v>
      </c>
      <c r="B1001" t="str">
        <f>"026670"</f>
        <v>0</v>
      </c>
      <c r="C1001" t="s">
        <v>1870</v>
      </c>
      <c r="D1001" t="s">
        <v>1871</v>
      </c>
      <c r="E1001" t="str">
        <f>"1800600148280"</f>
        <v>0</v>
      </c>
      <c r="F1001" t="str">
        <f>"000320"</f>
        <v>0</v>
      </c>
      <c r="G1001" t="s">
        <v>21</v>
      </c>
    </row>
    <row r="1002" spans="1:7">
      <c r="A1002">
        <v>1001</v>
      </c>
      <c r="B1002" t="str">
        <f>"027070"</f>
        <v>0</v>
      </c>
      <c r="C1002" t="s">
        <v>1872</v>
      </c>
      <c r="D1002" t="s">
        <v>1873</v>
      </c>
      <c r="E1002" t="str">
        <f>"1800700113071"</f>
        <v>0</v>
      </c>
      <c r="F1002" t="str">
        <f>"000320"</f>
        <v>0</v>
      </c>
      <c r="G1002" t="s">
        <v>21</v>
      </c>
    </row>
    <row r="1003" spans="1:7">
      <c r="A1003">
        <v>1002</v>
      </c>
      <c r="B1003" t="str">
        <f>"027482"</f>
        <v>0</v>
      </c>
      <c r="C1003" t="s">
        <v>1874</v>
      </c>
      <c r="D1003" t="s">
        <v>1875</v>
      </c>
      <c r="E1003" t="str">
        <f>"1800100184457"</f>
        <v>0</v>
      </c>
      <c r="F1003" t="str">
        <f>"000320"</f>
        <v>0</v>
      </c>
      <c r="G1003" t="s">
        <v>21</v>
      </c>
    </row>
    <row r="1004" spans="1:7">
      <c r="A1004">
        <v>1003</v>
      </c>
      <c r="B1004" t="str">
        <f>"009585"</f>
        <v>0</v>
      </c>
      <c r="C1004" t="s">
        <v>1876</v>
      </c>
      <c r="D1004" t="s">
        <v>1877</v>
      </c>
      <c r="E1004" t="str">
        <f>"3810400155343"</f>
        <v>0</v>
      </c>
      <c r="F1004" t="str">
        <f>"000320"</f>
        <v>0</v>
      </c>
      <c r="G1004" t="s">
        <v>21</v>
      </c>
    </row>
    <row r="1005" spans="1:7">
      <c r="A1005">
        <v>1004</v>
      </c>
      <c r="B1005" t="str">
        <f>"014501"</f>
        <v>0</v>
      </c>
      <c r="C1005" t="s">
        <v>1878</v>
      </c>
      <c r="D1005" t="s">
        <v>1879</v>
      </c>
      <c r="E1005" t="str">
        <f>"3810500097817"</f>
        <v>0</v>
      </c>
      <c r="F1005" t="str">
        <f>"000320"</f>
        <v>0</v>
      </c>
      <c r="G1005" t="s">
        <v>21</v>
      </c>
    </row>
    <row r="1006" spans="1:7">
      <c r="A1006">
        <v>1005</v>
      </c>
      <c r="B1006" t="str">
        <f>"015383"</f>
        <v>0</v>
      </c>
      <c r="C1006" t="s">
        <v>1880</v>
      </c>
      <c r="D1006" t="s">
        <v>1881</v>
      </c>
      <c r="E1006" t="str">
        <f>"3930300412408"</f>
        <v>0</v>
      </c>
      <c r="F1006" t="str">
        <f>"000320"</f>
        <v>0</v>
      </c>
      <c r="G1006" t="s">
        <v>21</v>
      </c>
    </row>
    <row r="1007" spans="1:7">
      <c r="A1007">
        <v>1006</v>
      </c>
      <c r="B1007" t="str">
        <f>"015852"</f>
        <v>0</v>
      </c>
      <c r="C1007" t="s">
        <v>1882</v>
      </c>
      <c r="D1007" t="s">
        <v>1883</v>
      </c>
      <c r="E1007" t="str">
        <f>"3929900268837"</f>
        <v>0</v>
      </c>
      <c r="F1007" t="str">
        <f>"000320"</f>
        <v>0</v>
      </c>
      <c r="G1007" t="s">
        <v>21</v>
      </c>
    </row>
    <row r="1008" spans="1:7">
      <c r="A1008">
        <v>1007</v>
      </c>
      <c r="B1008" t="str">
        <f>"017249"</f>
        <v>0</v>
      </c>
      <c r="C1008" t="s">
        <v>1884</v>
      </c>
      <c r="D1008" t="s">
        <v>1885</v>
      </c>
      <c r="E1008" t="str">
        <f>"3810100176370"</f>
        <v>0</v>
      </c>
      <c r="F1008" t="str">
        <f>"000320"</f>
        <v>0</v>
      </c>
      <c r="G1008" t="s">
        <v>21</v>
      </c>
    </row>
    <row r="1009" spans="1:7">
      <c r="A1009">
        <v>1008</v>
      </c>
      <c r="B1009" t="str">
        <f>"017319"</f>
        <v>0</v>
      </c>
      <c r="C1009" t="s">
        <v>587</v>
      </c>
      <c r="D1009" t="s">
        <v>1886</v>
      </c>
      <c r="E1009" t="str">
        <f>"3800700362719"</f>
        <v>0</v>
      </c>
      <c r="F1009" t="str">
        <f>"000320"</f>
        <v>0</v>
      </c>
      <c r="G1009" t="s">
        <v>21</v>
      </c>
    </row>
    <row r="1010" spans="1:7">
      <c r="A1010">
        <v>1009</v>
      </c>
      <c r="B1010" t="str">
        <f>"017647"</f>
        <v>0</v>
      </c>
      <c r="C1010" t="s">
        <v>1887</v>
      </c>
      <c r="D1010" t="s">
        <v>1888</v>
      </c>
      <c r="E1010" t="str">
        <f>"3810400189205"</f>
        <v>0</v>
      </c>
      <c r="F1010" t="str">
        <f>"000320"</f>
        <v>0</v>
      </c>
      <c r="G1010" t="s">
        <v>21</v>
      </c>
    </row>
    <row r="1011" spans="1:7">
      <c r="A1011">
        <v>1010</v>
      </c>
      <c r="B1011" t="str">
        <f>"019201"</f>
        <v>0</v>
      </c>
      <c r="C1011" t="s">
        <v>1889</v>
      </c>
      <c r="D1011" t="s">
        <v>1890</v>
      </c>
      <c r="E1011" t="str">
        <f>"3801300217437"</f>
        <v>0</v>
      </c>
      <c r="F1011" t="str">
        <f>"000320"</f>
        <v>0</v>
      </c>
      <c r="G1011" t="s">
        <v>21</v>
      </c>
    </row>
    <row r="1012" spans="1:7">
      <c r="A1012">
        <v>1011</v>
      </c>
      <c r="B1012" t="str">
        <f>"019295"</f>
        <v>0</v>
      </c>
      <c r="C1012" t="s">
        <v>1891</v>
      </c>
      <c r="D1012" t="s">
        <v>1892</v>
      </c>
      <c r="E1012" t="str">
        <f>"3510100886540"</f>
        <v>0</v>
      </c>
      <c r="F1012" t="str">
        <f>"000320"</f>
        <v>0</v>
      </c>
      <c r="G1012" t="s">
        <v>21</v>
      </c>
    </row>
    <row r="1013" spans="1:7">
      <c r="A1013">
        <v>1012</v>
      </c>
      <c r="B1013" t="str">
        <f>"019991"</f>
        <v>0</v>
      </c>
      <c r="C1013" t="s">
        <v>130</v>
      </c>
      <c r="D1013" t="s">
        <v>1893</v>
      </c>
      <c r="E1013" t="str">
        <f>"3810100129321"</f>
        <v>0</v>
      </c>
      <c r="F1013" t="str">
        <f>"000320"</f>
        <v>0</v>
      </c>
      <c r="G1013" t="s">
        <v>21</v>
      </c>
    </row>
    <row r="1014" spans="1:7">
      <c r="A1014">
        <v>1013</v>
      </c>
      <c r="B1014" t="str">
        <f>"020227"</f>
        <v>0</v>
      </c>
      <c r="C1014" t="s">
        <v>1894</v>
      </c>
      <c r="D1014" t="s">
        <v>1895</v>
      </c>
      <c r="E1014" t="str">
        <f>"3809900546919"</f>
        <v>0</v>
      </c>
      <c r="F1014" t="str">
        <f>"000320"</f>
        <v>0</v>
      </c>
      <c r="G1014" t="s">
        <v>21</v>
      </c>
    </row>
    <row r="1015" spans="1:7">
      <c r="A1015">
        <v>1014</v>
      </c>
      <c r="B1015" t="str">
        <f>"022568"</f>
        <v>0</v>
      </c>
      <c r="C1015" t="s">
        <v>1896</v>
      </c>
      <c r="D1015" t="s">
        <v>1897</v>
      </c>
      <c r="E1015" t="str">
        <f>"3810600059178"</f>
        <v>0</v>
      </c>
      <c r="F1015" t="str">
        <f>"000320"</f>
        <v>0</v>
      </c>
      <c r="G1015" t="s">
        <v>21</v>
      </c>
    </row>
    <row r="1016" spans="1:7">
      <c r="A1016">
        <v>1015</v>
      </c>
      <c r="B1016" t="str">
        <f>"023294"</f>
        <v>0</v>
      </c>
      <c r="C1016" t="s">
        <v>1898</v>
      </c>
      <c r="D1016" t="s">
        <v>1899</v>
      </c>
      <c r="E1016" t="str">
        <f>"3810500130041"</f>
        <v>0</v>
      </c>
      <c r="F1016" t="str">
        <f>"000320"</f>
        <v>0</v>
      </c>
      <c r="G1016" t="s">
        <v>21</v>
      </c>
    </row>
    <row r="1017" spans="1:7">
      <c r="A1017">
        <v>1016</v>
      </c>
      <c r="B1017" t="str">
        <f>"023578"</f>
        <v>0</v>
      </c>
      <c r="C1017" t="s">
        <v>1900</v>
      </c>
      <c r="D1017" t="s">
        <v>1901</v>
      </c>
      <c r="E1017" t="str">
        <f>"3810100591881"</f>
        <v>0</v>
      </c>
      <c r="F1017" t="str">
        <f>"000320"</f>
        <v>0</v>
      </c>
      <c r="G1017" t="s">
        <v>21</v>
      </c>
    </row>
    <row r="1018" spans="1:7">
      <c r="A1018">
        <v>1017</v>
      </c>
      <c r="B1018" t="str">
        <f>"023625"</f>
        <v>0</v>
      </c>
      <c r="C1018" t="s">
        <v>1502</v>
      </c>
      <c r="D1018" t="s">
        <v>1902</v>
      </c>
      <c r="E1018" t="str">
        <f>"3810300153276"</f>
        <v>0</v>
      </c>
      <c r="F1018" t="str">
        <f>"000320"</f>
        <v>0</v>
      </c>
      <c r="G1018" t="s">
        <v>21</v>
      </c>
    </row>
    <row r="1019" spans="1:7">
      <c r="A1019">
        <v>1018</v>
      </c>
      <c r="B1019" t="str">
        <f>"023957"</f>
        <v>0</v>
      </c>
      <c r="C1019" t="s">
        <v>1903</v>
      </c>
      <c r="D1019" t="s">
        <v>1840</v>
      </c>
      <c r="E1019" t="str">
        <f>"5810800000220"</f>
        <v>0</v>
      </c>
      <c r="F1019" t="str">
        <f>"000320"</f>
        <v>0</v>
      </c>
      <c r="G1019" t="s">
        <v>21</v>
      </c>
    </row>
    <row r="1020" spans="1:7">
      <c r="A1020">
        <v>1019</v>
      </c>
      <c r="B1020" t="str">
        <f>"023959"</f>
        <v>0</v>
      </c>
      <c r="C1020" t="s">
        <v>1904</v>
      </c>
      <c r="D1020" t="s">
        <v>1905</v>
      </c>
      <c r="E1020" t="str">
        <f>"1810500040126"</f>
        <v>0</v>
      </c>
      <c r="F1020" t="str">
        <f>"000320"</f>
        <v>0</v>
      </c>
      <c r="G1020" t="s">
        <v>21</v>
      </c>
    </row>
    <row r="1021" spans="1:7">
      <c r="A1021">
        <v>1020</v>
      </c>
      <c r="B1021" t="str">
        <f>"024457"</f>
        <v>0</v>
      </c>
      <c r="C1021" t="s">
        <v>1906</v>
      </c>
      <c r="D1021" t="s">
        <v>1907</v>
      </c>
      <c r="E1021" t="str">
        <f>"3810100579989"</f>
        <v>0</v>
      </c>
      <c r="F1021" t="str">
        <f>"000320"</f>
        <v>0</v>
      </c>
      <c r="G1021" t="s">
        <v>21</v>
      </c>
    </row>
    <row r="1022" spans="1:7">
      <c r="A1022">
        <v>1021</v>
      </c>
      <c r="B1022" t="str">
        <f>"024590"</f>
        <v>0</v>
      </c>
      <c r="C1022" t="s">
        <v>1908</v>
      </c>
      <c r="D1022" t="s">
        <v>1909</v>
      </c>
      <c r="E1022" t="str">
        <f>"1920200006967"</f>
        <v>0</v>
      </c>
      <c r="F1022" t="str">
        <f>"000320"</f>
        <v>0</v>
      </c>
      <c r="G1022" t="s">
        <v>21</v>
      </c>
    </row>
    <row r="1023" spans="1:7">
      <c r="A1023">
        <v>1022</v>
      </c>
      <c r="B1023" t="str">
        <f>"024819"</f>
        <v>0</v>
      </c>
      <c r="C1023" t="s">
        <v>1910</v>
      </c>
      <c r="D1023" t="s">
        <v>1911</v>
      </c>
      <c r="E1023" t="str">
        <f>"3939900003035"</f>
        <v>0</v>
      </c>
      <c r="F1023" t="str">
        <f>"000320"</f>
        <v>0</v>
      </c>
      <c r="G1023" t="s">
        <v>21</v>
      </c>
    </row>
    <row r="1024" spans="1:7">
      <c r="A1024">
        <v>1023</v>
      </c>
      <c r="B1024" t="str">
        <f>"025028"</f>
        <v>0</v>
      </c>
      <c r="C1024" t="s">
        <v>1912</v>
      </c>
      <c r="D1024" t="s">
        <v>1913</v>
      </c>
      <c r="E1024" t="str">
        <f>"1410600179235"</f>
        <v>0</v>
      </c>
      <c r="F1024" t="str">
        <f>"000320"</f>
        <v>0</v>
      </c>
      <c r="G1024" t="s">
        <v>21</v>
      </c>
    </row>
    <row r="1025" spans="1:7">
      <c r="A1025">
        <v>1024</v>
      </c>
      <c r="B1025" t="str">
        <f>"025569"</f>
        <v>0</v>
      </c>
      <c r="C1025" t="s">
        <v>1914</v>
      </c>
      <c r="D1025" t="s">
        <v>1915</v>
      </c>
      <c r="E1025" t="str">
        <f>"3810400075480"</f>
        <v>0</v>
      </c>
      <c r="F1025" t="str">
        <f>"000320"</f>
        <v>0</v>
      </c>
      <c r="G1025" t="s">
        <v>21</v>
      </c>
    </row>
    <row r="1026" spans="1:7">
      <c r="A1026">
        <v>1025</v>
      </c>
      <c r="B1026" t="str">
        <f>"026116"</f>
        <v>0</v>
      </c>
      <c r="C1026" t="s">
        <v>1916</v>
      </c>
      <c r="D1026" t="s">
        <v>1917</v>
      </c>
      <c r="E1026" t="str">
        <f>"1810200078713"</f>
        <v>0</v>
      </c>
      <c r="F1026" t="str">
        <f>"000320"</f>
        <v>0</v>
      </c>
      <c r="G1026" t="s">
        <v>21</v>
      </c>
    </row>
    <row r="1027" spans="1:7">
      <c r="A1027">
        <v>1026</v>
      </c>
      <c r="B1027" t="str">
        <f>"026536"</f>
        <v>0</v>
      </c>
      <c r="C1027" t="s">
        <v>1918</v>
      </c>
      <c r="D1027" t="s">
        <v>1919</v>
      </c>
      <c r="E1027" t="str">
        <f>"1600100318340"</f>
        <v>0</v>
      </c>
      <c r="F1027" t="str">
        <f>"000320"</f>
        <v>0</v>
      </c>
      <c r="G1027" t="s">
        <v>21</v>
      </c>
    </row>
    <row r="1028" spans="1:7">
      <c r="A1028">
        <v>1027</v>
      </c>
      <c r="B1028" t="str">
        <f>"026668"</f>
        <v>0</v>
      </c>
      <c r="C1028" t="s">
        <v>1920</v>
      </c>
      <c r="D1028" t="s">
        <v>1921</v>
      </c>
      <c r="E1028" t="str">
        <f>"1709800073771"</f>
        <v>0</v>
      </c>
      <c r="F1028" t="str">
        <f>"000320"</f>
        <v>0</v>
      </c>
      <c r="G1028" t="s">
        <v>21</v>
      </c>
    </row>
    <row r="1029" spans="1:7">
      <c r="A1029">
        <v>1028</v>
      </c>
      <c r="B1029" t="str">
        <f>"024245"</f>
        <v>0</v>
      </c>
      <c r="C1029" t="s">
        <v>1922</v>
      </c>
      <c r="D1029" t="s">
        <v>1923</v>
      </c>
      <c r="E1029" t="str">
        <f>"3659900033913"</f>
        <v>0</v>
      </c>
      <c r="F1029" t="str">
        <f>"000320"</f>
        <v>0</v>
      </c>
      <c r="G1029" t="s">
        <v>21</v>
      </c>
    </row>
    <row r="1030" spans="1:7">
      <c r="A1030">
        <v>1029</v>
      </c>
      <c r="B1030" t="str">
        <f>"027071"</f>
        <v>0</v>
      </c>
      <c r="C1030" t="s">
        <v>1924</v>
      </c>
      <c r="D1030" t="s">
        <v>1925</v>
      </c>
      <c r="E1030" t="str">
        <f>"1841500111687"</f>
        <v>0</v>
      </c>
      <c r="F1030" t="str">
        <f>"000320"</f>
        <v>0</v>
      </c>
      <c r="G1030" t="s">
        <v>21</v>
      </c>
    </row>
    <row r="1031" spans="1:7">
      <c r="A1031">
        <v>1030</v>
      </c>
      <c r="B1031" t="str">
        <f>"027073"</f>
        <v>0</v>
      </c>
      <c r="C1031" t="s">
        <v>1926</v>
      </c>
      <c r="D1031" t="s">
        <v>1927</v>
      </c>
      <c r="E1031" t="str">
        <f>"1840100221344"</f>
        <v>0</v>
      </c>
      <c r="F1031" t="str">
        <f>"000320"</f>
        <v>0</v>
      </c>
      <c r="G1031" t="s">
        <v>21</v>
      </c>
    </row>
    <row r="1032" spans="1:7">
      <c r="A1032">
        <v>1031</v>
      </c>
      <c r="B1032" t="str">
        <f>"020428"</f>
        <v>0</v>
      </c>
      <c r="C1032" t="s">
        <v>1928</v>
      </c>
      <c r="D1032" t="s">
        <v>1929</v>
      </c>
      <c r="E1032" t="str">
        <f>"3810100241988"</f>
        <v>0</v>
      </c>
      <c r="F1032" t="str">
        <f>"000320"</f>
        <v>0</v>
      </c>
      <c r="G1032" t="s">
        <v>21</v>
      </c>
    </row>
    <row r="1033" spans="1:7">
      <c r="A1033">
        <v>1032</v>
      </c>
      <c r="B1033" t="str">
        <f>"024200"</f>
        <v>0</v>
      </c>
      <c r="C1033" t="s">
        <v>1718</v>
      </c>
      <c r="D1033" t="s">
        <v>1930</v>
      </c>
      <c r="E1033" t="str">
        <f>"1900700025171"</f>
        <v>0</v>
      </c>
      <c r="F1033" t="str">
        <f>"000320"</f>
        <v>0</v>
      </c>
      <c r="G1033" t="s">
        <v>21</v>
      </c>
    </row>
    <row r="1034" spans="1:7">
      <c r="A1034">
        <v>1033</v>
      </c>
      <c r="B1034" t="str">
        <f>"026287"</f>
        <v>0</v>
      </c>
      <c r="C1034" t="s">
        <v>1931</v>
      </c>
      <c r="D1034" t="s">
        <v>1932</v>
      </c>
      <c r="E1034" t="str">
        <f>"1909800549421"</f>
        <v>0</v>
      </c>
      <c r="F1034" t="str">
        <f>"000320"</f>
        <v>0</v>
      </c>
      <c r="G1034" t="s">
        <v>21</v>
      </c>
    </row>
    <row r="1035" spans="1:7">
      <c r="A1035">
        <v>1034</v>
      </c>
      <c r="B1035" t="str">
        <f>"027311"</f>
        <v>0</v>
      </c>
      <c r="C1035" t="s">
        <v>1933</v>
      </c>
      <c r="D1035" t="s">
        <v>1934</v>
      </c>
      <c r="E1035" t="str">
        <f>"3901100796874"</f>
        <v>0</v>
      </c>
      <c r="F1035" t="str">
        <f>"000320"</f>
        <v>0</v>
      </c>
      <c r="G1035" t="s">
        <v>21</v>
      </c>
    </row>
    <row r="1036" spans="1:7">
      <c r="A1036">
        <v>1035</v>
      </c>
      <c r="B1036" t="str">
        <f>"026528"</f>
        <v>0</v>
      </c>
      <c r="C1036" t="s">
        <v>1935</v>
      </c>
      <c r="D1036" t="s">
        <v>1936</v>
      </c>
      <c r="E1036" t="str">
        <f>"1920100122752"</f>
        <v>0</v>
      </c>
      <c r="F1036" t="str">
        <f>"000320"</f>
        <v>0</v>
      </c>
      <c r="G1036" t="s">
        <v>21</v>
      </c>
    </row>
    <row r="1037" spans="1:7">
      <c r="A1037">
        <v>1036</v>
      </c>
      <c r="B1037" t="str">
        <f>"025099"</f>
        <v>0</v>
      </c>
      <c r="C1037" t="s">
        <v>1577</v>
      </c>
      <c r="D1037" t="s">
        <v>1937</v>
      </c>
      <c r="E1037" t="str">
        <f>"1939900139534"</f>
        <v>0</v>
      </c>
      <c r="F1037" t="str">
        <f>"000320"</f>
        <v>0</v>
      </c>
      <c r="G1037" t="s">
        <v>21</v>
      </c>
    </row>
    <row r="1038" spans="1:7">
      <c r="A1038">
        <v>1037</v>
      </c>
      <c r="B1038" t="str">
        <f>"027072"</f>
        <v>0</v>
      </c>
      <c r="C1038" t="s">
        <v>1938</v>
      </c>
      <c r="D1038" t="s">
        <v>1939</v>
      </c>
      <c r="E1038" t="str">
        <f>"1930700046925"</f>
        <v>0</v>
      </c>
      <c r="F1038" t="str">
        <f>"000320"</f>
        <v>0</v>
      </c>
      <c r="G1038" t="s">
        <v>21</v>
      </c>
    </row>
    <row r="1039" spans="1:7">
      <c r="A1039">
        <v>1038</v>
      </c>
      <c r="B1039" t="str">
        <f>"018543"</f>
        <v>0</v>
      </c>
      <c r="C1039" t="s">
        <v>1940</v>
      </c>
      <c r="D1039" t="s">
        <v>479</v>
      </c>
      <c r="E1039" t="str">
        <f>"3800400648951"</f>
        <v>0</v>
      </c>
      <c r="F1039" t="str">
        <f>"000320"</f>
        <v>0</v>
      </c>
      <c r="G1039" t="s">
        <v>21</v>
      </c>
    </row>
    <row r="1040" spans="1:7">
      <c r="A1040">
        <v>1039</v>
      </c>
      <c r="B1040" t="str">
        <f>"025833"</f>
        <v>0</v>
      </c>
      <c r="C1040" t="s">
        <v>1941</v>
      </c>
      <c r="D1040" t="s">
        <v>1942</v>
      </c>
      <c r="E1040" t="str">
        <f>"1959900132998"</f>
        <v>0</v>
      </c>
      <c r="F1040" t="str">
        <f>"000320"</f>
        <v>0</v>
      </c>
      <c r="G1040" t="s">
        <v>21</v>
      </c>
    </row>
    <row r="1041" spans="1:7">
      <c r="A1041">
        <v>1040</v>
      </c>
      <c r="B1041" t="str">
        <f>"023116"</f>
        <v>0</v>
      </c>
      <c r="C1041" t="s">
        <v>610</v>
      </c>
      <c r="D1041" t="s">
        <v>1943</v>
      </c>
      <c r="E1041" t="str">
        <f>"3300300021048"</f>
        <v>0</v>
      </c>
      <c r="F1041" t="str">
        <f>"000320"</f>
        <v>0</v>
      </c>
      <c r="G1041" t="s">
        <v>21</v>
      </c>
    </row>
    <row r="1042" spans="1:7">
      <c r="A1042">
        <v>1041</v>
      </c>
      <c r="B1042" t="str">
        <f>"012249"</f>
        <v>0</v>
      </c>
      <c r="C1042" t="s">
        <v>1944</v>
      </c>
      <c r="D1042" t="s">
        <v>1945</v>
      </c>
      <c r="E1042" t="str">
        <f>"3819900071279"</f>
        <v>0</v>
      </c>
      <c r="F1042" t="str">
        <f>"000320"</f>
        <v>0</v>
      </c>
      <c r="G1042" t="s">
        <v>21</v>
      </c>
    </row>
    <row r="1043" spans="1:7">
      <c r="A1043">
        <v>1042</v>
      </c>
      <c r="B1043" t="str">
        <f>"015449"</f>
        <v>0</v>
      </c>
      <c r="C1043" t="s">
        <v>878</v>
      </c>
      <c r="D1043" t="s">
        <v>1946</v>
      </c>
      <c r="E1043" t="str">
        <f>"3810600143934"</f>
        <v>0</v>
      </c>
      <c r="F1043" t="str">
        <f>"000320"</f>
        <v>0</v>
      </c>
      <c r="G1043" t="s">
        <v>21</v>
      </c>
    </row>
    <row r="1044" spans="1:7">
      <c r="A1044">
        <v>1043</v>
      </c>
      <c r="B1044" t="str">
        <f>"015540"</f>
        <v>0</v>
      </c>
      <c r="C1044" t="s">
        <v>1947</v>
      </c>
      <c r="D1044" t="s">
        <v>1948</v>
      </c>
      <c r="E1044" t="str">
        <f>"3530200114727"</f>
        <v>0</v>
      </c>
      <c r="F1044" t="str">
        <f>"000320"</f>
        <v>0</v>
      </c>
      <c r="G1044" t="s">
        <v>21</v>
      </c>
    </row>
    <row r="1045" spans="1:7">
      <c r="A1045">
        <v>1044</v>
      </c>
      <c r="B1045" t="str">
        <f>"015626"</f>
        <v>0</v>
      </c>
      <c r="C1045" t="s">
        <v>1949</v>
      </c>
      <c r="D1045" t="s">
        <v>1950</v>
      </c>
      <c r="E1045" t="str">
        <f>"3800600301611"</f>
        <v>0</v>
      </c>
      <c r="F1045" t="str">
        <f>"000320"</f>
        <v>0</v>
      </c>
      <c r="G1045" t="s">
        <v>21</v>
      </c>
    </row>
    <row r="1046" spans="1:7">
      <c r="A1046">
        <v>1045</v>
      </c>
      <c r="B1046" t="str">
        <f>"015627"</f>
        <v>0</v>
      </c>
      <c r="C1046" t="s">
        <v>1951</v>
      </c>
      <c r="D1046" t="s">
        <v>1850</v>
      </c>
      <c r="E1046" t="str">
        <f>"3810100122415"</f>
        <v>0</v>
      </c>
      <c r="F1046" t="str">
        <f>"000320"</f>
        <v>0</v>
      </c>
      <c r="G1046" t="s">
        <v>21</v>
      </c>
    </row>
    <row r="1047" spans="1:7">
      <c r="A1047">
        <v>1046</v>
      </c>
      <c r="B1047" t="str">
        <f>"016068"</f>
        <v>0</v>
      </c>
      <c r="C1047" t="s">
        <v>645</v>
      </c>
      <c r="D1047" t="s">
        <v>1952</v>
      </c>
      <c r="E1047" t="str">
        <f>"3810100599874"</f>
        <v>0</v>
      </c>
      <c r="F1047" t="str">
        <f>"000320"</f>
        <v>0</v>
      </c>
      <c r="G1047" t="s">
        <v>21</v>
      </c>
    </row>
    <row r="1048" spans="1:7">
      <c r="A1048">
        <v>1047</v>
      </c>
      <c r="B1048" t="str">
        <f>"022471"</f>
        <v>0</v>
      </c>
      <c r="C1048" t="s">
        <v>1953</v>
      </c>
      <c r="D1048" t="s">
        <v>1954</v>
      </c>
      <c r="E1048" t="str">
        <f>"1810500011479"</f>
        <v>0</v>
      </c>
      <c r="F1048" t="str">
        <f>"000320"</f>
        <v>0</v>
      </c>
      <c r="G1048" t="s">
        <v>21</v>
      </c>
    </row>
    <row r="1049" spans="1:7">
      <c r="A1049">
        <v>1048</v>
      </c>
      <c r="B1049" t="str">
        <f>"023755"</f>
        <v>0</v>
      </c>
      <c r="C1049" t="s">
        <v>1955</v>
      </c>
      <c r="D1049" t="s">
        <v>1956</v>
      </c>
      <c r="E1049" t="str">
        <f>"3920600204878"</f>
        <v>0</v>
      </c>
      <c r="F1049" t="str">
        <f>"000320"</f>
        <v>0</v>
      </c>
      <c r="G1049" t="s">
        <v>21</v>
      </c>
    </row>
    <row r="1050" spans="1:7">
      <c r="A1050">
        <v>1049</v>
      </c>
      <c r="B1050" t="str">
        <f>"000494"</f>
        <v>0</v>
      </c>
      <c r="C1050" t="s">
        <v>98</v>
      </c>
      <c r="D1050" t="s">
        <v>1957</v>
      </c>
      <c r="E1050" t="str">
        <f>"3710900296249"</f>
        <v>0</v>
      </c>
      <c r="F1050" t="str">
        <f>"000340"</f>
        <v>0</v>
      </c>
      <c r="G1050" t="s">
        <v>21</v>
      </c>
    </row>
    <row r="1051" spans="1:7">
      <c r="A1051">
        <v>1050</v>
      </c>
      <c r="B1051" t="str">
        <f>"001963"</f>
        <v>0</v>
      </c>
      <c r="C1051" t="s">
        <v>520</v>
      </c>
      <c r="D1051" t="s">
        <v>1958</v>
      </c>
      <c r="E1051" t="str">
        <f>"3100504266741"</f>
        <v>0</v>
      </c>
      <c r="F1051" t="str">
        <f>"000340"</f>
        <v>0</v>
      </c>
      <c r="G1051" t="s">
        <v>21</v>
      </c>
    </row>
    <row r="1052" spans="1:7">
      <c r="A1052">
        <v>1051</v>
      </c>
      <c r="B1052" t="str">
        <f>"002456"</f>
        <v>0</v>
      </c>
      <c r="C1052" t="s">
        <v>1413</v>
      </c>
      <c r="D1052" t="s">
        <v>1959</v>
      </c>
      <c r="E1052" t="str">
        <f>"3100500082069"</f>
        <v>0</v>
      </c>
      <c r="F1052" t="str">
        <f>"000340"</f>
        <v>0</v>
      </c>
      <c r="G1052" t="s">
        <v>21</v>
      </c>
    </row>
    <row r="1053" spans="1:7">
      <c r="A1053">
        <v>1052</v>
      </c>
      <c r="B1053" t="str">
        <f>"002920"</f>
        <v>0</v>
      </c>
      <c r="C1053" t="s">
        <v>1960</v>
      </c>
      <c r="D1053" t="s">
        <v>1961</v>
      </c>
      <c r="E1053" t="str">
        <f>"3709900384481"</f>
        <v>0</v>
      </c>
      <c r="F1053" t="str">
        <f>"000340"</f>
        <v>0</v>
      </c>
      <c r="G1053" t="s">
        <v>21</v>
      </c>
    </row>
    <row r="1054" spans="1:7">
      <c r="A1054">
        <v>1053</v>
      </c>
      <c r="B1054" t="str">
        <f>"004455"</f>
        <v>0</v>
      </c>
      <c r="C1054" t="s">
        <v>1962</v>
      </c>
      <c r="D1054" t="s">
        <v>1963</v>
      </c>
      <c r="E1054" t="str">
        <f>"3709900351884"</f>
        <v>0</v>
      </c>
      <c r="F1054" t="str">
        <f>"000340"</f>
        <v>0</v>
      </c>
      <c r="G1054" t="s">
        <v>21</v>
      </c>
    </row>
    <row r="1055" spans="1:7">
      <c r="A1055">
        <v>1054</v>
      </c>
      <c r="B1055" t="str">
        <f>"005419"</f>
        <v>0</v>
      </c>
      <c r="C1055" t="s">
        <v>1964</v>
      </c>
      <c r="D1055" t="s">
        <v>1965</v>
      </c>
      <c r="E1055" t="str">
        <f>"3810600005442"</f>
        <v>0</v>
      </c>
      <c r="F1055" t="str">
        <f>"000340"</f>
        <v>0</v>
      </c>
      <c r="G1055" t="s">
        <v>21</v>
      </c>
    </row>
    <row r="1056" spans="1:7">
      <c r="A1056">
        <v>1055</v>
      </c>
      <c r="B1056" t="str">
        <f>"005588"</f>
        <v>0</v>
      </c>
      <c r="C1056" t="s">
        <v>1966</v>
      </c>
      <c r="D1056" t="s">
        <v>1967</v>
      </c>
      <c r="E1056" t="str">
        <f>"3719900285326"</f>
        <v>0</v>
      </c>
      <c r="F1056" t="str">
        <f>"000340"</f>
        <v>0</v>
      </c>
      <c r="G1056" t="s">
        <v>21</v>
      </c>
    </row>
    <row r="1057" spans="1:7">
      <c r="A1057">
        <v>1056</v>
      </c>
      <c r="B1057" t="str">
        <f>"005948"</f>
        <v>0</v>
      </c>
      <c r="C1057" t="s">
        <v>1968</v>
      </c>
      <c r="D1057" t="s">
        <v>1969</v>
      </c>
      <c r="E1057" t="str">
        <f>"3710600605165"</f>
        <v>0</v>
      </c>
      <c r="F1057" t="str">
        <f>"000340"</f>
        <v>0</v>
      </c>
      <c r="G1057" t="s">
        <v>21</v>
      </c>
    </row>
    <row r="1058" spans="1:7">
      <c r="A1058">
        <v>1057</v>
      </c>
      <c r="B1058" t="str">
        <f>"006656"</f>
        <v>0</v>
      </c>
      <c r="C1058" t="s">
        <v>1970</v>
      </c>
      <c r="D1058" t="s">
        <v>1971</v>
      </c>
      <c r="E1058" t="str">
        <f>"3710500965275"</f>
        <v>0</v>
      </c>
      <c r="F1058" t="str">
        <f>"000340"</f>
        <v>0</v>
      </c>
      <c r="G1058" t="s">
        <v>21</v>
      </c>
    </row>
    <row r="1059" spans="1:7">
      <c r="A1059">
        <v>1058</v>
      </c>
      <c r="B1059" t="str">
        <f>"007292"</f>
        <v>0</v>
      </c>
      <c r="C1059" t="s">
        <v>1972</v>
      </c>
      <c r="D1059" t="s">
        <v>1973</v>
      </c>
      <c r="E1059" t="str">
        <f>"3710200034853"</f>
        <v>0</v>
      </c>
      <c r="F1059" t="str">
        <f>"000340"</f>
        <v>0</v>
      </c>
      <c r="G1059" t="s">
        <v>21</v>
      </c>
    </row>
    <row r="1060" spans="1:7">
      <c r="A1060">
        <v>1059</v>
      </c>
      <c r="B1060" t="str">
        <f>"007293"</f>
        <v>0</v>
      </c>
      <c r="C1060" t="s">
        <v>1974</v>
      </c>
      <c r="D1060" t="s">
        <v>1975</v>
      </c>
      <c r="E1060" t="str">
        <f>"3719900040340"</f>
        <v>0</v>
      </c>
      <c r="F1060" t="str">
        <f>"000340"</f>
        <v>0</v>
      </c>
      <c r="G1060" t="s">
        <v>21</v>
      </c>
    </row>
    <row r="1061" spans="1:7">
      <c r="A1061">
        <v>1060</v>
      </c>
      <c r="B1061" t="str">
        <f>"007488"</f>
        <v>0</v>
      </c>
      <c r="C1061" t="s">
        <v>1976</v>
      </c>
      <c r="D1061" t="s">
        <v>1977</v>
      </c>
      <c r="E1061" t="str">
        <f>"3730500541289"</f>
        <v>0</v>
      </c>
      <c r="F1061" t="str">
        <f>"000340"</f>
        <v>0</v>
      </c>
      <c r="G1061" t="s">
        <v>21</v>
      </c>
    </row>
    <row r="1062" spans="1:7">
      <c r="A1062">
        <v>1061</v>
      </c>
      <c r="B1062" t="str">
        <f>"008173"</f>
        <v>0</v>
      </c>
      <c r="C1062" t="s">
        <v>1978</v>
      </c>
      <c r="D1062" t="s">
        <v>1226</v>
      </c>
      <c r="E1062" t="str">
        <f>"3710500712971"</f>
        <v>0</v>
      </c>
      <c r="F1062" t="str">
        <f>"000340"</f>
        <v>0</v>
      </c>
      <c r="G1062" t="s">
        <v>21</v>
      </c>
    </row>
    <row r="1063" spans="1:7">
      <c r="A1063">
        <v>1062</v>
      </c>
      <c r="B1063" t="str">
        <f>"008300"</f>
        <v>0</v>
      </c>
      <c r="C1063" t="s">
        <v>1979</v>
      </c>
      <c r="D1063" t="s">
        <v>1980</v>
      </c>
      <c r="E1063" t="str">
        <f>"3950400012673"</f>
        <v>0</v>
      </c>
      <c r="F1063" t="str">
        <f>"000340"</f>
        <v>0</v>
      </c>
      <c r="G1063" t="s">
        <v>21</v>
      </c>
    </row>
    <row r="1064" spans="1:7">
      <c r="A1064">
        <v>1063</v>
      </c>
      <c r="B1064" t="str">
        <f>"008665"</f>
        <v>0</v>
      </c>
      <c r="C1064" t="s">
        <v>1981</v>
      </c>
      <c r="D1064" t="s">
        <v>1982</v>
      </c>
      <c r="E1064" t="str">
        <f>"3710600093253"</f>
        <v>0</v>
      </c>
      <c r="F1064" t="str">
        <f>"000340"</f>
        <v>0</v>
      </c>
      <c r="G1064" t="s">
        <v>21</v>
      </c>
    </row>
    <row r="1065" spans="1:7">
      <c r="A1065">
        <v>1064</v>
      </c>
      <c r="B1065" t="str">
        <f>"008765"</f>
        <v>0</v>
      </c>
      <c r="C1065" t="s">
        <v>1983</v>
      </c>
      <c r="D1065" t="s">
        <v>1984</v>
      </c>
      <c r="E1065" t="str">
        <f>"3860800061613"</f>
        <v>0</v>
      </c>
      <c r="F1065" t="str">
        <f>"000340"</f>
        <v>0</v>
      </c>
      <c r="G1065" t="s">
        <v>21</v>
      </c>
    </row>
    <row r="1066" spans="1:7">
      <c r="A1066">
        <v>1065</v>
      </c>
      <c r="B1066" t="str">
        <f>"009510"</f>
        <v>0</v>
      </c>
      <c r="C1066" t="s">
        <v>458</v>
      </c>
      <c r="D1066" t="s">
        <v>1985</v>
      </c>
      <c r="E1066" t="str">
        <f>"3710200063985"</f>
        <v>0</v>
      </c>
      <c r="F1066" t="str">
        <f>"000340"</f>
        <v>0</v>
      </c>
      <c r="G1066" t="s">
        <v>21</v>
      </c>
    </row>
    <row r="1067" spans="1:7">
      <c r="A1067">
        <v>1066</v>
      </c>
      <c r="B1067" t="str">
        <f>"009813"</f>
        <v>0</v>
      </c>
      <c r="C1067" t="s">
        <v>1986</v>
      </c>
      <c r="D1067" t="s">
        <v>1987</v>
      </c>
      <c r="E1067" t="str">
        <f>"3710600902852"</f>
        <v>0</v>
      </c>
      <c r="F1067" t="str">
        <f>"000340"</f>
        <v>0</v>
      </c>
      <c r="G1067" t="s">
        <v>21</v>
      </c>
    </row>
    <row r="1068" spans="1:7">
      <c r="A1068">
        <v>1067</v>
      </c>
      <c r="B1068" t="str">
        <f>"009997"</f>
        <v>0</v>
      </c>
      <c r="C1068" t="s">
        <v>1988</v>
      </c>
      <c r="D1068" t="s">
        <v>1989</v>
      </c>
      <c r="E1068" t="str">
        <f>"4710900003223"</f>
        <v>0</v>
      </c>
      <c r="F1068" t="str">
        <f>"000340"</f>
        <v>0</v>
      </c>
      <c r="G1068" t="s">
        <v>21</v>
      </c>
    </row>
    <row r="1069" spans="1:7">
      <c r="A1069">
        <v>1068</v>
      </c>
      <c r="B1069" t="str">
        <f>"010002"</f>
        <v>0</v>
      </c>
      <c r="C1069" t="s">
        <v>1406</v>
      </c>
      <c r="D1069" t="s">
        <v>1990</v>
      </c>
      <c r="E1069" t="str">
        <f>"3710500548887"</f>
        <v>0</v>
      </c>
      <c r="F1069" t="str">
        <f>"000340"</f>
        <v>0</v>
      </c>
      <c r="G1069" t="s">
        <v>21</v>
      </c>
    </row>
    <row r="1070" spans="1:7">
      <c r="A1070">
        <v>1069</v>
      </c>
      <c r="B1070" t="str">
        <f>"010005"</f>
        <v>0</v>
      </c>
      <c r="C1070" t="s">
        <v>1991</v>
      </c>
      <c r="D1070" t="s">
        <v>1992</v>
      </c>
      <c r="E1070" t="str">
        <f>"3700500758199"</f>
        <v>0</v>
      </c>
      <c r="F1070" t="str">
        <f>"000340"</f>
        <v>0</v>
      </c>
      <c r="G1070" t="s">
        <v>21</v>
      </c>
    </row>
    <row r="1071" spans="1:7">
      <c r="A1071">
        <v>1070</v>
      </c>
      <c r="B1071" t="str">
        <f>"010178"</f>
        <v>0</v>
      </c>
      <c r="C1071" t="s">
        <v>1735</v>
      </c>
      <c r="D1071" t="s">
        <v>1993</v>
      </c>
      <c r="E1071" t="str">
        <f>"3710900619102"</f>
        <v>0</v>
      </c>
      <c r="F1071" t="str">
        <f>"000340"</f>
        <v>0</v>
      </c>
      <c r="G1071" t="s">
        <v>21</v>
      </c>
    </row>
    <row r="1072" spans="1:7">
      <c r="A1072">
        <v>1071</v>
      </c>
      <c r="B1072" t="str">
        <f>"010265"</f>
        <v>0</v>
      </c>
      <c r="C1072" t="s">
        <v>1994</v>
      </c>
      <c r="D1072" t="s">
        <v>1995</v>
      </c>
      <c r="E1072" t="str">
        <f>"3700701106792"</f>
        <v>0</v>
      </c>
      <c r="F1072" t="str">
        <f>"000340"</f>
        <v>0</v>
      </c>
      <c r="G1072" t="s">
        <v>21</v>
      </c>
    </row>
    <row r="1073" spans="1:7">
      <c r="A1073">
        <v>1072</v>
      </c>
      <c r="B1073" t="str">
        <f>"011667"</f>
        <v>0</v>
      </c>
      <c r="C1073" t="s">
        <v>1996</v>
      </c>
      <c r="D1073" t="s">
        <v>1997</v>
      </c>
      <c r="E1073" t="str">
        <f>"3710600261695"</f>
        <v>0</v>
      </c>
      <c r="F1073" t="str">
        <f>"000340"</f>
        <v>0</v>
      </c>
      <c r="G1073" t="s">
        <v>21</v>
      </c>
    </row>
    <row r="1074" spans="1:7">
      <c r="A1074">
        <v>1073</v>
      </c>
      <c r="B1074" t="str">
        <f>"012327"</f>
        <v>0</v>
      </c>
      <c r="C1074" t="s">
        <v>1998</v>
      </c>
      <c r="D1074" t="s">
        <v>1999</v>
      </c>
      <c r="E1074" t="str">
        <f>"3550500120978"</f>
        <v>0</v>
      </c>
      <c r="F1074" t="str">
        <f>"000340"</f>
        <v>0</v>
      </c>
      <c r="G1074" t="s">
        <v>21</v>
      </c>
    </row>
    <row r="1075" spans="1:7">
      <c r="A1075">
        <v>1074</v>
      </c>
      <c r="B1075" t="str">
        <f>"012538"</f>
        <v>0</v>
      </c>
      <c r="C1075" t="s">
        <v>2000</v>
      </c>
      <c r="D1075" t="s">
        <v>2001</v>
      </c>
      <c r="E1075" t="str">
        <f>"3710600539774"</f>
        <v>0</v>
      </c>
      <c r="F1075" t="str">
        <f>"000340"</f>
        <v>0</v>
      </c>
      <c r="G1075" t="s">
        <v>21</v>
      </c>
    </row>
    <row r="1076" spans="1:7">
      <c r="A1076">
        <v>1075</v>
      </c>
      <c r="B1076" t="str">
        <f>"013019"</f>
        <v>0</v>
      </c>
      <c r="C1076" t="s">
        <v>2002</v>
      </c>
      <c r="D1076" t="s">
        <v>2003</v>
      </c>
      <c r="E1076" t="str">
        <f>"3840100555516"</f>
        <v>0</v>
      </c>
      <c r="F1076" t="str">
        <f>"000340"</f>
        <v>0</v>
      </c>
      <c r="G1076" t="s">
        <v>21</v>
      </c>
    </row>
    <row r="1077" spans="1:7">
      <c r="A1077">
        <v>1076</v>
      </c>
      <c r="B1077" t="str">
        <f>"013116"</f>
        <v>0</v>
      </c>
      <c r="C1077" t="s">
        <v>2004</v>
      </c>
      <c r="D1077" t="s">
        <v>2005</v>
      </c>
      <c r="E1077" t="str">
        <f>"3740300361741"</f>
        <v>0</v>
      </c>
      <c r="F1077" t="str">
        <f>"000340"</f>
        <v>0</v>
      </c>
      <c r="G1077" t="s">
        <v>21</v>
      </c>
    </row>
    <row r="1078" spans="1:7">
      <c r="A1078">
        <v>1077</v>
      </c>
      <c r="B1078" t="str">
        <f>"013208"</f>
        <v>0</v>
      </c>
      <c r="C1078" t="s">
        <v>2006</v>
      </c>
      <c r="D1078" t="s">
        <v>2007</v>
      </c>
      <c r="E1078" t="str">
        <f>"3140100426593"</f>
        <v>0</v>
      </c>
      <c r="F1078" t="str">
        <f>"000340"</f>
        <v>0</v>
      </c>
      <c r="G1078" t="s">
        <v>21</v>
      </c>
    </row>
    <row r="1079" spans="1:7">
      <c r="A1079">
        <v>1078</v>
      </c>
      <c r="B1079" t="str">
        <f>"013680"</f>
        <v>0</v>
      </c>
      <c r="C1079" t="s">
        <v>2008</v>
      </c>
      <c r="D1079" t="s">
        <v>2009</v>
      </c>
      <c r="E1079" t="str">
        <f>"3700500313367"</f>
        <v>0</v>
      </c>
      <c r="F1079" t="str">
        <f>"000340"</f>
        <v>0</v>
      </c>
      <c r="G1079" t="s">
        <v>21</v>
      </c>
    </row>
    <row r="1080" spans="1:7">
      <c r="A1080">
        <v>1079</v>
      </c>
      <c r="B1080" t="str">
        <f>"015831"</f>
        <v>0</v>
      </c>
      <c r="C1080" t="s">
        <v>694</v>
      </c>
      <c r="D1080" t="s">
        <v>2010</v>
      </c>
      <c r="E1080" t="str">
        <f>"3719900251341"</f>
        <v>0</v>
      </c>
      <c r="F1080" t="str">
        <f>"000340"</f>
        <v>0</v>
      </c>
      <c r="G1080" t="s">
        <v>21</v>
      </c>
    </row>
    <row r="1081" spans="1:7">
      <c r="A1081">
        <v>1080</v>
      </c>
      <c r="B1081" t="str">
        <f>"019721"</f>
        <v>0</v>
      </c>
      <c r="C1081" t="s">
        <v>1502</v>
      </c>
      <c r="D1081" t="s">
        <v>2011</v>
      </c>
      <c r="E1081" t="str">
        <f>"3102000361033"</f>
        <v>0</v>
      </c>
      <c r="F1081" t="str">
        <f>"000340"</f>
        <v>0</v>
      </c>
      <c r="G1081" t="s">
        <v>21</v>
      </c>
    </row>
    <row r="1082" spans="1:7">
      <c r="A1082">
        <v>1081</v>
      </c>
      <c r="B1082" t="str">
        <f>"021176"</f>
        <v>0</v>
      </c>
      <c r="C1082" t="s">
        <v>367</v>
      </c>
      <c r="D1082" t="s">
        <v>2012</v>
      </c>
      <c r="E1082" t="str">
        <f>"3710500558599"</f>
        <v>0</v>
      </c>
      <c r="F1082" t="str">
        <f>"000340"</f>
        <v>0</v>
      </c>
      <c r="G1082" t="s">
        <v>21</v>
      </c>
    </row>
    <row r="1083" spans="1:7">
      <c r="A1083">
        <v>1082</v>
      </c>
      <c r="B1083" t="str">
        <f>"023626"</f>
        <v>0</v>
      </c>
      <c r="C1083" t="s">
        <v>46</v>
      </c>
      <c r="D1083" t="s">
        <v>2013</v>
      </c>
      <c r="E1083" t="str">
        <f>"3709700103739"</f>
        <v>0</v>
      </c>
      <c r="F1083" t="str">
        <f>"000340"</f>
        <v>0</v>
      </c>
      <c r="G1083" t="s">
        <v>21</v>
      </c>
    </row>
    <row r="1084" spans="1:7">
      <c r="A1084">
        <v>1083</v>
      </c>
      <c r="B1084" t="str">
        <f>"011361"</f>
        <v>0</v>
      </c>
      <c r="C1084" t="s">
        <v>2014</v>
      </c>
      <c r="D1084" t="s">
        <v>2015</v>
      </c>
      <c r="E1084" t="str">
        <f>"3710600416915"</f>
        <v>0</v>
      </c>
      <c r="F1084" t="str">
        <f>"000340"</f>
        <v>0</v>
      </c>
      <c r="G1084" t="s">
        <v>21</v>
      </c>
    </row>
    <row r="1085" spans="1:7">
      <c r="A1085">
        <v>1084</v>
      </c>
      <c r="B1085" t="str">
        <f>"015631"</f>
        <v>0</v>
      </c>
      <c r="C1085" t="s">
        <v>2016</v>
      </c>
      <c r="D1085" t="s">
        <v>2017</v>
      </c>
      <c r="E1085" t="str">
        <f>"3710600034982"</f>
        <v>0</v>
      </c>
      <c r="F1085" t="str">
        <f>"000340"</f>
        <v>0</v>
      </c>
      <c r="G1085" t="s">
        <v>21</v>
      </c>
    </row>
    <row r="1086" spans="1:7">
      <c r="A1086">
        <v>1085</v>
      </c>
      <c r="B1086" t="str">
        <f>"016661"</f>
        <v>0</v>
      </c>
      <c r="C1086" t="s">
        <v>2018</v>
      </c>
      <c r="D1086" t="s">
        <v>2019</v>
      </c>
      <c r="E1086" t="str">
        <f>"3719900285237"</f>
        <v>0</v>
      </c>
      <c r="F1086" t="str">
        <f>"000340"</f>
        <v>0</v>
      </c>
      <c r="G1086" t="s">
        <v>21</v>
      </c>
    </row>
    <row r="1087" spans="1:7">
      <c r="A1087">
        <v>1086</v>
      </c>
      <c r="B1087" t="str">
        <f>"025562"</f>
        <v>0</v>
      </c>
      <c r="C1087" t="s">
        <v>2020</v>
      </c>
      <c r="D1087" t="s">
        <v>2021</v>
      </c>
      <c r="E1087" t="str">
        <f>"3100200118882"</f>
        <v>0</v>
      </c>
      <c r="F1087" t="str">
        <f>"000340"</f>
        <v>0</v>
      </c>
      <c r="G1087" t="s">
        <v>21</v>
      </c>
    </row>
    <row r="1088" spans="1:7">
      <c r="A1088">
        <v>1087</v>
      </c>
      <c r="B1088" t="str">
        <f>"026041"</f>
        <v>0</v>
      </c>
      <c r="C1088" t="s">
        <v>2022</v>
      </c>
      <c r="D1088" t="s">
        <v>2023</v>
      </c>
      <c r="E1088" t="str">
        <f>"1960200022121"</f>
        <v>0</v>
      </c>
      <c r="F1088" t="str">
        <f>"000340"</f>
        <v>0</v>
      </c>
      <c r="G1088" t="s">
        <v>21</v>
      </c>
    </row>
    <row r="1089" spans="1:7">
      <c r="A1089">
        <v>1088</v>
      </c>
      <c r="B1089" t="str">
        <f>"007487"</f>
        <v>0</v>
      </c>
      <c r="C1089" t="s">
        <v>2024</v>
      </c>
      <c r="D1089" t="s">
        <v>2025</v>
      </c>
      <c r="E1089" t="str">
        <f>"3710200001874"</f>
        <v>0</v>
      </c>
      <c r="F1089" t="str">
        <f>"000340"</f>
        <v>0</v>
      </c>
      <c r="G1089" t="s">
        <v>21</v>
      </c>
    </row>
    <row r="1090" spans="1:7">
      <c r="A1090">
        <v>1089</v>
      </c>
      <c r="B1090" t="str">
        <f>"014327"</f>
        <v>0</v>
      </c>
      <c r="C1090" t="s">
        <v>1200</v>
      </c>
      <c r="D1090" t="s">
        <v>2026</v>
      </c>
      <c r="E1090" t="str">
        <f>"3710600855048"</f>
        <v>0</v>
      </c>
      <c r="F1090" t="str">
        <f>"000340"</f>
        <v>0</v>
      </c>
      <c r="G1090" t="s">
        <v>21</v>
      </c>
    </row>
    <row r="1091" spans="1:7">
      <c r="A1091">
        <v>1090</v>
      </c>
      <c r="B1091" t="str">
        <f>"017114"</f>
        <v>0</v>
      </c>
      <c r="C1091" t="s">
        <v>2027</v>
      </c>
      <c r="D1091" t="s">
        <v>2028</v>
      </c>
      <c r="E1091" t="str">
        <f>"3710500535572"</f>
        <v>0</v>
      </c>
      <c r="F1091" t="str">
        <f>"000340"</f>
        <v>0</v>
      </c>
      <c r="G1091" t="s">
        <v>21</v>
      </c>
    </row>
    <row r="1092" spans="1:7">
      <c r="A1092">
        <v>1091</v>
      </c>
      <c r="B1092" t="str">
        <f>"027481"</f>
        <v>0</v>
      </c>
      <c r="C1092" t="s">
        <v>2029</v>
      </c>
      <c r="D1092" t="s">
        <v>2030</v>
      </c>
      <c r="E1092" t="str">
        <f>"2711100003223"</f>
        <v>0</v>
      </c>
      <c r="F1092" t="str">
        <f>"000340"</f>
        <v>0</v>
      </c>
      <c r="G1092" t="s">
        <v>21</v>
      </c>
    </row>
    <row r="1093" spans="1:7">
      <c r="A1093">
        <v>1092</v>
      </c>
      <c r="B1093" t="str">
        <f>"015389"</f>
        <v>0</v>
      </c>
      <c r="C1093" t="s">
        <v>2031</v>
      </c>
      <c r="D1093" t="s">
        <v>2032</v>
      </c>
      <c r="E1093" t="str">
        <f>"3800400535855"</f>
        <v>0</v>
      </c>
      <c r="F1093" t="str">
        <f>"000340"</f>
        <v>0</v>
      </c>
      <c r="G1093" t="s">
        <v>21</v>
      </c>
    </row>
    <row r="1094" spans="1:7">
      <c r="A1094">
        <v>1093</v>
      </c>
      <c r="B1094" t="str">
        <f>"026079"</f>
        <v>0</v>
      </c>
      <c r="C1094" t="s">
        <v>2033</v>
      </c>
      <c r="D1094" t="s">
        <v>2034</v>
      </c>
      <c r="E1094" t="str">
        <f>"1103100006175"</f>
        <v>0</v>
      </c>
      <c r="F1094" t="str">
        <f>"000340"</f>
        <v>0</v>
      </c>
      <c r="G1094" t="s">
        <v>21</v>
      </c>
    </row>
    <row r="1095" spans="1:7">
      <c r="A1095">
        <v>1094</v>
      </c>
      <c r="B1095" t="str">
        <f>"015451"</f>
        <v>0</v>
      </c>
      <c r="C1095" t="s">
        <v>1837</v>
      </c>
      <c r="D1095" t="s">
        <v>2035</v>
      </c>
      <c r="E1095" t="str">
        <f>"3930100295335"</f>
        <v>0</v>
      </c>
      <c r="F1095" t="str">
        <f>"000340"</f>
        <v>0</v>
      </c>
      <c r="G1095" t="s">
        <v>21</v>
      </c>
    </row>
    <row r="1096" spans="1:7">
      <c r="A1096">
        <v>1095</v>
      </c>
      <c r="B1096" t="str">
        <f>"025082"</f>
        <v>0</v>
      </c>
      <c r="C1096" t="s">
        <v>2036</v>
      </c>
      <c r="D1096" t="s">
        <v>2037</v>
      </c>
      <c r="E1096" t="str">
        <f>"1102000947503"</f>
        <v>0</v>
      </c>
      <c r="F1096" t="str">
        <f>"000340"</f>
        <v>0</v>
      </c>
      <c r="G1096" t="s">
        <v>21</v>
      </c>
    </row>
    <row r="1097" spans="1:7">
      <c r="A1097">
        <v>1096</v>
      </c>
      <c r="B1097" t="str">
        <f>"026879"</f>
        <v>0</v>
      </c>
      <c r="C1097" t="s">
        <v>2038</v>
      </c>
      <c r="D1097" t="s">
        <v>2039</v>
      </c>
      <c r="E1097" t="str">
        <f>"1102001700854"</f>
        <v>0</v>
      </c>
      <c r="F1097" t="str">
        <f>"000340"</f>
        <v>0</v>
      </c>
      <c r="G1097" t="s">
        <v>21</v>
      </c>
    </row>
    <row r="1098" spans="1:7">
      <c r="A1098">
        <v>1097</v>
      </c>
      <c r="B1098" t="str">
        <f>"023767"</f>
        <v>0</v>
      </c>
      <c r="C1098" t="s">
        <v>2040</v>
      </c>
      <c r="D1098" t="s">
        <v>2041</v>
      </c>
      <c r="E1098" t="str">
        <f>"1179900151752"</f>
        <v>0</v>
      </c>
      <c r="F1098" t="str">
        <f>"000340"</f>
        <v>0</v>
      </c>
      <c r="G1098" t="s">
        <v>21</v>
      </c>
    </row>
    <row r="1099" spans="1:7">
      <c r="A1099">
        <v>1098</v>
      </c>
      <c r="B1099" t="str">
        <f>"024393"</f>
        <v>0</v>
      </c>
      <c r="C1099" t="s">
        <v>2042</v>
      </c>
      <c r="D1099" t="s">
        <v>2043</v>
      </c>
      <c r="E1099" t="str">
        <f>"3501700153838"</f>
        <v>0</v>
      </c>
      <c r="F1099" t="str">
        <f>"000340"</f>
        <v>0</v>
      </c>
      <c r="G1099" t="s">
        <v>21</v>
      </c>
    </row>
    <row r="1100" spans="1:7">
      <c r="A1100">
        <v>1099</v>
      </c>
      <c r="B1100" t="str">
        <f>"022680"</f>
        <v>0</v>
      </c>
      <c r="C1100" t="s">
        <v>2044</v>
      </c>
      <c r="D1100" t="s">
        <v>2045</v>
      </c>
      <c r="E1100" t="str">
        <f>"3520100123643"</f>
        <v>0</v>
      </c>
      <c r="F1100" t="str">
        <f>"000340"</f>
        <v>0</v>
      </c>
      <c r="G1100" t="s">
        <v>21</v>
      </c>
    </row>
    <row r="1101" spans="1:7">
      <c r="A1101">
        <v>1100</v>
      </c>
      <c r="B1101" t="str">
        <f>"026988"</f>
        <v>0</v>
      </c>
      <c r="C1101" t="s">
        <v>2046</v>
      </c>
      <c r="D1101" t="s">
        <v>2047</v>
      </c>
      <c r="E1101" t="str">
        <f>"1520100085303"</f>
        <v>0</v>
      </c>
      <c r="F1101" t="str">
        <f>"000340"</f>
        <v>0</v>
      </c>
      <c r="G1101" t="s">
        <v>21</v>
      </c>
    </row>
    <row r="1102" spans="1:7">
      <c r="A1102">
        <v>1101</v>
      </c>
      <c r="B1102" t="str">
        <f>"024633"</f>
        <v>0</v>
      </c>
      <c r="C1102" t="s">
        <v>2048</v>
      </c>
      <c r="D1102" t="s">
        <v>2049</v>
      </c>
      <c r="E1102" t="str">
        <f>"3610600534374"</f>
        <v>0</v>
      </c>
      <c r="F1102" t="str">
        <f>"000340"</f>
        <v>0</v>
      </c>
      <c r="G1102" t="s">
        <v>21</v>
      </c>
    </row>
    <row r="1103" spans="1:7">
      <c r="A1103">
        <v>1102</v>
      </c>
      <c r="B1103" t="str">
        <f>"025548"</f>
        <v>0</v>
      </c>
      <c r="C1103" t="s">
        <v>2050</v>
      </c>
      <c r="D1103" t="s">
        <v>2051</v>
      </c>
      <c r="E1103" t="str">
        <f>"1640700033401"</f>
        <v>0</v>
      </c>
      <c r="F1103" t="str">
        <f>"000340"</f>
        <v>0</v>
      </c>
      <c r="G1103" t="s">
        <v>21</v>
      </c>
    </row>
    <row r="1104" spans="1:7">
      <c r="A1104">
        <v>1103</v>
      </c>
      <c r="B1104" t="str">
        <f>"026671"</f>
        <v>0</v>
      </c>
      <c r="C1104" t="s">
        <v>2052</v>
      </c>
      <c r="D1104" t="s">
        <v>2053</v>
      </c>
      <c r="E1104" t="str">
        <f>"1650100058780"</f>
        <v>0</v>
      </c>
      <c r="F1104" t="str">
        <f>"000340"</f>
        <v>0</v>
      </c>
      <c r="G1104" t="s">
        <v>21</v>
      </c>
    </row>
    <row r="1105" spans="1:7">
      <c r="A1105">
        <v>1104</v>
      </c>
      <c r="B1105" t="str">
        <f>"023659"</f>
        <v>0</v>
      </c>
      <c r="C1105" t="s">
        <v>1998</v>
      </c>
      <c r="D1105" t="s">
        <v>2054</v>
      </c>
      <c r="E1105" t="str">
        <f>"1709900348879"</f>
        <v>0</v>
      </c>
      <c r="F1105" t="str">
        <f>"000340"</f>
        <v>0</v>
      </c>
      <c r="G1105" t="s">
        <v>21</v>
      </c>
    </row>
    <row r="1106" spans="1:7">
      <c r="A1106">
        <v>1105</v>
      </c>
      <c r="B1106" t="str">
        <f>"024725"</f>
        <v>0</v>
      </c>
      <c r="C1106" t="s">
        <v>1011</v>
      </c>
      <c r="D1106" t="s">
        <v>2055</v>
      </c>
      <c r="E1106" t="str">
        <f>"1709900027908"</f>
        <v>0</v>
      </c>
      <c r="F1106" t="str">
        <f>"000340"</f>
        <v>0</v>
      </c>
      <c r="G1106" t="s">
        <v>21</v>
      </c>
    </row>
    <row r="1107" spans="1:7">
      <c r="A1107">
        <v>1106</v>
      </c>
      <c r="B1107" t="str">
        <f>"025574"</f>
        <v>0</v>
      </c>
      <c r="C1107" t="s">
        <v>2056</v>
      </c>
      <c r="D1107" t="s">
        <v>2057</v>
      </c>
      <c r="E1107" t="str">
        <f>"1709800071212"</f>
        <v>0</v>
      </c>
      <c r="F1107" t="str">
        <f>"000340"</f>
        <v>0</v>
      </c>
      <c r="G1107" t="s">
        <v>21</v>
      </c>
    </row>
    <row r="1108" spans="1:7">
      <c r="A1108">
        <v>1107</v>
      </c>
      <c r="B1108" t="str">
        <f>"027075"</f>
        <v>0</v>
      </c>
      <c r="C1108" t="s">
        <v>2058</v>
      </c>
      <c r="D1108" t="s">
        <v>2059</v>
      </c>
      <c r="E1108" t="str">
        <f>"1770600145559"</f>
        <v>0</v>
      </c>
      <c r="F1108" t="str">
        <f>"000340"</f>
        <v>0</v>
      </c>
      <c r="G1108" t="s">
        <v>21</v>
      </c>
    </row>
    <row r="1109" spans="1:7">
      <c r="A1109">
        <v>1108</v>
      </c>
      <c r="B1109" t="str">
        <f>"027327"</f>
        <v>0</v>
      </c>
      <c r="C1109" t="s">
        <v>2060</v>
      </c>
      <c r="D1109" t="s">
        <v>2061</v>
      </c>
      <c r="E1109" t="str">
        <f>"1700400193282"</f>
        <v>0</v>
      </c>
      <c r="F1109" t="str">
        <f>"000340"</f>
        <v>0</v>
      </c>
      <c r="G1109" t="s">
        <v>21</v>
      </c>
    </row>
    <row r="1110" spans="1:7">
      <c r="A1110">
        <v>1109</v>
      </c>
      <c r="B1110" t="str">
        <f>"027488"</f>
        <v>0</v>
      </c>
      <c r="C1110" t="s">
        <v>2062</v>
      </c>
      <c r="D1110" t="s">
        <v>2063</v>
      </c>
      <c r="E1110" t="str">
        <f>"5700100020857"</f>
        <v>0</v>
      </c>
      <c r="F1110" t="str">
        <f>"000340"</f>
        <v>0</v>
      </c>
      <c r="G1110" t="s">
        <v>21</v>
      </c>
    </row>
    <row r="1111" spans="1:7">
      <c r="A1111">
        <v>1110</v>
      </c>
      <c r="B1111" t="str">
        <f>"009992"</f>
        <v>0</v>
      </c>
      <c r="C1111" t="s">
        <v>2064</v>
      </c>
      <c r="D1111" t="s">
        <v>2065</v>
      </c>
      <c r="E1111" t="str">
        <f>"3730400026374"</f>
        <v>0</v>
      </c>
      <c r="F1111" t="str">
        <f>"000340"</f>
        <v>0</v>
      </c>
      <c r="G1111" t="s">
        <v>21</v>
      </c>
    </row>
    <row r="1112" spans="1:7">
      <c r="A1112">
        <v>1111</v>
      </c>
      <c r="B1112" t="str">
        <f>"009995"</f>
        <v>0</v>
      </c>
      <c r="C1112" t="s">
        <v>445</v>
      </c>
      <c r="D1112" t="s">
        <v>2066</v>
      </c>
      <c r="E1112" t="str">
        <f>"4710900001514"</f>
        <v>0</v>
      </c>
      <c r="F1112" t="str">
        <f>"000340"</f>
        <v>0</v>
      </c>
      <c r="G1112" t="s">
        <v>21</v>
      </c>
    </row>
    <row r="1113" spans="1:7">
      <c r="A1113">
        <v>1112</v>
      </c>
      <c r="B1113" t="str">
        <f>"010244"</f>
        <v>0</v>
      </c>
      <c r="C1113" t="s">
        <v>789</v>
      </c>
      <c r="D1113" t="s">
        <v>2067</v>
      </c>
      <c r="E1113" t="str">
        <f>"3710300097296"</f>
        <v>0</v>
      </c>
      <c r="F1113" t="str">
        <f>"000340"</f>
        <v>0</v>
      </c>
      <c r="G1113" t="s">
        <v>21</v>
      </c>
    </row>
    <row r="1114" spans="1:7">
      <c r="A1114">
        <v>1113</v>
      </c>
      <c r="B1114" t="str">
        <f>"010403"</f>
        <v>0</v>
      </c>
      <c r="C1114" t="s">
        <v>2068</v>
      </c>
      <c r="D1114" t="s">
        <v>2069</v>
      </c>
      <c r="E1114" t="str">
        <f>"3760500132150"</f>
        <v>0</v>
      </c>
      <c r="F1114" t="str">
        <f>"000340"</f>
        <v>0</v>
      </c>
      <c r="G1114" t="s">
        <v>21</v>
      </c>
    </row>
    <row r="1115" spans="1:7">
      <c r="A1115">
        <v>1114</v>
      </c>
      <c r="B1115" t="str">
        <f>"010884"</f>
        <v>0</v>
      </c>
      <c r="C1115" t="s">
        <v>1541</v>
      </c>
      <c r="D1115" t="s">
        <v>2070</v>
      </c>
      <c r="E1115" t="str">
        <f>"3720900691997"</f>
        <v>0</v>
      </c>
      <c r="F1115" t="str">
        <f>"000340"</f>
        <v>0</v>
      </c>
      <c r="G1115" t="s">
        <v>21</v>
      </c>
    </row>
    <row r="1116" spans="1:7">
      <c r="A1116">
        <v>1115</v>
      </c>
      <c r="B1116" t="str">
        <f>"011024"</f>
        <v>0</v>
      </c>
      <c r="C1116" t="s">
        <v>2071</v>
      </c>
      <c r="D1116" t="s">
        <v>2072</v>
      </c>
      <c r="E1116" t="str">
        <f>"5449990005467"</f>
        <v>0</v>
      </c>
      <c r="F1116" t="str">
        <f>"000340"</f>
        <v>0</v>
      </c>
      <c r="G1116" t="s">
        <v>21</v>
      </c>
    </row>
    <row r="1117" spans="1:7">
      <c r="A1117">
        <v>1116</v>
      </c>
      <c r="B1117" t="str">
        <f>"011394"</f>
        <v>0</v>
      </c>
      <c r="C1117" t="s">
        <v>2073</v>
      </c>
      <c r="D1117" t="s">
        <v>2074</v>
      </c>
      <c r="E1117" t="str">
        <f>"5530500027974"</f>
        <v>0</v>
      </c>
      <c r="F1117" t="str">
        <f>"000340"</f>
        <v>0</v>
      </c>
      <c r="G1117" t="s">
        <v>21</v>
      </c>
    </row>
    <row r="1118" spans="1:7">
      <c r="A1118">
        <v>1117</v>
      </c>
      <c r="B1118" t="str">
        <f>"011410"</f>
        <v>0</v>
      </c>
      <c r="C1118" t="s">
        <v>46</v>
      </c>
      <c r="D1118" t="s">
        <v>2075</v>
      </c>
      <c r="E1118" t="str">
        <f>"3720901022843"</f>
        <v>0</v>
      </c>
      <c r="F1118" t="str">
        <f>"000340"</f>
        <v>0</v>
      </c>
      <c r="G1118" t="s">
        <v>21</v>
      </c>
    </row>
    <row r="1119" spans="1:7">
      <c r="A1119">
        <v>1118</v>
      </c>
      <c r="B1119" t="str">
        <f>"011428"</f>
        <v>0</v>
      </c>
      <c r="C1119" t="s">
        <v>2076</v>
      </c>
      <c r="D1119" t="s">
        <v>2077</v>
      </c>
      <c r="E1119" t="str">
        <f>"3710100050628"</f>
        <v>0</v>
      </c>
      <c r="F1119" t="str">
        <f>"000340"</f>
        <v>0</v>
      </c>
      <c r="G1119" t="s">
        <v>21</v>
      </c>
    </row>
    <row r="1120" spans="1:7">
      <c r="A1120">
        <v>1119</v>
      </c>
      <c r="B1120" t="str">
        <f>"011470"</f>
        <v>0</v>
      </c>
      <c r="C1120" t="s">
        <v>2078</v>
      </c>
      <c r="D1120" t="s">
        <v>2079</v>
      </c>
      <c r="E1120" t="str">
        <f>"3930100943108"</f>
        <v>0</v>
      </c>
      <c r="F1120" t="str">
        <f>"000340"</f>
        <v>0</v>
      </c>
      <c r="G1120" t="s">
        <v>21</v>
      </c>
    </row>
    <row r="1121" spans="1:7">
      <c r="A1121">
        <v>1120</v>
      </c>
      <c r="B1121" t="str">
        <f>"011583"</f>
        <v>0</v>
      </c>
      <c r="C1121" t="s">
        <v>2080</v>
      </c>
      <c r="D1121" t="s">
        <v>2081</v>
      </c>
      <c r="E1121" t="str">
        <f>"3710600034001"</f>
        <v>0</v>
      </c>
      <c r="F1121" t="str">
        <f>"000340"</f>
        <v>0</v>
      </c>
      <c r="G1121" t="s">
        <v>21</v>
      </c>
    </row>
    <row r="1122" spans="1:7">
      <c r="A1122">
        <v>1121</v>
      </c>
      <c r="B1122" t="str">
        <f>"015206"</f>
        <v>0</v>
      </c>
      <c r="C1122" t="s">
        <v>2082</v>
      </c>
      <c r="D1122" t="s">
        <v>2083</v>
      </c>
      <c r="E1122" t="str">
        <f>"3719900244891"</f>
        <v>0</v>
      </c>
      <c r="F1122" t="str">
        <f>"000340"</f>
        <v>0</v>
      </c>
      <c r="G1122" t="s">
        <v>21</v>
      </c>
    </row>
    <row r="1123" spans="1:7">
      <c r="A1123">
        <v>1122</v>
      </c>
      <c r="B1123" t="str">
        <f>"015207"</f>
        <v>0</v>
      </c>
      <c r="C1123" t="s">
        <v>2084</v>
      </c>
      <c r="D1123" t="s">
        <v>2017</v>
      </c>
      <c r="E1123" t="str">
        <f>"3710600034940"</f>
        <v>0</v>
      </c>
      <c r="F1123" t="str">
        <f>"000340"</f>
        <v>0</v>
      </c>
      <c r="G1123" t="s">
        <v>21</v>
      </c>
    </row>
    <row r="1124" spans="1:7">
      <c r="A1124">
        <v>1123</v>
      </c>
      <c r="B1124" t="str">
        <f>"015541"</f>
        <v>0</v>
      </c>
      <c r="C1124" t="s">
        <v>2085</v>
      </c>
      <c r="D1124" t="s">
        <v>2086</v>
      </c>
      <c r="E1124" t="str">
        <f>"3709900384499"</f>
        <v>0</v>
      </c>
      <c r="F1124" t="str">
        <f>"000340"</f>
        <v>0</v>
      </c>
      <c r="G1124" t="s">
        <v>21</v>
      </c>
    </row>
    <row r="1125" spans="1:7">
      <c r="A1125">
        <v>1124</v>
      </c>
      <c r="B1125" t="str">
        <f>"016232"</f>
        <v>0</v>
      </c>
      <c r="C1125" t="s">
        <v>2087</v>
      </c>
      <c r="D1125" t="s">
        <v>2088</v>
      </c>
      <c r="E1125" t="str">
        <f>"3711000158207"</f>
        <v>0</v>
      </c>
      <c r="F1125" t="str">
        <f>"000340"</f>
        <v>0</v>
      </c>
      <c r="G1125" t="s">
        <v>21</v>
      </c>
    </row>
    <row r="1126" spans="1:7">
      <c r="A1126">
        <v>1125</v>
      </c>
      <c r="B1126" t="str">
        <f>"016660"</f>
        <v>0</v>
      </c>
      <c r="C1126" t="s">
        <v>2089</v>
      </c>
      <c r="D1126" t="s">
        <v>2090</v>
      </c>
      <c r="E1126" t="str">
        <f>"3600800497294"</f>
        <v>0</v>
      </c>
      <c r="F1126" t="str">
        <f>"000340"</f>
        <v>0</v>
      </c>
      <c r="G1126" t="s">
        <v>21</v>
      </c>
    </row>
    <row r="1127" spans="1:7">
      <c r="A1127">
        <v>1126</v>
      </c>
      <c r="B1127" t="str">
        <f>"017356"</f>
        <v>0</v>
      </c>
      <c r="C1127" t="s">
        <v>86</v>
      </c>
      <c r="D1127" t="s">
        <v>2091</v>
      </c>
      <c r="E1127" t="str">
        <f>"3900300414729"</f>
        <v>0</v>
      </c>
      <c r="F1127" t="str">
        <f>"000340"</f>
        <v>0</v>
      </c>
      <c r="G1127" t="s">
        <v>21</v>
      </c>
    </row>
    <row r="1128" spans="1:7">
      <c r="A1128">
        <v>1127</v>
      </c>
      <c r="B1128" t="str">
        <f>"017653"</f>
        <v>0</v>
      </c>
      <c r="C1128" t="s">
        <v>2092</v>
      </c>
      <c r="D1128" t="s">
        <v>2093</v>
      </c>
      <c r="E1128" t="str">
        <f>"3710100221171"</f>
        <v>0</v>
      </c>
      <c r="F1128" t="str">
        <f>"000340"</f>
        <v>0</v>
      </c>
      <c r="G1128" t="s">
        <v>21</v>
      </c>
    </row>
    <row r="1129" spans="1:7">
      <c r="A1129">
        <v>1128</v>
      </c>
      <c r="B1129" t="str">
        <f>"018348"</f>
        <v>0</v>
      </c>
      <c r="C1129" t="s">
        <v>2094</v>
      </c>
      <c r="D1129" t="s">
        <v>2095</v>
      </c>
      <c r="E1129" t="str">
        <f>"3330501203666"</f>
        <v>0</v>
      </c>
      <c r="F1129" t="str">
        <f>"000340"</f>
        <v>0</v>
      </c>
      <c r="G1129" t="s">
        <v>21</v>
      </c>
    </row>
    <row r="1130" spans="1:7">
      <c r="A1130">
        <v>1129</v>
      </c>
      <c r="B1130" t="str">
        <f>"019253"</f>
        <v>0</v>
      </c>
      <c r="C1130" t="s">
        <v>2096</v>
      </c>
      <c r="D1130" t="s">
        <v>2097</v>
      </c>
      <c r="E1130" t="str">
        <f>"3140200319926"</f>
        <v>0</v>
      </c>
      <c r="F1130" t="str">
        <f>"000340"</f>
        <v>0</v>
      </c>
      <c r="G1130" t="s">
        <v>21</v>
      </c>
    </row>
    <row r="1131" spans="1:7">
      <c r="A1131">
        <v>1130</v>
      </c>
      <c r="B1131" t="str">
        <f>"019285"</f>
        <v>0</v>
      </c>
      <c r="C1131" t="s">
        <v>460</v>
      </c>
      <c r="D1131" t="s">
        <v>2098</v>
      </c>
      <c r="E1131" t="str">
        <f>"3400100491309"</f>
        <v>0</v>
      </c>
      <c r="F1131" t="str">
        <f>"000340"</f>
        <v>0</v>
      </c>
      <c r="G1131" t="s">
        <v>21</v>
      </c>
    </row>
    <row r="1132" spans="1:7">
      <c r="A1132">
        <v>1131</v>
      </c>
      <c r="B1132" t="str">
        <f>"019543"</f>
        <v>0</v>
      </c>
      <c r="C1132" t="s">
        <v>352</v>
      </c>
      <c r="D1132" t="s">
        <v>2099</v>
      </c>
      <c r="E1132" t="str">
        <f>"3710500681897"</f>
        <v>0</v>
      </c>
      <c r="F1132" t="str">
        <f>"000340"</f>
        <v>0</v>
      </c>
      <c r="G1132" t="s">
        <v>21</v>
      </c>
    </row>
    <row r="1133" spans="1:7">
      <c r="A1133">
        <v>1132</v>
      </c>
      <c r="B1133" t="str">
        <f>"019708"</f>
        <v>0</v>
      </c>
      <c r="C1133" t="s">
        <v>397</v>
      </c>
      <c r="D1133" t="s">
        <v>2100</v>
      </c>
      <c r="E1133" t="str">
        <f>"3710500416387"</f>
        <v>0</v>
      </c>
      <c r="F1133" t="str">
        <f>"000340"</f>
        <v>0</v>
      </c>
      <c r="G1133" t="s">
        <v>21</v>
      </c>
    </row>
    <row r="1134" spans="1:7">
      <c r="A1134">
        <v>1133</v>
      </c>
      <c r="B1134" t="str">
        <f>"019817"</f>
        <v>0</v>
      </c>
      <c r="C1134" t="s">
        <v>2101</v>
      </c>
      <c r="D1134" t="s">
        <v>2102</v>
      </c>
      <c r="E1134" t="str">
        <f>"3710500786800"</f>
        <v>0</v>
      </c>
      <c r="F1134" t="str">
        <f>"000340"</f>
        <v>0</v>
      </c>
      <c r="G1134" t="s">
        <v>21</v>
      </c>
    </row>
    <row r="1135" spans="1:7">
      <c r="A1135">
        <v>1134</v>
      </c>
      <c r="B1135" t="str">
        <f>"020204"</f>
        <v>0</v>
      </c>
      <c r="C1135" t="s">
        <v>2103</v>
      </c>
      <c r="D1135" t="s">
        <v>2104</v>
      </c>
      <c r="E1135" t="str">
        <f>"3769900104011"</f>
        <v>0</v>
      </c>
      <c r="F1135" t="str">
        <f>"000340"</f>
        <v>0</v>
      </c>
      <c r="G1135" t="s">
        <v>21</v>
      </c>
    </row>
    <row r="1136" spans="1:7">
      <c r="A1136">
        <v>1135</v>
      </c>
      <c r="B1136" t="str">
        <f>"020462"</f>
        <v>0</v>
      </c>
      <c r="C1136" t="s">
        <v>1884</v>
      </c>
      <c r="D1136" t="s">
        <v>2105</v>
      </c>
      <c r="E1136" t="str">
        <f>"3710600801444"</f>
        <v>0</v>
      </c>
      <c r="F1136" t="str">
        <f>"000340"</f>
        <v>0</v>
      </c>
      <c r="G1136" t="s">
        <v>21</v>
      </c>
    </row>
    <row r="1137" spans="1:7">
      <c r="A1137">
        <v>1136</v>
      </c>
      <c r="B1137" t="str">
        <f>"020463"</f>
        <v>0</v>
      </c>
      <c r="C1137" t="s">
        <v>1097</v>
      </c>
      <c r="D1137" t="s">
        <v>2106</v>
      </c>
      <c r="E1137" t="str">
        <f>"3710900249763"</f>
        <v>0</v>
      </c>
      <c r="F1137" t="str">
        <f>"000340"</f>
        <v>0</v>
      </c>
      <c r="G1137" t="s">
        <v>21</v>
      </c>
    </row>
    <row r="1138" spans="1:7">
      <c r="A1138">
        <v>1137</v>
      </c>
      <c r="B1138" t="str">
        <f>"020606"</f>
        <v>0</v>
      </c>
      <c r="C1138" t="s">
        <v>2107</v>
      </c>
      <c r="D1138" t="s">
        <v>2108</v>
      </c>
      <c r="E1138" t="str">
        <f>"3710100659762"</f>
        <v>0</v>
      </c>
      <c r="F1138" t="str">
        <f>"000340"</f>
        <v>0</v>
      </c>
      <c r="G1138" t="s">
        <v>21</v>
      </c>
    </row>
    <row r="1139" spans="1:7">
      <c r="A1139">
        <v>1138</v>
      </c>
      <c r="B1139" t="str">
        <f>"020796"</f>
        <v>0</v>
      </c>
      <c r="C1139" t="s">
        <v>2109</v>
      </c>
      <c r="D1139" t="s">
        <v>2110</v>
      </c>
      <c r="E1139" t="str">
        <f>"3750300566962"</f>
        <v>0</v>
      </c>
      <c r="F1139" t="str">
        <f>"000340"</f>
        <v>0</v>
      </c>
      <c r="G1139" t="s">
        <v>21</v>
      </c>
    </row>
    <row r="1140" spans="1:7">
      <c r="A1140">
        <v>1139</v>
      </c>
      <c r="B1140" t="str">
        <f>"020856"</f>
        <v>0</v>
      </c>
      <c r="C1140" t="s">
        <v>2111</v>
      </c>
      <c r="D1140" t="s">
        <v>2112</v>
      </c>
      <c r="E1140" t="str">
        <f>"3710400066759"</f>
        <v>0</v>
      </c>
      <c r="F1140" t="str">
        <f>"000340"</f>
        <v>0</v>
      </c>
      <c r="G1140" t="s">
        <v>21</v>
      </c>
    </row>
    <row r="1141" spans="1:7">
      <c r="A1141">
        <v>1140</v>
      </c>
      <c r="B1141" t="str">
        <f>"020926"</f>
        <v>0</v>
      </c>
      <c r="C1141" t="s">
        <v>2113</v>
      </c>
      <c r="D1141" t="s">
        <v>2114</v>
      </c>
      <c r="E1141" t="str">
        <f>"3450100916954"</f>
        <v>0</v>
      </c>
      <c r="F1141" t="str">
        <f>"000340"</f>
        <v>0</v>
      </c>
      <c r="G1141" t="s">
        <v>21</v>
      </c>
    </row>
    <row r="1142" spans="1:7">
      <c r="A1142">
        <v>1141</v>
      </c>
      <c r="B1142" t="str">
        <f>"021838"</f>
        <v>0</v>
      </c>
      <c r="C1142" t="s">
        <v>2115</v>
      </c>
      <c r="D1142" t="s">
        <v>2116</v>
      </c>
      <c r="E1142" t="str">
        <f>"3710500311844"</f>
        <v>0</v>
      </c>
      <c r="F1142" t="str">
        <f>"000340"</f>
        <v>0</v>
      </c>
      <c r="G1142" t="s">
        <v>21</v>
      </c>
    </row>
    <row r="1143" spans="1:7">
      <c r="A1143">
        <v>1142</v>
      </c>
      <c r="B1143" t="str">
        <f>"021876"</f>
        <v>0</v>
      </c>
      <c r="C1143" t="s">
        <v>2117</v>
      </c>
      <c r="D1143" t="s">
        <v>2118</v>
      </c>
      <c r="E1143" t="str">
        <f>"3710600694486"</f>
        <v>0</v>
      </c>
      <c r="F1143" t="str">
        <f>"000340"</f>
        <v>0</v>
      </c>
      <c r="G1143" t="s">
        <v>21</v>
      </c>
    </row>
    <row r="1144" spans="1:7">
      <c r="A1144">
        <v>1143</v>
      </c>
      <c r="B1144" t="str">
        <f>"021950"</f>
        <v>0</v>
      </c>
      <c r="C1144" t="s">
        <v>2119</v>
      </c>
      <c r="D1144" t="s">
        <v>2120</v>
      </c>
      <c r="E1144" t="str">
        <f>"3710100042692"</f>
        <v>0</v>
      </c>
      <c r="F1144" t="str">
        <f>"000340"</f>
        <v>0</v>
      </c>
      <c r="G1144" t="s">
        <v>21</v>
      </c>
    </row>
    <row r="1145" spans="1:7">
      <c r="A1145">
        <v>1144</v>
      </c>
      <c r="B1145" t="str">
        <f>"022110"</f>
        <v>0</v>
      </c>
      <c r="C1145" t="s">
        <v>2121</v>
      </c>
      <c r="D1145" t="s">
        <v>2122</v>
      </c>
      <c r="E1145" t="str">
        <f>"3710100064891"</f>
        <v>0</v>
      </c>
      <c r="F1145" t="str">
        <f>"000340"</f>
        <v>0</v>
      </c>
      <c r="G1145" t="s">
        <v>21</v>
      </c>
    </row>
    <row r="1146" spans="1:7">
      <c r="A1146">
        <v>1145</v>
      </c>
      <c r="B1146" t="str">
        <f>"022114"</f>
        <v>0</v>
      </c>
      <c r="C1146" t="s">
        <v>2123</v>
      </c>
      <c r="D1146" t="s">
        <v>2124</v>
      </c>
      <c r="E1146" t="str">
        <f>"3710600597405"</f>
        <v>0</v>
      </c>
      <c r="F1146" t="str">
        <f>"000340"</f>
        <v>0</v>
      </c>
      <c r="G1146" t="s">
        <v>21</v>
      </c>
    </row>
    <row r="1147" spans="1:7">
      <c r="A1147">
        <v>1146</v>
      </c>
      <c r="B1147" t="str">
        <f>"022605"</f>
        <v>0</v>
      </c>
      <c r="C1147" t="s">
        <v>2125</v>
      </c>
      <c r="D1147" t="s">
        <v>2126</v>
      </c>
      <c r="E1147" t="str">
        <f>"1709900175869"</f>
        <v>0</v>
      </c>
      <c r="F1147" t="str">
        <f>"000340"</f>
        <v>0</v>
      </c>
      <c r="G1147" t="s">
        <v>21</v>
      </c>
    </row>
    <row r="1148" spans="1:7">
      <c r="A1148">
        <v>1147</v>
      </c>
      <c r="B1148" t="str">
        <f>"022681"</f>
        <v>0</v>
      </c>
      <c r="C1148" t="s">
        <v>2127</v>
      </c>
      <c r="D1148" t="s">
        <v>2128</v>
      </c>
      <c r="E1148" t="str">
        <f>"1710100003518"</f>
        <v>0</v>
      </c>
      <c r="F1148" t="str">
        <f>"000340"</f>
        <v>0</v>
      </c>
      <c r="G1148" t="s">
        <v>21</v>
      </c>
    </row>
    <row r="1149" spans="1:7">
      <c r="A1149">
        <v>1148</v>
      </c>
      <c r="B1149" t="str">
        <f>"022998"</f>
        <v>0</v>
      </c>
      <c r="C1149" t="s">
        <v>2129</v>
      </c>
      <c r="D1149" t="s">
        <v>2130</v>
      </c>
      <c r="E1149" t="str">
        <f>"1770300014009"</f>
        <v>0</v>
      </c>
      <c r="F1149" t="str">
        <f>"000340"</f>
        <v>0</v>
      </c>
      <c r="G1149" t="s">
        <v>21</v>
      </c>
    </row>
    <row r="1150" spans="1:7">
      <c r="A1150">
        <v>1149</v>
      </c>
      <c r="B1150" t="str">
        <f>"023863"</f>
        <v>0</v>
      </c>
      <c r="C1150" t="s">
        <v>2131</v>
      </c>
      <c r="D1150" t="s">
        <v>2132</v>
      </c>
      <c r="E1150" t="str">
        <f>"1509900394449"</f>
        <v>0</v>
      </c>
      <c r="F1150" t="str">
        <f>"000340"</f>
        <v>0</v>
      </c>
      <c r="G1150" t="s">
        <v>21</v>
      </c>
    </row>
    <row r="1151" spans="1:7">
      <c r="A1151">
        <v>1150</v>
      </c>
      <c r="B1151" t="str">
        <f>"023963"</f>
        <v>0</v>
      </c>
      <c r="C1151" t="s">
        <v>2133</v>
      </c>
      <c r="D1151" t="s">
        <v>2134</v>
      </c>
      <c r="E1151" t="str">
        <f>"3710300588117"</f>
        <v>0</v>
      </c>
      <c r="F1151" t="str">
        <f>"000340"</f>
        <v>0</v>
      </c>
      <c r="G1151" t="s">
        <v>21</v>
      </c>
    </row>
    <row r="1152" spans="1:7">
      <c r="A1152">
        <v>1151</v>
      </c>
      <c r="B1152" t="str">
        <f>"023965"</f>
        <v>0</v>
      </c>
      <c r="C1152" t="s">
        <v>2135</v>
      </c>
      <c r="D1152" t="s">
        <v>1973</v>
      </c>
      <c r="E1152" t="str">
        <f>"1709900497009"</f>
        <v>0</v>
      </c>
      <c r="F1152" t="str">
        <f>"000340"</f>
        <v>0</v>
      </c>
      <c r="G1152" t="s">
        <v>21</v>
      </c>
    </row>
    <row r="1153" spans="1:7">
      <c r="A1153">
        <v>1152</v>
      </c>
      <c r="B1153" t="str">
        <f>"023983"</f>
        <v>0</v>
      </c>
      <c r="C1153" t="s">
        <v>1315</v>
      </c>
      <c r="D1153" t="s">
        <v>2136</v>
      </c>
      <c r="E1153" t="str">
        <f>"1710900015871"</f>
        <v>0</v>
      </c>
      <c r="F1153" t="str">
        <f>"000340"</f>
        <v>0</v>
      </c>
      <c r="G1153" t="s">
        <v>21</v>
      </c>
    </row>
    <row r="1154" spans="1:7">
      <c r="A1154">
        <v>1153</v>
      </c>
      <c r="B1154" t="str">
        <f>"024290"</f>
        <v>0</v>
      </c>
      <c r="C1154" t="s">
        <v>2137</v>
      </c>
      <c r="D1154" t="s">
        <v>2138</v>
      </c>
      <c r="E1154" t="str">
        <f>"5250500002591"</f>
        <v>0</v>
      </c>
      <c r="F1154" t="str">
        <f>"000340"</f>
        <v>0</v>
      </c>
      <c r="G1154" t="s">
        <v>21</v>
      </c>
    </row>
    <row r="1155" spans="1:7">
      <c r="A1155">
        <v>1154</v>
      </c>
      <c r="B1155" t="str">
        <f>"024596"</f>
        <v>0</v>
      </c>
      <c r="C1155" t="s">
        <v>2139</v>
      </c>
      <c r="D1155" t="s">
        <v>2140</v>
      </c>
      <c r="E1155" t="str">
        <f>"1709900249765"</f>
        <v>0</v>
      </c>
      <c r="F1155" t="str">
        <f>"000340"</f>
        <v>0</v>
      </c>
      <c r="G1155" t="s">
        <v>21</v>
      </c>
    </row>
    <row r="1156" spans="1:7">
      <c r="A1156">
        <v>1155</v>
      </c>
      <c r="B1156" t="str">
        <f>"024721"</f>
        <v>0</v>
      </c>
      <c r="C1156" t="s">
        <v>2141</v>
      </c>
      <c r="D1156" t="s">
        <v>2142</v>
      </c>
      <c r="E1156" t="str">
        <f>"1711000014497"</f>
        <v>0</v>
      </c>
      <c r="F1156" t="str">
        <f>"000340"</f>
        <v>0</v>
      </c>
      <c r="G1156" t="s">
        <v>21</v>
      </c>
    </row>
    <row r="1157" spans="1:7">
      <c r="A1157">
        <v>1156</v>
      </c>
      <c r="B1157" t="str">
        <f>"024977"</f>
        <v>0</v>
      </c>
      <c r="C1157" t="s">
        <v>2143</v>
      </c>
      <c r="D1157" t="s">
        <v>2144</v>
      </c>
      <c r="E1157" t="str">
        <f>"1710600013911"</f>
        <v>0</v>
      </c>
      <c r="F1157" t="str">
        <f>"000340"</f>
        <v>0</v>
      </c>
      <c r="G1157" t="s">
        <v>21</v>
      </c>
    </row>
    <row r="1158" spans="1:7">
      <c r="A1158">
        <v>1157</v>
      </c>
      <c r="B1158" t="str">
        <f>"025083"</f>
        <v>0</v>
      </c>
      <c r="C1158" t="s">
        <v>2145</v>
      </c>
      <c r="D1158" t="s">
        <v>2146</v>
      </c>
      <c r="E1158" t="str">
        <f>"3660500247438"</f>
        <v>0</v>
      </c>
      <c r="F1158" t="str">
        <f>"000340"</f>
        <v>0</v>
      </c>
      <c r="G1158" t="s">
        <v>21</v>
      </c>
    </row>
    <row r="1159" spans="1:7">
      <c r="A1159">
        <v>1158</v>
      </c>
      <c r="B1159" t="str">
        <f>"025167"</f>
        <v>0</v>
      </c>
      <c r="C1159" t="s">
        <v>2147</v>
      </c>
      <c r="D1159" t="s">
        <v>2148</v>
      </c>
      <c r="E1159" t="str">
        <f>"1710900096014"</f>
        <v>0</v>
      </c>
      <c r="F1159" t="str">
        <f>"000340"</f>
        <v>0</v>
      </c>
      <c r="G1159" t="s">
        <v>21</v>
      </c>
    </row>
    <row r="1160" spans="1:7">
      <c r="A1160">
        <v>1159</v>
      </c>
      <c r="B1160" t="str">
        <f>"025227"</f>
        <v>0</v>
      </c>
      <c r="C1160" t="s">
        <v>2149</v>
      </c>
      <c r="D1160" t="s">
        <v>2150</v>
      </c>
      <c r="E1160" t="str">
        <f>"1710600093532"</f>
        <v>0</v>
      </c>
      <c r="F1160" t="str">
        <f>"000340"</f>
        <v>0</v>
      </c>
      <c r="G1160" t="s">
        <v>21</v>
      </c>
    </row>
    <row r="1161" spans="1:7">
      <c r="A1161">
        <v>1160</v>
      </c>
      <c r="B1161" t="str">
        <f>"025742"</f>
        <v>0</v>
      </c>
      <c r="C1161" t="s">
        <v>2151</v>
      </c>
      <c r="D1161" t="s">
        <v>2152</v>
      </c>
      <c r="E1161" t="str">
        <f>"3320900499411"</f>
        <v>0</v>
      </c>
      <c r="F1161" t="str">
        <f>"000340"</f>
        <v>0</v>
      </c>
      <c r="G1161" t="s">
        <v>21</v>
      </c>
    </row>
    <row r="1162" spans="1:7">
      <c r="A1162">
        <v>1161</v>
      </c>
      <c r="B1162" t="str">
        <f>"025825"</f>
        <v>0</v>
      </c>
      <c r="C1162" t="s">
        <v>2153</v>
      </c>
      <c r="D1162" t="s">
        <v>2154</v>
      </c>
      <c r="E1162" t="str">
        <f>"1719900212977"</f>
        <v>0</v>
      </c>
      <c r="F1162" t="str">
        <f>"000340"</f>
        <v>0</v>
      </c>
      <c r="G1162" t="s">
        <v>21</v>
      </c>
    </row>
    <row r="1163" spans="1:7">
      <c r="A1163">
        <v>1162</v>
      </c>
      <c r="B1163" t="str">
        <f>"026076"</f>
        <v>0</v>
      </c>
      <c r="C1163" t="s">
        <v>2155</v>
      </c>
      <c r="D1163" t="s">
        <v>2156</v>
      </c>
      <c r="E1163" t="str">
        <f>"3160500381236"</f>
        <v>0</v>
      </c>
      <c r="F1163" t="str">
        <f>"000340"</f>
        <v>0</v>
      </c>
      <c r="G1163" t="s">
        <v>21</v>
      </c>
    </row>
    <row r="1164" spans="1:7">
      <c r="A1164">
        <v>1163</v>
      </c>
      <c r="B1164" t="str">
        <f>"026081"</f>
        <v>0</v>
      </c>
      <c r="C1164" t="s">
        <v>2157</v>
      </c>
      <c r="D1164" t="s">
        <v>2158</v>
      </c>
      <c r="E1164" t="str">
        <f>"1709900324775"</f>
        <v>0</v>
      </c>
      <c r="F1164" t="str">
        <f>"000340"</f>
        <v>0</v>
      </c>
      <c r="G1164" t="s">
        <v>21</v>
      </c>
    </row>
    <row r="1165" spans="1:7">
      <c r="A1165">
        <v>1164</v>
      </c>
      <c r="B1165" t="str">
        <f>"026562"</f>
        <v>0</v>
      </c>
      <c r="C1165" t="s">
        <v>2159</v>
      </c>
      <c r="D1165" t="s">
        <v>2160</v>
      </c>
      <c r="E1165" t="str">
        <f>"1710900095123"</f>
        <v>0</v>
      </c>
      <c r="F1165" t="str">
        <f>"000340"</f>
        <v>0</v>
      </c>
      <c r="G1165" t="s">
        <v>21</v>
      </c>
    </row>
    <row r="1166" spans="1:7">
      <c r="A1166">
        <v>1165</v>
      </c>
      <c r="B1166" t="str">
        <f>"026919"</f>
        <v>0</v>
      </c>
      <c r="C1166" t="s">
        <v>2161</v>
      </c>
      <c r="D1166" t="s">
        <v>2162</v>
      </c>
      <c r="E1166" t="str">
        <f>"1720400118965"</f>
        <v>0</v>
      </c>
      <c r="F1166" t="str">
        <f>"000340"</f>
        <v>0</v>
      </c>
      <c r="G1166" t="s">
        <v>21</v>
      </c>
    </row>
    <row r="1167" spans="1:7">
      <c r="A1167">
        <v>1166</v>
      </c>
      <c r="B1167" t="str">
        <f>"027326"</f>
        <v>0</v>
      </c>
      <c r="C1167" t="s">
        <v>2163</v>
      </c>
      <c r="D1167" t="s">
        <v>2164</v>
      </c>
      <c r="E1167" t="str">
        <f>"1719900013443"</f>
        <v>0</v>
      </c>
      <c r="F1167" t="str">
        <f>"000340"</f>
        <v>0</v>
      </c>
      <c r="G1167" t="s">
        <v>21</v>
      </c>
    </row>
    <row r="1168" spans="1:7">
      <c r="A1168">
        <v>1167</v>
      </c>
      <c r="B1168" t="str">
        <f>"025547"</f>
        <v>0</v>
      </c>
      <c r="C1168" t="s">
        <v>2165</v>
      </c>
      <c r="D1168" t="s">
        <v>2166</v>
      </c>
      <c r="E1168" t="str">
        <f>"1720900090971"</f>
        <v>0</v>
      </c>
      <c r="F1168" t="str">
        <f>"000340"</f>
        <v>0</v>
      </c>
      <c r="G1168" t="s">
        <v>21</v>
      </c>
    </row>
    <row r="1169" spans="1:7">
      <c r="A1169">
        <v>1168</v>
      </c>
      <c r="B1169" t="str">
        <f>"026077"</f>
        <v>0</v>
      </c>
      <c r="C1169" t="s">
        <v>2167</v>
      </c>
      <c r="D1169" t="s">
        <v>2168</v>
      </c>
      <c r="E1169" t="str">
        <f>"1729900151137"</f>
        <v>0</v>
      </c>
      <c r="F1169" t="str">
        <f>"000340"</f>
        <v>0</v>
      </c>
      <c r="G1169" t="s">
        <v>21</v>
      </c>
    </row>
    <row r="1170" spans="1:7">
      <c r="A1170">
        <v>1169</v>
      </c>
      <c r="B1170" t="str">
        <f>"026463"</f>
        <v>0</v>
      </c>
      <c r="C1170" t="s">
        <v>2169</v>
      </c>
      <c r="D1170" t="s">
        <v>2170</v>
      </c>
      <c r="E1170" t="str">
        <f>"5180600018831"</f>
        <v>0</v>
      </c>
      <c r="F1170" t="str">
        <f>"000340"</f>
        <v>0</v>
      </c>
      <c r="G1170" t="s">
        <v>21</v>
      </c>
    </row>
    <row r="1171" spans="1:7">
      <c r="A1171">
        <v>1170</v>
      </c>
      <c r="B1171" t="str">
        <f>"018487"</f>
        <v>0</v>
      </c>
      <c r="C1171" t="s">
        <v>2171</v>
      </c>
      <c r="D1171" t="s">
        <v>2172</v>
      </c>
      <c r="E1171" t="str">
        <f>"3730101075888"</f>
        <v>0</v>
      </c>
      <c r="F1171" t="str">
        <f>"000340"</f>
        <v>0</v>
      </c>
      <c r="G1171" t="s">
        <v>21</v>
      </c>
    </row>
    <row r="1172" spans="1:7">
      <c r="A1172">
        <v>1171</v>
      </c>
      <c r="B1172" t="str">
        <f>"023663"</f>
        <v>0</v>
      </c>
      <c r="C1172" t="s">
        <v>326</v>
      </c>
      <c r="D1172" t="s">
        <v>2173</v>
      </c>
      <c r="E1172" t="str">
        <f>"1739900018101"</f>
        <v>0</v>
      </c>
      <c r="F1172" t="str">
        <f>"000340"</f>
        <v>0</v>
      </c>
      <c r="G1172" t="s">
        <v>21</v>
      </c>
    </row>
    <row r="1173" spans="1:7">
      <c r="A1173">
        <v>1172</v>
      </c>
      <c r="B1173" t="str">
        <f>"024723"</f>
        <v>0</v>
      </c>
      <c r="C1173" t="s">
        <v>2174</v>
      </c>
      <c r="D1173" t="s">
        <v>2175</v>
      </c>
      <c r="E1173" t="str">
        <f>"1739990070557"</f>
        <v>0</v>
      </c>
      <c r="F1173" t="str">
        <f>"000340"</f>
        <v>0</v>
      </c>
      <c r="G1173" t="s">
        <v>21</v>
      </c>
    </row>
    <row r="1174" spans="1:7">
      <c r="A1174">
        <v>1173</v>
      </c>
      <c r="B1174" t="str">
        <f>"025226"</f>
        <v>0</v>
      </c>
      <c r="C1174" t="s">
        <v>2176</v>
      </c>
      <c r="D1174" t="s">
        <v>2177</v>
      </c>
      <c r="E1174" t="str">
        <f>"1739900062339"</f>
        <v>0</v>
      </c>
      <c r="F1174" t="str">
        <f>"000340"</f>
        <v>0</v>
      </c>
      <c r="G1174" t="s">
        <v>21</v>
      </c>
    </row>
    <row r="1175" spans="1:7">
      <c r="A1175">
        <v>1174</v>
      </c>
      <c r="B1175" t="str">
        <f>"025834"</f>
        <v>0</v>
      </c>
      <c r="C1175" t="s">
        <v>2178</v>
      </c>
      <c r="D1175" t="s">
        <v>2179</v>
      </c>
      <c r="E1175" t="str">
        <f>"1730200008902"</f>
        <v>0</v>
      </c>
      <c r="F1175" t="str">
        <f>"000340"</f>
        <v>0</v>
      </c>
      <c r="G1175" t="s">
        <v>21</v>
      </c>
    </row>
    <row r="1176" spans="1:7">
      <c r="A1176">
        <v>1175</v>
      </c>
      <c r="B1176" t="str">
        <f>"027076"</f>
        <v>0</v>
      </c>
      <c r="C1176" t="s">
        <v>1524</v>
      </c>
      <c r="D1176" t="s">
        <v>2180</v>
      </c>
      <c r="E1176" t="str">
        <f>"1709900579676"</f>
        <v>0</v>
      </c>
      <c r="F1176" t="str">
        <f>"000340"</f>
        <v>0</v>
      </c>
      <c r="G1176" t="s">
        <v>21</v>
      </c>
    </row>
    <row r="1177" spans="1:7">
      <c r="A1177">
        <v>1176</v>
      </c>
      <c r="B1177" t="str">
        <f>"026289"</f>
        <v>0</v>
      </c>
      <c r="C1177" t="s">
        <v>1998</v>
      </c>
      <c r="D1177" t="s">
        <v>2181</v>
      </c>
      <c r="E1177" t="str">
        <f>"1709900565896"</f>
        <v>0</v>
      </c>
      <c r="F1177" t="str">
        <f>"000340"</f>
        <v>0</v>
      </c>
      <c r="G1177" t="s">
        <v>21</v>
      </c>
    </row>
    <row r="1178" spans="1:7">
      <c r="A1178">
        <v>1177</v>
      </c>
      <c r="B1178" t="str">
        <f>"026878"</f>
        <v>0</v>
      </c>
      <c r="C1178" t="s">
        <v>2182</v>
      </c>
      <c r="D1178" t="s">
        <v>2183</v>
      </c>
      <c r="E1178" t="str">
        <f>"1769900080442"</f>
        <v>0</v>
      </c>
      <c r="F1178" t="str">
        <f>"000340"</f>
        <v>0</v>
      </c>
      <c r="G1178" t="s">
        <v>21</v>
      </c>
    </row>
    <row r="1179" spans="1:7">
      <c r="A1179">
        <v>1178</v>
      </c>
      <c r="B1179" t="str">
        <f>"024724"</f>
        <v>0</v>
      </c>
      <c r="C1179" t="s">
        <v>2184</v>
      </c>
      <c r="D1179" t="s">
        <v>2185</v>
      </c>
      <c r="E1179" t="str">
        <f>"1779900077361"</f>
        <v>0</v>
      </c>
      <c r="F1179" t="str">
        <f>"000340"</f>
        <v>0</v>
      </c>
      <c r="G1179" t="s">
        <v>21</v>
      </c>
    </row>
    <row r="1180" spans="1:7">
      <c r="A1180">
        <v>1179</v>
      </c>
      <c r="B1180" t="str">
        <f>"022115"</f>
        <v>0</v>
      </c>
      <c r="C1180" t="s">
        <v>2186</v>
      </c>
      <c r="D1180" t="s">
        <v>2187</v>
      </c>
      <c r="E1180" t="str">
        <f>"3260200116005"</f>
        <v>0</v>
      </c>
      <c r="F1180" t="str">
        <f>"000340"</f>
        <v>0</v>
      </c>
      <c r="G1180" t="s">
        <v>21</v>
      </c>
    </row>
    <row r="1181" spans="1:7">
      <c r="A1181">
        <v>1180</v>
      </c>
      <c r="B1181" t="str">
        <f>"011114"</f>
        <v>0</v>
      </c>
      <c r="C1181" t="s">
        <v>1541</v>
      </c>
      <c r="D1181" t="s">
        <v>2188</v>
      </c>
      <c r="E1181" t="str">
        <f>"3720500520222"</f>
        <v>0</v>
      </c>
      <c r="F1181" t="str">
        <f>"000340"</f>
        <v>0</v>
      </c>
      <c r="G1181" t="s">
        <v>21</v>
      </c>
    </row>
    <row r="1182" spans="1:7">
      <c r="A1182">
        <v>1181</v>
      </c>
      <c r="B1182" t="str">
        <f>"023378"</f>
        <v>0</v>
      </c>
      <c r="C1182" t="s">
        <v>2189</v>
      </c>
      <c r="D1182" t="s">
        <v>2190</v>
      </c>
      <c r="E1182" t="str">
        <f>"3100203062594"</f>
        <v>0</v>
      </c>
      <c r="F1182" t="str">
        <f>"000340"</f>
        <v>0</v>
      </c>
      <c r="G1182" t="s">
        <v>21</v>
      </c>
    </row>
    <row r="1183" spans="1:7">
      <c r="A1183">
        <v>1182</v>
      </c>
      <c r="B1183" t="str">
        <f>"010990"</f>
        <v>0</v>
      </c>
      <c r="C1183" t="s">
        <v>191</v>
      </c>
      <c r="D1183" t="s">
        <v>2191</v>
      </c>
      <c r="E1183" t="str">
        <f>"3600600240991"</f>
        <v>0</v>
      </c>
      <c r="F1183" t="str">
        <f>"000340"</f>
        <v>0</v>
      </c>
      <c r="G1183" t="s">
        <v>21</v>
      </c>
    </row>
    <row r="1184" spans="1:7">
      <c r="A1184">
        <v>1183</v>
      </c>
      <c r="B1184" t="str">
        <f>"011870"</f>
        <v>0</v>
      </c>
      <c r="C1184" t="s">
        <v>154</v>
      </c>
      <c r="D1184" t="s">
        <v>2192</v>
      </c>
      <c r="E1184" t="str">
        <f>"3710600889007"</f>
        <v>0</v>
      </c>
      <c r="F1184" t="str">
        <f>"000340"</f>
        <v>0</v>
      </c>
      <c r="G1184" t="s">
        <v>21</v>
      </c>
    </row>
    <row r="1185" spans="1:7">
      <c r="A1185">
        <v>1184</v>
      </c>
      <c r="B1185" t="str">
        <f>"014016"</f>
        <v>0</v>
      </c>
      <c r="C1185" t="s">
        <v>2193</v>
      </c>
      <c r="D1185" t="s">
        <v>2194</v>
      </c>
      <c r="E1185" t="str">
        <f>"3920100778344"</f>
        <v>0</v>
      </c>
      <c r="F1185" t="str">
        <f>"000340"</f>
        <v>0</v>
      </c>
      <c r="G1185" t="s">
        <v>21</v>
      </c>
    </row>
    <row r="1186" spans="1:7">
      <c r="A1186">
        <v>1185</v>
      </c>
      <c r="B1186" t="str">
        <f>"015495"</f>
        <v>0</v>
      </c>
      <c r="C1186" t="s">
        <v>2195</v>
      </c>
      <c r="D1186" t="s">
        <v>2196</v>
      </c>
      <c r="E1186" t="str">
        <f>"3480700229737"</f>
        <v>0</v>
      </c>
      <c r="F1186" t="str">
        <f>"000340"</f>
        <v>0</v>
      </c>
      <c r="G1186" t="s">
        <v>21</v>
      </c>
    </row>
    <row r="1187" spans="1:7">
      <c r="A1187">
        <v>1186</v>
      </c>
      <c r="B1187" t="str">
        <f>"019250"</f>
        <v>0</v>
      </c>
      <c r="C1187" t="s">
        <v>624</v>
      </c>
      <c r="D1187" t="s">
        <v>2197</v>
      </c>
      <c r="E1187" t="str">
        <f>"3710600457697"</f>
        <v>0</v>
      </c>
      <c r="F1187" t="str">
        <f>"000340"</f>
        <v>0</v>
      </c>
      <c r="G1187" t="s">
        <v>21</v>
      </c>
    </row>
    <row r="1188" spans="1:7">
      <c r="A1188">
        <v>1187</v>
      </c>
      <c r="B1188" t="str">
        <f>"026006"</f>
        <v>0</v>
      </c>
      <c r="C1188" t="s">
        <v>2198</v>
      </c>
      <c r="D1188" t="s">
        <v>2199</v>
      </c>
      <c r="E1188" t="str">
        <f>"1709800087461"</f>
        <v>0</v>
      </c>
      <c r="F1188" t="str">
        <f>"000340"</f>
        <v>0</v>
      </c>
      <c r="G1188" t="s">
        <v>21</v>
      </c>
    </row>
    <row r="1189" spans="1:7">
      <c r="A1189">
        <v>1188</v>
      </c>
      <c r="B1189" t="str">
        <f>"026082"</f>
        <v>0</v>
      </c>
      <c r="C1189" t="s">
        <v>2200</v>
      </c>
      <c r="D1189" t="s">
        <v>2201</v>
      </c>
      <c r="E1189" t="str">
        <f>"1100600271304"</f>
        <v>0</v>
      </c>
      <c r="F1189" t="str">
        <f>"000340"</f>
        <v>0</v>
      </c>
      <c r="G1189" t="s">
        <v>21</v>
      </c>
    </row>
    <row r="1190" spans="1:7">
      <c r="A1190">
        <v>1189</v>
      </c>
      <c r="B1190" t="str">
        <f>"026785"</f>
        <v>0</v>
      </c>
      <c r="C1190" t="s">
        <v>2202</v>
      </c>
      <c r="D1190" t="s">
        <v>2203</v>
      </c>
      <c r="E1190" t="str">
        <f>"3670400111119"</f>
        <v>0</v>
      </c>
      <c r="F1190" t="str">
        <f>"000340"</f>
        <v>0</v>
      </c>
      <c r="G1190" t="s">
        <v>21</v>
      </c>
    </row>
    <row r="1191" spans="1:7">
      <c r="A1191">
        <v>1190</v>
      </c>
      <c r="B1191" t="str">
        <f>"019453"</f>
        <v>0</v>
      </c>
      <c r="C1191" t="s">
        <v>2204</v>
      </c>
      <c r="D1191" t="s">
        <v>2205</v>
      </c>
      <c r="E1191" t="str">
        <f>"3719900152849"</f>
        <v>0</v>
      </c>
      <c r="F1191" t="str">
        <f>"000340"</f>
        <v>0</v>
      </c>
      <c r="G1191" t="s">
        <v>21</v>
      </c>
    </row>
    <row r="1192" spans="1:7">
      <c r="A1192">
        <v>1191</v>
      </c>
      <c r="B1192" t="str">
        <f>"024603"</f>
        <v>0</v>
      </c>
      <c r="C1192" t="s">
        <v>2206</v>
      </c>
      <c r="D1192" t="s">
        <v>2207</v>
      </c>
      <c r="E1192" t="str">
        <f>"3719900328513"</f>
        <v>0</v>
      </c>
      <c r="F1192" t="str">
        <f>"000340"</f>
        <v>0</v>
      </c>
      <c r="G1192" t="s">
        <v>21</v>
      </c>
    </row>
    <row r="1193" spans="1:7">
      <c r="A1193">
        <v>1192</v>
      </c>
      <c r="B1193" t="str">
        <f>"027515"</f>
        <v>0</v>
      </c>
      <c r="C1193" t="s">
        <v>2208</v>
      </c>
      <c r="D1193" t="s">
        <v>2209</v>
      </c>
      <c r="E1193" t="str">
        <f>"1710500261085"</f>
        <v>0</v>
      </c>
      <c r="F1193" t="str">
        <f>"000340"</f>
        <v>0</v>
      </c>
      <c r="G1193" t="s">
        <v>21</v>
      </c>
    </row>
    <row r="1194" spans="1:7">
      <c r="A1194">
        <v>1193</v>
      </c>
      <c r="B1194" t="str">
        <f>"000119"</f>
        <v>0</v>
      </c>
      <c r="C1194" t="s">
        <v>2210</v>
      </c>
      <c r="D1194" t="s">
        <v>2211</v>
      </c>
      <c r="E1194" t="str">
        <f>"3359900128283"</f>
        <v>0</v>
      </c>
      <c r="F1194" t="str">
        <f>"000380"</f>
        <v>0</v>
      </c>
      <c r="G1194" t="s">
        <v>21</v>
      </c>
    </row>
    <row r="1195" spans="1:7">
      <c r="A1195">
        <v>1194</v>
      </c>
      <c r="B1195" t="str">
        <f>"000693"</f>
        <v>0</v>
      </c>
      <c r="C1195" t="s">
        <v>2212</v>
      </c>
      <c r="D1195" t="s">
        <v>2213</v>
      </c>
      <c r="E1195" t="str">
        <f>"3469900296061"</f>
        <v>0</v>
      </c>
      <c r="F1195" t="str">
        <f>"000380"</f>
        <v>0</v>
      </c>
      <c r="G1195" t="s">
        <v>21</v>
      </c>
    </row>
    <row r="1196" spans="1:7">
      <c r="A1196">
        <v>1195</v>
      </c>
      <c r="B1196" t="str">
        <f>"001771"</f>
        <v>0</v>
      </c>
      <c r="C1196" t="s">
        <v>2214</v>
      </c>
      <c r="D1196" t="s">
        <v>2215</v>
      </c>
      <c r="E1196" t="str">
        <f>"3469900070128"</f>
        <v>0</v>
      </c>
      <c r="F1196" t="str">
        <f>"000380"</f>
        <v>0</v>
      </c>
      <c r="G1196" t="s">
        <v>21</v>
      </c>
    </row>
    <row r="1197" spans="1:7">
      <c r="A1197">
        <v>1196</v>
      </c>
      <c r="B1197" t="str">
        <f>"001902"</f>
        <v>0</v>
      </c>
      <c r="C1197" t="s">
        <v>2216</v>
      </c>
      <c r="D1197" t="s">
        <v>2217</v>
      </c>
      <c r="E1197" t="str">
        <f>"3460101066709"</f>
        <v>0</v>
      </c>
      <c r="F1197" t="str">
        <f>"000380"</f>
        <v>0</v>
      </c>
      <c r="G1197" t="s">
        <v>21</v>
      </c>
    </row>
    <row r="1198" spans="1:7">
      <c r="A1198">
        <v>1197</v>
      </c>
      <c r="B1198" t="str">
        <f>"001912"</f>
        <v>0</v>
      </c>
      <c r="C1198" t="s">
        <v>2216</v>
      </c>
      <c r="D1198" t="s">
        <v>2218</v>
      </c>
      <c r="E1198" t="str">
        <f>"3450600401376"</f>
        <v>0</v>
      </c>
      <c r="F1198" t="str">
        <f>"000380"</f>
        <v>0</v>
      </c>
      <c r="G1198" t="s">
        <v>21</v>
      </c>
    </row>
    <row r="1199" spans="1:7">
      <c r="A1199">
        <v>1198</v>
      </c>
      <c r="B1199" t="str">
        <f>"002018"</f>
        <v>0</v>
      </c>
      <c r="C1199" t="s">
        <v>2219</v>
      </c>
      <c r="D1199" t="s">
        <v>2220</v>
      </c>
      <c r="E1199" t="str">
        <f>"3410600759157"</f>
        <v>0</v>
      </c>
      <c r="F1199" t="str">
        <f>"000380"</f>
        <v>0</v>
      </c>
      <c r="G1199" t="s">
        <v>21</v>
      </c>
    </row>
    <row r="1200" spans="1:7">
      <c r="A1200">
        <v>1199</v>
      </c>
      <c r="B1200" t="str">
        <f>"002241"</f>
        <v>0</v>
      </c>
      <c r="C1200" t="s">
        <v>2221</v>
      </c>
      <c r="D1200" t="s">
        <v>2222</v>
      </c>
      <c r="E1200" t="str">
        <f>"3470101505834"</f>
        <v>0</v>
      </c>
      <c r="F1200" t="str">
        <f>"000380"</f>
        <v>0</v>
      </c>
      <c r="G1200" t="s">
        <v>21</v>
      </c>
    </row>
    <row r="1201" spans="1:7">
      <c r="A1201">
        <v>1200</v>
      </c>
      <c r="B1201" t="str">
        <f>"002266"</f>
        <v>0</v>
      </c>
      <c r="C1201" t="s">
        <v>2223</v>
      </c>
      <c r="D1201" t="s">
        <v>2224</v>
      </c>
      <c r="E1201" t="str">
        <f>"3460100278206"</f>
        <v>0</v>
      </c>
      <c r="F1201" t="str">
        <f>"000380"</f>
        <v>0</v>
      </c>
      <c r="G1201" t="s">
        <v>21</v>
      </c>
    </row>
    <row r="1202" spans="1:7">
      <c r="A1202">
        <v>1201</v>
      </c>
      <c r="B1202" t="str">
        <f>"002298"</f>
        <v>0</v>
      </c>
      <c r="C1202" t="s">
        <v>2225</v>
      </c>
      <c r="D1202" t="s">
        <v>2226</v>
      </c>
      <c r="E1202" t="str">
        <f>"3250400516406"</f>
        <v>0</v>
      </c>
      <c r="F1202" t="str">
        <f>"000380"</f>
        <v>0</v>
      </c>
      <c r="G1202" t="s">
        <v>21</v>
      </c>
    </row>
    <row r="1203" spans="1:7">
      <c r="A1203">
        <v>1202</v>
      </c>
      <c r="B1203" t="str">
        <f>"002873"</f>
        <v>0</v>
      </c>
      <c r="C1203" t="s">
        <v>68</v>
      </c>
      <c r="D1203" t="s">
        <v>2227</v>
      </c>
      <c r="E1203" t="str">
        <f>"3469900234392"</f>
        <v>0</v>
      </c>
      <c r="F1203" t="str">
        <f>"000380"</f>
        <v>0</v>
      </c>
      <c r="G1203" t="s">
        <v>21</v>
      </c>
    </row>
    <row r="1204" spans="1:7">
      <c r="A1204">
        <v>1203</v>
      </c>
      <c r="B1204" t="str">
        <f>"002876"</f>
        <v>0</v>
      </c>
      <c r="C1204" t="s">
        <v>2228</v>
      </c>
      <c r="D1204" t="s">
        <v>2229</v>
      </c>
      <c r="E1204" t="str">
        <f>"3479900064578"</f>
        <v>0</v>
      </c>
      <c r="F1204" t="str">
        <f>"000380"</f>
        <v>0</v>
      </c>
      <c r="G1204" t="s">
        <v>21</v>
      </c>
    </row>
    <row r="1205" spans="1:7">
      <c r="A1205">
        <v>1204</v>
      </c>
      <c r="B1205" t="str">
        <f>"002957"</f>
        <v>0</v>
      </c>
      <c r="C1205" t="s">
        <v>2230</v>
      </c>
      <c r="D1205" t="s">
        <v>2231</v>
      </c>
      <c r="E1205" t="str">
        <f>"3469900143559"</f>
        <v>0</v>
      </c>
      <c r="F1205" t="str">
        <f>"000380"</f>
        <v>0</v>
      </c>
      <c r="G1205" t="s">
        <v>21</v>
      </c>
    </row>
    <row r="1206" spans="1:7">
      <c r="A1206">
        <v>1205</v>
      </c>
      <c r="B1206" t="str">
        <f>"003208"</f>
        <v>0</v>
      </c>
      <c r="C1206" t="s">
        <v>2232</v>
      </c>
      <c r="D1206" t="s">
        <v>2233</v>
      </c>
      <c r="E1206" t="str">
        <f>"3469900052219"</f>
        <v>0</v>
      </c>
      <c r="F1206" t="str">
        <f>"000380"</f>
        <v>0</v>
      </c>
      <c r="G1206" t="s">
        <v>21</v>
      </c>
    </row>
    <row r="1207" spans="1:7">
      <c r="A1207">
        <v>1206</v>
      </c>
      <c r="B1207" t="str">
        <f>"003793"</f>
        <v>0</v>
      </c>
      <c r="C1207" t="s">
        <v>2234</v>
      </c>
      <c r="D1207" t="s">
        <v>2235</v>
      </c>
      <c r="E1207" t="str">
        <f>"3461000551530"</f>
        <v>0</v>
      </c>
      <c r="F1207" t="str">
        <f>"000380"</f>
        <v>0</v>
      </c>
      <c r="G1207" t="s">
        <v>21</v>
      </c>
    </row>
    <row r="1208" spans="1:7">
      <c r="A1208">
        <v>1207</v>
      </c>
      <c r="B1208" t="str">
        <f>"003940"</f>
        <v>0</v>
      </c>
      <c r="C1208" t="s">
        <v>2236</v>
      </c>
      <c r="D1208" t="s">
        <v>2237</v>
      </c>
      <c r="E1208" t="str">
        <f>"5460500041536"</f>
        <v>0</v>
      </c>
      <c r="F1208" t="str">
        <f>"000380"</f>
        <v>0</v>
      </c>
      <c r="G1208" t="s">
        <v>21</v>
      </c>
    </row>
    <row r="1209" spans="1:7">
      <c r="A1209">
        <v>1208</v>
      </c>
      <c r="B1209" t="str">
        <f>"003992"</f>
        <v>0</v>
      </c>
      <c r="C1209" t="s">
        <v>130</v>
      </c>
      <c r="D1209" t="s">
        <v>2238</v>
      </c>
      <c r="E1209" t="str">
        <f>"3460300045604"</f>
        <v>0</v>
      </c>
      <c r="F1209" t="str">
        <f>"000380"</f>
        <v>0</v>
      </c>
      <c r="G1209" t="s">
        <v>21</v>
      </c>
    </row>
    <row r="1210" spans="1:7">
      <c r="A1210">
        <v>1209</v>
      </c>
      <c r="B1210" t="str">
        <f>"004029"</f>
        <v>0</v>
      </c>
      <c r="C1210" t="s">
        <v>2239</v>
      </c>
      <c r="D1210" t="s">
        <v>2240</v>
      </c>
      <c r="E1210" t="str">
        <f>"3460500013862"</f>
        <v>0</v>
      </c>
      <c r="F1210" t="str">
        <f>"000380"</f>
        <v>0</v>
      </c>
      <c r="G1210" t="s">
        <v>21</v>
      </c>
    </row>
    <row r="1211" spans="1:7">
      <c r="A1211">
        <v>1210</v>
      </c>
      <c r="B1211" t="str">
        <f>"004453"</f>
        <v>0</v>
      </c>
      <c r="C1211" t="s">
        <v>2241</v>
      </c>
      <c r="D1211" t="s">
        <v>2242</v>
      </c>
      <c r="E1211" t="str">
        <f>"3469900073313"</f>
        <v>0</v>
      </c>
      <c r="F1211" t="str">
        <f>"000380"</f>
        <v>0</v>
      </c>
      <c r="G1211" t="s">
        <v>21</v>
      </c>
    </row>
    <row r="1212" spans="1:7">
      <c r="A1212">
        <v>1211</v>
      </c>
      <c r="B1212" t="str">
        <f>"004605"</f>
        <v>0</v>
      </c>
      <c r="C1212" t="s">
        <v>2243</v>
      </c>
      <c r="D1212" t="s">
        <v>2244</v>
      </c>
      <c r="E1212" t="str">
        <f>"3460100289330"</f>
        <v>0</v>
      </c>
      <c r="F1212" t="str">
        <f>"000380"</f>
        <v>0</v>
      </c>
      <c r="G1212" t="s">
        <v>21</v>
      </c>
    </row>
    <row r="1213" spans="1:7">
      <c r="A1213">
        <v>1212</v>
      </c>
      <c r="B1213" t="str">
        <f>"004606"</f>
        <v>0</v>
      </c>
      <c r="C1213" t="s">
        <v>2245</v>
      </c>
      <c r="D1213" t="s">
        <v>2246</v>
      </c>
      <c r="E1213" t="str">
        <f>"3469900166087"</f>
        <v>0</v>
      </c>
      <c r="F1213" t="str">
        <f>"000380"</f>
        <v>0</v>
      </c>
      <c r="G1213" t="s">
        <v>21</v>
      </c>
    </row>
    <row r="1214" spans="1:7">
      <c r="A1214">
        <v>1213</v>
      </c>
      <c r="B1214" t="str">
        <f>"004730"</f>
        <v>0</v>
      </c>
      <c r="C1214" t="s">
        <v>701</v>
      </c>
      <c r="D1214" t="s">
        <v>2247</v>
      </c>
      <c r="E1214" t="str">
        <f>"3461400110751"</f>
        <v>0</v>
      </c>
      <c r="F1214" t="str">
        <f>"000380"</f>
        <v>0</v>
      </c>
      <c r="G1214" t="s">
        <v>21</v>
      </c>
    </row>
    <row r="1215" spans="1:7">
      <c r="A1215">
        <v>1214</v>
      </c>
      <c r="B1215" t="str">
        <f>"005023"</f>
        <v>0</v>
      </c>
      <c r="C1215" t="s">
        <v>2248</v>
      </c>
      <c r="D1215" t="s">
        <v>2249</v>
      </c>
      <c r="E1215" t="str">
        <f>"3469900146469"</f>
        <v>0</v>
      </c>
      <c r="F1215" t="str">
        <f>"000380"</f>
        <v>0</v>
      </c>
      <c r="G1215" t="s">
        <v>21</v>
      </c>
    </row>
    <row r="1216" spans="1:7">
      <c r="A1216">
        <v>1215</v>
      </c>
      <c r="B1216" t="str">
        <f>"005058"</f>
        <v>0</v>
      </c>
      <c r="C1216" t="s">
        <v>2250</v>
      </c>
      <c r="D1216" t="s">
        <v>2251</v>
      </c>
      <c r="E1216" t="str">
        <f>"3460100276505"</f>
        <v>0</v>
      </c>
      <c r="F1216" t="str">
        <f>"000380"</f>
        <v>0</v>
      </c>
      <c r="G1216" t="s">
        <v>21</v>
      </c>
    </row>
    <row r="1217" spans="1:7">
      <c r="A1217">
        <v>1216</v>
      </c>
      <c r="B1217" t="str">
        <f>"005060"</f>
        <v>0</v>
      </c>
      <c r="C1217" t="s">
        <v>2252</v>
      </c>
      <c r="D1217" t="s">
        <v>2253</v>
      </c>
      <c r="E1217" t="str">
        <f>"3469900136081"</f>
        <v>0</v>
      </c>
      <c r="F1217" t="str">
        <f>"000380"</f>
        <v>0</v>
      </c>
      <c r="G1217" t="s">
        <v>21</v>
      </c>
    </row>
    <row r="1218" spans="1:7">
      <c r="A1218">
        <v>1217</v>
      </c>
      <c r="B1218" t="str">
        <f>"005061"</f>
        <v>0</v>
      </c>
      <c r="C1218" t="s">
        <v>2254</v>
      </c>
      <c r="D1218" t="s">
        <v>2255</v>
      </c>
      <c r="E1218" t="str">
        <f>"3460600231748"</f>
        <v>0</v>
      </c>
      <c r="F1218" t="str">
        <f>"000380"</f>
        <v>0</v>
      </c>
      <c r="G1218" t="s">
        <v>21</v>
      </c>
    </row>
    <row r="1219" spans="1:7">
      <c r="A1219">
        <v>1218</v>
      </c>
      <c r="B1219" t="str">
        <f>"005285"</f>
        <v>0</v>
      </c>
      <c r="C1219" t="s">
        <v>2256</v>
      </c>
      <c r="D1219" t="s">
        <v>2257</v>
      </c>
      <c r="E1219" t="str">
        <f>"3460300101121"</f>
        <v>0</v>
      </c>
      <c r="F1219" t="str">
        <f>"000380"</f>
        <v>0</v>
      </c>
      <c r="G1219" t="s">
        <v>21</v>
      </c>
    </row>
    <row r="1220" spans="1:7">
      <c r="A1220">
        <v>1219</v>
      </c>
      <c r="B1220" t="str">
        <f>"005592"</f>
        <v>0</v>
      </c>
      <c r="C1220" t="s">
        <v>2258</v>
      </c>
      <c r="D1220" t="s">
        <v>2259</v>
      </c>
      <c r="E1220" t="str">
        <f>"3460300047267"</f>
        <v>0</v>
      </c>
      <c r="F1220" t="str">
        <f>"000380"</f>
        <v>0</v>
      </c>
      <c r="G1220" t="s">
        <v>21</v>
      </c>
    </row>
    <row r="1221" spans="1:7">
      <c r="A1221">
        <v>1220</v>
      </c>
      <c r="B1221" t="str">
        <f>"005593"</f>
        <v>0</v>
      </c>
      <c r="C1221" t="s">
        <v>2260</v>
      </c>
      <c r="D1221" t="s">
        <v>2261</v>
      </c>
      <c r="E1221" t="str">
        <f>"3460400099854"</f>
        <v>0</v>
      </c>
      <c r="F1221" t="str">
        <f>"000380"</f>
        <v>0</v>
      </c>
      <c r="G1221" t="s">
        <v>21</v>
      </c>
    </row>
    <row r="1222" spans="1:7">
      <c r="A1222">
        <v>1221</v>
      </c>
      <c r="B1222" t="str">
        <f>"005933"</f>
        <v>0</v>
      </c>
      <c r="C1222" t="s">
        <v>2262</v>
      </c>
      <c r="D1222" t="s">
        <v>2263</v>
      </c>
      <c r="E1222" t="str">
        <f>"3340100145185"</f>
        <v>0</v>
      </c>
      <c r="F1222" t="str">
        <f>"000380"</f>
        <v>0</v>
      </c>
      <c r="G1222" t="s">
        <v>21</v>
      </c>
    </row>
    <row r="1223" spans="1:7">
      <c r="A1223">
        <v>1222</v>
      </c>
      <c r="B1223" t="str">
        <f>"005953"</f>
        <v>0</v>
      </c>
      <c r="C1223" t="s">
        <v>2264</v>
      </c>
      <c r="D1223" t="s">
        <v>2265</v>
      </c>
      <c r="E1223" t="str">
        <f>"3460700051547"</f>
        <v>0</v>
      </c>
      <c r="F1223" t="str">
        <f>"000380"</f>
        <v>0</v>
      </c>
      <c r="G1223" t="s">
        <v>21</v>
      </c>
    </row>
    <row r="1224" spans="1:7">
      <c r="A1224">
        <v>1223</v>
      </c>
      <c r="B1224" t="str">
        <f>"006125"</f>
        <v>0</v>
      </c>
      <c r="C1224" t="s">
        <v>2266</v>
      </c>
      <c r="D1224" t="s">
        <v>2267</v>
      </c>
      <c r="E1224" t="str">
        <f>"3420400021634"</f>
        <v>0</v>
      </c>
      <c r="F1224" t="str">
        <f>"000380"</f>
        <v>0</v>
      </c>
      <c r="G1224" t="s">
        <v>21</v>
      </c>
    </row>
    <row r="1225" spans="1:7">
      <c r="A1225">
        <v>1224</v>
      </c>
      <c r="B1225" t="str">
        <f>"006336"</f>
        <v>0</v>
      </c>
      <c r="C1225" t="s">
        <v>2268</v>
      </c>
      <c r="D1225" t="s">
        <v>2269</v>
      </c>
      <c r="E1225" t="str">
        <f>"3461000157831"</f>
        <v>0</v>
      </c>
      <c r="F1225" t="str">
        <f>"000380"</f>
        <v>0</v>
      </c>
      <c r="G1225" t="s">
        <v>21</v>
      </c>
    </row>
    <row r="1226" spans="1:7">
      <c r="A1226">
        <v>1225</v>
      </c>
      <c r="B1226" t="str">
        <f>"006371"</f>
        <v>0</v>
      </c>
      <c r="C1226" t="s">
        <v>2270</v>
      </c>
      <c r="D1226" t="s">
        <v>2271</v>
      </c>
      <c r="E1226" t="str">
        <f>"3460300452137"</f>
        <v>0</v>
      </c>
      <c r="F1226" t="str">
        <f>"000380"</f>
        <v>0</v>
      </c>
      <c r="G1226" t="s">
        <v>21</v>
      </c>
    </row>
    <row r="1227" spans="1:7">
      <c r="A1227">
        <v>1226</v>
      </c>
      <c r="B1227" t="str">
        <f>"006468"</f>
        <v>0</v>
      </c>
      <c r="C1227" t="s">
        <v>2272</v>
      </c>
      <c r="D1227" t="s">
        <v>2273</v>
      </c>
      <c r="E1227" t="str">
        <f>"3469900115091"</f>
        <v>0</v>
      </c>
      <c r="F1227" t="str">
        <f>"000380"</f>
        <v>0</v>
      </c>
      <c r="G1227" t="s">
        <v>21</v>
      </c>
    </row>
    <row r="1228" spans="1:7">
      <c r="A1228">
        <v>1227</v>
      </c>
      <c r="B1228" t="str">
        <f>"006469"</f>
        <v>0</v>
      </c>
      <c r="C1228" t="s">
        <v>2210</v>
      </c>
      <c r="D1228" t="s">
        <v>2274</v>
      </c>
      <c r="E1228" t="str">
        <f>"3469900010851"</f>
        <v>0</v>
      </c>
      <c r="F1228" t="str">
        <f>"000380"</f>
        <v>0</v>
      </c>
      <c r="G1228" t="s">
        <v>21</v>
      </c>
    </row>
    <row r="1229" spans="1:7">
      <c r="A1229">
        <v>1228</v>
      </c>
      <c r="B1229" t="str">
        <f>"006505"</f>
        <v>0</v>
      </c>
      <c r="C1229" t="s">
        <v>2275</v>
      </c>
      <c r="D1229" t="s">
        <v>2276</v>
      </c>
      <c r="E1229" t="str">
        <f>"4460400001852"</f>
        <v>0</v>
      </c>
      <c r="F1229" t="str">
        <f>"000380"</f>
        <v>0</v>
      </c>
      <c r="G1229" t="s">
        <v>21</v>
      </c>
    </row>
    <row r="1230" spans="1:7">
      <c r="A1230">
        <v>1229</v>
      </c>
      <c r="B1230" t="str">
        <f>"006508"</f>
        <v>0</v>
      </c>
      <c r="C1230" t="s">
        <v>2277</v>
      </c>
      <c r="D1230" t="s">
        <v>2278</v>
      </c>
      <c r="E1230" t="str">
        <f>"3460600144233"</f>
        <v>0</v>
      </c>
      <c r="F1230" t="str">
        <f>"000380"</f>
        <v>0</v>
      </c>
      <c r="G1230" t="s">
        <v>21</v>
      </c>
    </row>
    <row r="1231" spans="1:7">
      <c r="A1231">
        <v>1230</v>
      </c>
      <c r="B1231" t="str">
        <f>"006509"</f>
        <v>0</v>
      </c>
      <c r="C1231" t="s">
        <v>2279</v>
      </c>
      <c r="D1231" t="s">
        <v>2280</v>
      </c>
      <c r="E1231" t="str">
        <f>"3461200085907"</f>
        <v>0</v>
      </c>
      <c r="F1231" t="str">
        <f>"000380"</f>
        <v>0</v>
      </c>
      <c r="G1231" t="s">
        <v>21</v>
      </c>
    </row>
    <row r="1232" spans="1:7">
      <c r="A1232">
        <v>1231</v>
      </c>
      <c r="B1232" t="str">
        <f>"006567"</f>
        <v>0</v>
      </c>
      <c r="C1232" t="s">
        <v>2234</v>
      </c>
      <c r="D1232" t="s">
        <v>2281</v>
      </c>
      <c r="E1232" t="str">
        <f>"3460100479392"</f>
        <v>0</v>
      </c>
      <c r="F1232" t="str">
        <f>"000380"</f>
        <v>0</v>
      </c>
      <c r="G1232" t="s">
        <v>21</v>
      </c>
    </row>
    <row r="1233" spans="1:7">
      <c r="A1233">
        <v>1232</v>
      </c>
      <c r="B1233" t="str">
        <f>"006752"</f>
        <v>0</v>
      </c>
      <c r="C1233" t="s">
        <v>1979</v>
      </c>
      <c r="D1233" t="s">
        <v>2282</v>
      </c>
      <c r="E1233" t="str">
        <f>"3460900010801"</f>
        <v>0</v>
      </c>
      <c r="F1233" t="str">
        <f>"000380"</f>
        <v>0</v>
      </c>
      <c r="G1233" t="s">
        <v>21</v>
      </c>
    </row>
    <row r="1234" spans="1:7">
      <c r="A1234">
        <v>1233</v>
      </c>
      <c r="B1234" t="str">
        <f>"006789"</f>
        <v>0</v>
      </c>
      <c r="C1234" t="s">
        <v>2283</v>
      </c>
      <c r="D1234" t="s">
        <v>2284</v>
      </c>
      <c r="E1234" t="str">
        <f>"3460300039922"</f>
        <v>0</v>
      </c>
      <c r="F1234" t="str">
        <f>"000380"</f>
        <v>0</v>
      </c>
      <c r="G1234" t="s">
        <v>21</v>
      </c>
    </row>
    <row r="1235" spans="1:7">
      <c r="A1235">
        <v>1234</v>
      </c>
      <c r="B1235" t="str">
        <f>"006862"</f>
        <v>0</v>
      </c>
      <c r="C1235" t="s">
        <v>2285</v>
      </c>
      <c r="D1235" t="s">
        <v>2286</v>
      </c>
      <c r="E1235" t="str">
        <f>"3451300013185"</f>
        <v>0</v>
      </c>
      <c r="F1235" t="str">
        <f>"000380"</f>
        <v>0</v>
      </c>
      <c r="G1235" t="s">
        <v>21</v>
      </c>
    </row>
    <row r="1236" spans="1:7">
      <c r="A1236">
        <v>1235</v>
      </c>
      <c r="B1236" t="str">
        <f>"007122"</f>
        <v>0</v>
      </c>
      <c r="C1236" t="s">
        <v>311</v>
      </c>
      <c r="D1236" t="s">
        <v>2287</v>
      </c>
      <c r="E1236" t="str">
        <f>"3460600377025"</f>
        <v>0</v>
      </c>
      <c r="F1236" t="str">
        <f>"000380"</f>
        <v>0</v>
      </c>
      <c r="G1236" t="s">
        <v>21</v>
      </c>
    </row>
    <row r="1237" spans="1:7">
      <c r="A1237">
        <v>1236</v>
      </c>
      <c r="B1237" t="str">
        <f>"007123"</f>
        <v>0</v>
      </c>
      <c r="C1237" t="s">
        <v>2288</v>
      </c>
      <c r="D1237" t="s">
        <v>2289</v>
      </c>
      <c r="E1237" t="str">
        <f>"3460500306444"</f>
        <v>0</v>
      </c>
      <c r="F1237" t="str">
        <f>"000380"</f>
        <v>0</v>
      </c>
      <c r="G1237" t="s">
        <v>21</v>
      </c>
    </row>
    <row r="1238" spans="1:7">
      <c r="A1238">
        <v>1237</v>
      </c>
      <c r="B1238" t="str">
        <f>"007491"</f>
        <v>0</v>
      </c>
      <c r="C1238" t="s">
        <v>2290</v>
      </c>
      <c r="D1238" t="s">
        <v>2291</v>
      </c>
      <c r="E1238" t="str">
        <f>"3461400099707"</f>
        <v>0</v>
      </c>
      <c r="F1238" t="str">
        <f>"000380"</f>
        <v>0</v>
      </c>
      <c r="G1238" t="s">
        <v>21</v>
      </c>
    </row>
    <row r="1239" spans="1:7">
      <c r="A1239">
        <v>1238</v>
      </c>
      <c r="B1239" t="str">
        <f>"007548"</f>
        <v>0</v>
      </c>
      <c r="C1239" t="s">
        <v>2292</v>
      </c>
      <c r="D1239" t="s">
        <v>2293</v>
      </c>
      <c r="E1239" t="str">
        <f>"3461000434029"</f>
        <v>0</v>
      </c>
      <c r="F1239" t="str">
        <f>"000380"</f>
        <v>0</v>
      </c>
      <c r="G1239" t="s">
        <v>21</v>
      </c>
    </row>
    <row r="1240" spans="1:7">
      <c r="A1240">
        <v>1239</v>
      </c>
      <c r="B1240" t="str">
        <f>"008066"</f>
        <v>0</v>
      </c>
      <c r="C1240" t="s">
        <v>2294</v>
      </c>
      <c r="D1240" t="s">
        <v>2295</v>
      </c>
      <c r="E1240" t="str">
        <f>"3410900088762"</f>
        <v>0</v>
      </c>
      <c r="F1240" t="str">
        <f>"000380"</f>
        <v>0</v>
      </c>
      <c r="G1240" t="s">
        <v>21</v>
      </c>
    </row>
    <row r="1241" spans="1:7">
      <c r="A1241">
        <v>1240</v>
      </c>
      <c r="B1241" t="str">
        <f>"008176"</f>
        <v>0</v>
      </c>
      <c r="C1241" t="s">
        <v>2296</v>
      </c>
      <c r="D1241" t="s">
        <v>2297</v>
      </c>
      <c r="E1241" t="str">
        <f>"3460500024651"</f>
        <v>0</v>
      </c>
      <c r="F1241" t="str">
        <f>"000380"</f>
        <v>0</v>
      </c>
      <c r="G1241" t="s">
        <v>21</v>
      </c>
    </row>
    <row r="1242" spans="1:7">
      <c r="A1242">
        <v>1241</v>
      </c>
      <c r="B1242" t="str">
        <f>"008462"</f>
        <v>0</v>
      </c>
      <c r="C1242" t="s">
        <v>2298</v>
      </c>
      <c r="D1242" t="s">
        <v>2299</v>
      </c>
      <c r="E1242" t="str">
        <f>"3460500692336"</f>
        <v>0</v>
      </c>
      <c r="F1242" t="str">
        <f>"000380"</f>
        <v>0</v>
      </c>
      <c r="G1242" t="s">
        <v>21</v>
      </c>
    </row>
    <row r="1243" spans="1:7">
      <c r="A1243">
        <v>1242</v>
      </c>
      <c r="B1243" t="str">
        <f>"008464"</f>
        <v>0</v>
      </c>
      <c r="C1243" t="s">
        <v>1260</v>
      </c>
      <c r="D1243" t="s">
        <v>2300</v>
      </c>
      <c r="E1243" t="str">
        <f>"3460500748820"</f>
        <v>0</v>
      </c>
      <c r="F1243" t="str">
        <f>"000380"</f>
        <v>0</v>
      </c>
      <c r="G1243" t="s">
        <v>21</v>
      </c>
    </row>
    <row r="1244" spans="1:7">
      <c r="A1244">
        <v>1243</v>
      </c>
      <c r="B1244" t="str">
        <f>"008465"</f>
        <v>0</v>
      </c>
      <c r="C1244" t="s">
        <v>2301</v>
      </c>
      <c r="D1244" t="s">
        <v>2302</v>
      </c>
      <c r="E1244" t="str">
        <f>"4469900001167"</f>
        <v>0</v>
      </c>
      <c r="F1244" t="str">
        <f>"000380"</f>
        <v>0</v>
      </c>
      <c r="G1244" t="s">
        <v>21</v>
      </c>
    </row>
    <row r="1245" spans="1:7">
      <c r="A1245">
        <v>1244</v>
      </c>
      <c r="B1245" t="str">
        <f>"008554"</f>
        <v>0</v>
      </c>
      <c r="C1245" t="s">
        <v>2303</v>
      </c>
      <c r="D1245" t="s">
        <v>2304</v>
      </c>
      <c r="E1245" t="str">
        <f>"3460300742402"</f>
        <v>0</v>
      </c>
      <c r="F1245" t="str">
        <f>"000380"</f>
        <v>0</v>
      </c>
      <c r="G1245" t="s">
        <v>21</v>
      </c>
    </row>
    <row r="1246" spans="1:7">
      <c r="A1246">
        <v>1245</v>
      </c>
      <c r="B1246" t="str">
        <f>"008618"</f>
        <v>0</v>
      </c>
      <c r="C1246" t="s">
        <v>2305</v>
      </c>
      <c r="D1246" t="s">
        <v>2244</v>
      </c>
      <c r="E1246" t="str">
        <f>"3469900306288"</f>
        <v>0</v>
      </c>
      <c r="F1246" t="str">
        <f>"000380"</f>
        <v>0</v>
      </c>
      <c r="G1246" t="s">
        <v>21</v>
      </c>
    </row>
    <row r="1247" spans="1:7">
      <c r="A1247">
        <v>1246</v>
      </c>
      <c r="B1247" t="str">
        <f>"008948"</f>
        <v>0</v>
      </c>
      <c r="C1247" t="s">
        <v>2306</v>
      </c>
      <c r="D1247" t="s">
        <v>2307</v>
      </c>
      <c r="E1247" t="str">
        <f>"3460100286802"</f>
        <v>0</v>
      </c>
      <c r="F1247" t="str">
        <f>"000380"</f>
        <v>0</v>
      </c>
      <c r="G1247" t="s">
        <v>21</v>
      </c>
    </row>
    <row r="1248" spans="1:7">
      <c r="A1248">
        <v>1247</v>
      </c>
      <c r="B1248" t="str">
        <f>"009016"</f>
        <v>0</v>
      </c>
      <c r="C1248" t="s">
        <v>2308</v>
      </c>
      <c r="D1248" t="s">
        <v>2227</v>
      </c>
      <c r="E1248" t="str">
        <f>"3469900070365"</f>
        <v>0</v>
      </c>
      <c r="F1248" t="str">
        <f>"000380"</f>
        <v>0</v>
      </c>
      <c r="G1248" t="s">
        <v>21</v>
      </c>
    </row>
    <row r="1249" spans="1:7">
      <c r="A1249">
        <v>1248</v>
      </c>
      <c r="B1249" t="str">
        <f>"009082"</f>
        <v>0</v>
      </c>
      <c r="C1249" t="s">
        <v>2216</v>
      </c>
      <c r="D1249" t="s">
        <v>2309</v>
      </c>
      <c r="E1249" t="str">
        <f>"5461300024621"</f>
        <v>0</v>
      </c>
      <c r="F1249" t="str">
        <f>"000380"</f>
        <v>0</v>
      </c>
      <c r="G1249" t="s">
        <v>21</v>
      </c>
    </row>
    <row r="1250" spans="1:7">
      <c r="A1250">
        <v>1249</v>
      </c>
      <c r="B1250" t="str">
        <f>"009424"</f>
        <v>0</v>
      </c>
      <c r="C1250" t="s">
        <v>2310</v>
      </c>
      <c r="D1250" t="s">
        <v>2311</v>
      </c>
      <c r="E1250" t="str">
        <f>"3450700002864"</f>
        <v>0</v>
      </c>
      <c r="F1250" t="str">
        <f>"000380"</f>
        <v>0</v>
      </c>
      <c r="G1250" t="s">
        <v>21</v>
      </c>
    </row>
    <row r="1251" spans="1:7">
      <c r="A1251">
        <v>1250</v>
      </c>
      <c r="B1251" t="str">
        <f>"010225"</f>
        <v>0</v>
      </c>
      <c r="C1251" t="s">
        <v>2312</v>
      </c>
      <c r="D1251" t="s">
        <v>2313</v>
      </c>
      <c r="E1251" t="str">
        <f>"3469900091036"</f>
        <v>0</v>
      </c>
      <c r="F1251" t="str">
        <f>"000380"</f>
        <v>0</v>
      </c>
      <c r="G1251" t="s">
        <v>21</v>
      </c>
    </row>
    <row r="1252" spans="1:7">
      <c r="A1252">
        <v>1251</v>
      </c>
      <c r="B1252" t="str">
        <f>"010264"</f>
        <v>0</v>
      </c>
      <c r="C1252" t="s">
        <v>32</v>
      </c>
      <c r="D1252" t="s">
        <v>2314</v>
      </c>
      <c r="E1252" t="str">
        <f>"3469900291680"</f>
        <v>0</v>
      </c>
      <c r="F1252" t="str">
        <f>"000380"</f>
        <v>0</v>
      </c>
      <c r="G1252" t="s">
        <v>21</v>
      </c>
    </row>
    <row r="1253" spans="1:7">
      <c r="A1253">
        <v>1252</v>
      </c>
      <c r="B1253" t="str">
        <f>"010467"</f>
        <v>0</v>
      </c>
      <c r="C1253" t="s">
        <v>2315</v>
      </c>
      <c r="D1253" t="s">
        <v>2316</v>
      </c>
      <c r="E1253" t="str">
        <f>"3499900131399"</f>
        <v>0</v>
      </c>
      <c r="F1253" t="str">
        <f>"000380"</f>
        <v>0</v>
      </c>
      <c r="G1253" t="s">
        <v>21</v>
      </c>
    </row>
    <row r="1254" spans="1:7">
      <c r="A1254">
        <v>1253</v>
      </c>
      <c r="B1254" t="str">
        <f>"010580"</f>
        <v>0</v>
      </c>
      <c r="C1254" t="s">
        <v>2317</v>
      </c>
      <c r="D1254" t="s">
        <v>2318</v>
      </c>
      <c r="E1254" t="str">
        <f>"3461200409125"</f>
        <v>0</v>
      </c>
      <c r="F1254" t="str">
        <f>"000380"</f>
        <v>0</v>
      </c>
      <c r="G1254" t="s">
        <v>21</v>
      </c>
    </row>
    <row r="1255" spans="1:7">
      <c r="A1255">
        <v>1254</v>
      </c>
      <c r="B1255" t="str">
        <f>"010601"</f>
        <v>0</v>
      </c>
      <c r="C1255" t="s">
        <v>1162</v>
      </c>
      <c r="D1255" t="s">
        <v>2319</v>
      </c>
      <c r="E1255" t="str">
        <f>"3461200062621"</f>
        <v>0</v>
      </c>
      <c r="F1255" t="str">
        <f>"000380"</f>
        <v>0</v>
      </c>
      <c r="G1255" t="s">
        <v>21</v>
      </c>
    </row>
    <row r="1256" spans="1:7">
      <c r="A1256">
        <v>1255</v>
      </c>
      <c r="B1256" t="str">
        <f>"010660"</f>
        <v>0</v>
      </c>
      <c r="C1256" t="s">
        <v>2320</v>
      </c>
      <c r="D1256" t="s">
        <v>2321</v>
      </c>
      <c r="E1256" t="str">
        <f>"4460500001412"</f>
        <v>0</v>
      </c>
      <c r="F1256" t="str">
        <f>"000380"</f>
        <v>0</v>
      </c>
      <c r="G1256" t="s">
        <v>21</v>
      </c>
    </row>
    <row r="1257" spans="1:7">
      <c r="A1257">
        <v>1256</v>
      </c>
      <c r="B1257" t="str">
        <f>"010758"</f>
        <v>0</v>
      </c>
      <c r="C1257" t="s">
        <v>557</v>
      </c>
      <c r="D1257" t="s">
        <v>2222</v>
      </c>
      <c r="E1257" t="str">
        <f>"5490500013117"</f>
        <v>0</v>
      </c>
      <c r="F1257" t="str">
        <f>"000380"</f>
        <v>0</v>
      </c>
      <c r="G1257" t="s">
        <v>21</v>
      </c>
    </row>
    <row r="1258" spans="1:7">
      <c r="A1258">
        <v>1257</v>
      </c>
      <c r="B1258" t="str">
        <f>"011090"</f>
        <v>0</v>
      </c>
      <c r="C1258" t="s">
        <v>361</v>
      </c>
      <c r="D1258" t="s">
        <v>2322</v>
      </c>
      <c r="E1258" t="str">
        <f>"3461200076835"</f>
        <v>0</v>
      </c>
      <c r="F1258" t="str">
        <f>"000380"</f>
        <v>0</v>
      </c>
      <c r="G1258" t="s">
        <v>21</v>
      </c>
    </row>
    <row r="1259" spans="1:7">
      <c r="A1259">
        <v>1258</v>
      </c>
      <c r="B1259" t="str">
        <f>"011152"</f>
        <v>0</v>
      </c>
      <c r="C1259" t="s">
        <v>126</v>
      </c>
      <c r="D1259" t="s">
        <v>2323</v>
      </c>
      <c r="E1259" t="str">
        <f>"3460500067415"</f>
        <v>0</v>
      </c>
      <c r="F1259" t="str">
        <f>"000380"</f>
        <v>0</v>
      </c>
      <c r="G1259" t="s">
        <v>21</v>
      </c>
    </row>
    <row r="1260" spans="1:7">
      <c r="A1260">
        <v>1259</v>
      </c>
      <c r="B1260" t="str">
        <f>"011359"</f>
        <v>0</v>
      </c>
      <c r="C1260" t="s">
        <v>1093</v>
      </c>
      <c r="D1260" t="s">
        <v>2324</v>
      </c>
      <c r="E1260" t="str">
        <f>"3409900571411"</f>
        <v>0</v>
      </c>
      <c r="F1260" t="str">
        <f>"000380"</f>
        <v>0</v>
      </c>
      <c r="G1260" t="s">
        <v>21</v>
      </c>
    </row>
    <row r="1261" spans="1:7">
      <c r="A1261">
        <v>1260</v>
      </c>
      <c r="B1261" t="str">
        <f>"011728"</f>
        <v>0</v>
      </c>
      <c r="C1261" t="s">
        <v>2325</v>
      </c>
      <c r="D1261" t="s">
        <v>2326</v>
      </c>
      <c r="E1261" t="str">
        <f>"3460700074113"</f>
        <v>0</v>
      </c>
      <c r="F1261" t="str">
        <f>"000380"</f>
        <v>0</v>
      </c>
      <c r="G1261" t="s">
        <v>21</v>
      </c>
    </row>
    <row r="1262" spans="1:7">
      <c r="A1262">
        <v>1261</v>
      </c>
      <c r="B1262" t="str">
        <f>"011978"</f>
        <v>0</v>
      </c>
      <c r="C1262" t="s">
        <v>2327</v>
      </c>
      <c r="D1262" t="s">
        <v>2328</v>
      </c>
      <c r="E1262" t="str">
        <f>"3460700160222"</f>
        <v>0</v>
      </c>
      <c r="F1262" t="str">
        <f>"000380"</f>
        <v>0</v>
      </c>
      <c r="G1262" t="s">
        <v>21</v>
      </c>
    </row>
    <row r="1263" spans="1:7">
      <c r="A1263">
        <v>1262</v>
      </c>
      <c r="B1263" t="str">
        <f>"012308"</f>
        <v>0</v>
      </c>
      <c r="C1263" t="s">
        <v>2329</v>
      </c>
      <c r="D1263" t="s">
        <v>2330</v>
      </c>
      <c r="E1263" t="str">
        <f>"3401600015787"</f>
        <v>0</v>
      </c>
      <c r="F1263" t="str">
        <f>"000380"</f>
        <v>0</v>
      </c>
      <c r="G1263" t="s">
        <v>21</v>
      </c>
    </row>
    <row r="1264" spans="1:7">
      <c r="A1264">
        <v>1263</v>
      </c>
      <c r="B1264" t="str">
        <f>"012339"</f>
        <v>0</v>
      </c>
      <c r="C1264" t="s">
        <v>2331</v>
      </c>
      <c r="D1264" t="s">
        <v>2332</v>
      </c>
      <c r="E1264" t="str">
        <f>"3461400148821"</f>
        <v>0</v>
      </c>
      <c r="F1264" t="str">
        <f>"000380"</f>
        <v>0</v>
      </c>
      <c r="G1264" t="s">
        <v>21</v>
      </c>
    </row>
    <row r="1265" spans="1:7">
      <c r="A1265">
        <v>1264</v>
      </c>
      <c r="B1265" t="str">
        <f>"012487"</f>
        <v>0</v>
      </c>
      <c r="C1265" t="s">
        <v>2333</v>
      </c>
      <c r="D1265" t="s">
        <v>2334</v>
      </c>
      <c r="E1265" t="str">
        <f>"3460700906968"</f>
        <v>0</v>
      </c>
      <c r="F1265" t="str">
        <f>"000380"</f>
        <v>0</v>
      </c>
      <c r="G1265" t="s">
        <v>21</v>
      </c>
    </row>
    <row r="1266" spans="1:7">
      <c r="A1266">
        <v>1265</v>
      </c>
      <c r="B1266" t="str">
        <f>"012657"</f>
        <v>0</v>
      </c>
      <c r="C1266" t="s">
        <v>2335</v>
      </c>
      <c r="D1266" t="s">
        <v>2336</v>
      </c>
      <c r="E1266" t="str">
        <f>"3440900593718"</f>
        <v>0</v>
      </c>
      <c r="F1266" t="str">
        <f>"000380"</f>
        <v>0</v>
      </c>
      <c r="G1266" t="s">
        <v>21</v>
      </c>
    </row>
    <row r="1267" spans="1:7">
      <c r="A1267">
        <v>1266</v>
      </c>
      <c r="B1267" t="str">
        <f>"012942"</f>
        <v>0</v>
      </c>
      <c r="C1267" t="s">
        <v>2337</v>
      </c>
      <c r="D1267" t="s">
        <v>2338</v>
      </c>
      <c r="E1267" t="str">
        <f>"3450400636698"</f>
        <v>0</v>
      </c>
      <c r="F1267" t="str">
        <f>"000380"</f>
        <v>0</v>
      </c>
      <c r="G1267" t="s">
        <v>21</v>
      </c>
    </row>
    <row r="1268" spans="1:7">
      <c r="A1268">
        <v>1267</v>
      </c>
      <c r="B1268" t="str">
        <f>"013190"</f>
        <v>0</v>
      </c>
      <c r="C1268" t="s">
        <v>2339</v>
      </c>
      <c r="D1268" t="s">
        <v>2340</v>
      </c>
      <c r="E1268" t="str">
        <f>"5460900001094"</f>
        <v>0</v>
      </c>
      <c r="F1268" t="str">
        <f>"000380"</f>
        <v>0</v>
      </c>
      <c r="G1268" t="s">
        <v>21</v>
      </c>
    </row>
    <row r="1269" spans="1:7">
      <c r="A1269">
        <v>1268</v>
      </c>
      <c r="B1269" t="str">
        <f>"013373"</f>
        <v>0</v>
      </c>
      <c r="C1269" t="s">
        <v>2341</v>
      </c>
      <c r="D1269" t="s">
        <v>2342</v>
      </c>
      <c r="E1269" t="str">
        <f>"3460300114746"</f>
        <v>0</v>
      </c>
      <c r="F1269" t="str">
        <f>"000380"</f>
        <v>0</v>
      </c>
      <c r="G1269" t="s">
        <v>21</v>
      </c>
    </row>
    <row r="1270" spans="1:7">
      <c r="A1270">
        <v>1269</v>
      </c>
      <c r="B1270" t="str">
        <f>"013681"</f>
        <v>0</v>
      </c>
      <c r="C1270" t="s">
        <v>793</v>
      </c>
      <c r="D1270" t="s">
        <v>2343</v>
      </c>
      <c r="E1270" t="str">
        <f>"3460100275002"</f>
        <v>0</v>
      </c>
      <c r="F1270" t="str">
        <f>"000380"</f>
        <v>0</v>
      </c>
      <c r="G1270" t="s">
        <v>21</v>
      </c>
    </row>
    <row r="1271" spans="1:7">
      <c r="A1271">
        <v>1270</v>
      </c>
      <c r="B1271" t="str">
        <f>"014373"</f>
        <v>0</v>
      </c>
      <c r="C1271" t="s">
        <v>981</v>
      </c>
      <c r="D1271" t="s">
        <v>2344</v>
      </c>
      <c r="E1271" t="str">
        <f>"3460900036312"</f>
        <v>0</v>
      </c>
      <c r="F1271" t="str">
        <f>"000380"</f>
        <v>0</v>
      </c>
      <c r="G1271" t="s">
        <v>21</v>
      </c>
    </row>
    <row r="1272" spans="1:7">
      <c r="A1272">
        <v>1271</v>
      </c>
      <c r="B1272" t="str">
        <f>"014960"</f>
        <v>0</v>
      </c>
      <c r="C1272" t="s">
        <v>2345</v>
      </c>
      <c r="D1272" t="s">
        <v>2346</v>
      </c>
      <c r="E1272" t="str">
        <f>"3461200061625"</f>
        <v>0</v>
      </c>
      <c r="F1272" t="str">
        <f>"000380"</f>
        <v>0</v>
      </c>
      <c r="G1272" t="s">
        <v>21</v>
      </c>
    </row>
    <row r="1273" spans="1:7">
      <c r="A1273">
        <v>1272</v>
      </c>
      <c r="B1273" t="str">
        <f>"015095"</f>
        <v>0</v>
      </c>
      <c r="C1273" t="s">
        <v>2347</v>
      </c>
      <c r="D1273" t="s">
        <v>2348</v>
      </c>
      <c r="E1273" t="str">
        <f>"3469900157711"</f>
        <v>0</v>
      </c>
      <c r="F1273" t="str">
        <f>"000380"</f>
        <v>0</v>
      </c>
      <c r="G1273" t="s">
        <v>21</v>
      </c>
    </row>
    <row r="1274" spans="1:7">
      <c r="A1274">
        <v>1273</v>
      </c>
      <c r="B1274" t="str">
        <f>"015153"</f>
        <v>0</v>
      </c>
      <c r="C1274" t="s">
        <v>2349</v>
      </c>
      <c r="D1274" t="s">
        <v>2350</v>
      </c>
      <c r="E1274" t="str">
        <f>"3460100511105"</f>
        <v>0</v>
      </c>
      <c r="F1274" t="str">
        <f>"000380"</f>
        <v>0</v>
      </c>
      <c r="G1274" t="s">
        <v>21</v>
      </c>
    </row>
    <row r="1275" spans="1:7">
      <c r="A1275">
        <v>1274</v>
      </c>
      <c r="B1275" t="str">
        <f>"015763"</f>
        <v>0</v>
      </c>
      <c r="C1275" t="s">
        <v>2351</v>
      </c>
      <c r="D1275" t="s">
        <v>2352</v>
      </c>
      <c r="E1275" t="str">
        <f>"3809800066974"</f>
        <v>0</v>
      </c>
      <c r="F1275" t="str">
        <f>"000380"</f>
        <v>0</v>
      </c>
      <c r="G1275" t="s">
        <v>21</v>
      </c>
    </row>
    <row r="1276" spans="1:7">
      <c r="A1276">
        <v>1275</v>
      </c>
      <c r="B1276" t="str">
        <f>"015941"</f>
        <v>0</v>
      </c>
      <c r="C1276" t="s">
        <v>2353</v>
      </c>
      <c r="D1276" t="s">
        <v>2354</v>
      </c>
      <c r="E1276" t="str">
        <f>"3460100275011"</f>
        <v>0</v>
      </c>
      <c r="F1276" t="str">
        <f>"000380"</f>
        <v>0</v>
      </c>
      <c r="G1276" t="s">
        <v>21</v>
      </c>
    </row>
    <row r="1277" spans="1:7">
      <c r="A1277">
        <v>1276</v>
      </c>
      <c r="B1277" t="str">
        <f>"015989"</f>
        <v>0</v>
      </c>
      <c r="C1277" t="s">
        <v>2355</v>
      </c>
      <c r="D1277" t="s">
        <v>2356</v>
      </c>
      <c r="E1277" t="str">
        <f>"3469900280441"</f>
        <v>0</v>
      </c>
      <c r="F1277" t="str">
        <f>"000380"</f>
        <v>0</v>
      </c>
      <c r="G1277" t="s">
        <v>21</v>
      </c>
    </row>
    <row r="1278" spans="1:7">
      <c r="A1278">
        <v>1277</v>
      </c>
      <c r="B1278" t="str">
        <f>"016070"</f>
        <v>0</v>
      </c>
      <c r="C1278" t="s">
        <v>2357</v>
      </c>
      <c r="D1278" t="s">
        <v>2358</v>
      </c>
      <c r="E1278" t="str">
        <f>"3461400027862"</f>
        <v>0</v>
      </c>
      <c r="F1278" t="str">
        <f>"000380"</f>
        <v>0</v>
      </c>
      <c r="G1278" t="s">
        <v>21</v>
      </c>
    </row>
    <row r="1279" spans="1:7">
      <c r="A1279">
        <v>1278</v>
      </c>
      <c r="B1279" t="str">
        <f>"016494"</f>
        <v>0</v>
      </c>
      <c r="C1279" t="s">
        <v>367</v>
      </c>
      <c r="D1279" t="s">
        <v>2359</v>
      </c>
      <c r="E1279" t="str">
        <f>"3461000253792"</f>
        <v>0</v>
      </c>
      <c r="F1279" t="str">
        <f>"000380"</f>
        <v>0</v>
      </c>
      <c r="G1279" t="s">
        <v>21</v>
      </c>
    </row>
    <row r="1280" spans="1:7">
      <c r="A1280">
        <v>1279</v>
      </c>
      <c r="B1280" t="str">
        <f>"016495"</f>
        <v>0</v>
      </c>
      <c r="C1280" t="s">
        <v>2360</v>
      </c>
      <c r="D1280" t="s">
        <v>2361</v>
      </c>
      <c r="E1280" t="str">
        <f>"3460900016486"</f>
        <v>0</v>
      </c>
      <c r="F1280" t="str">
        <f>"000380"</f>
        <v>0</v>
      </c>
      <c r="G1280" t="s">
        <v>21</v>
      </c>
    </row>
    <row r="1281" spans="1:7">
      <c r="A1281">
        <v>1280</v>
      </c>
      <c r="B1281" t="str">
        <f>"016953"</f>
        <v>0</v>
      </c>
      <c r="C1281" t="s">
        <v>56</v>
      </c>
      <c r="D1281" t="s">
        <v>2362</v>
      </c>
      <c r="E1281" t="str">
        <f>"3460300251883"</f>
        <v>0</v>
      </c>
      <c r="F1281" t="str">
        <f>"000380"</f>
        <v>0</v>
      </c>
      <c r="G1281" t="s">
        <v>21</v>
      </c>
    </row>
    <row r="1282" spans="1:7">
      <c r="A1282">
        <v>1281</v>
      </c>
      <c r="B1282" t="str">
        <f>"017736"</f>
        <v>0</v>
      </c>
      <c r="C1282" t="s">
        <v>2254</v>
      </c>
      <c r="D1282" t="s">
        <v>2363</v>
      </c>
      <c r="E1282" t="str">
        <f>"5461490001139"</f>
        <v>0</v>
      </c>
      <c r="F1282" t="str">
        <f>"000380"</f>
        <v>0</v>
      </c>
      <c r="G1282" t="s">
        <v>21</v>
      </c>
    </row>
    <row r="1283" spans="1:7">
      <c r="A1283">
        <v>1282</v>
      </c>
      <c r="B1283" t="str">
        <f>"017969"</f>
        <v>0</v>
      </c>
      <c r="C1283" t="s">
        <v>2364</v>
      </c>
      <c r="D1283" t="s">
        <v>2365</v>
      </c>
      <c r="E1283" t="str">
        <f>"3460700167219"</f>
        <v>0</v>
      </c>
      <c r="F1283" t="str">
        <f>"000380"</f>
        <v>0</v>
      </c>
      <c r="G1283" t="s">
        <v>21</v>
      </c>
    </row>
    <row r="1284" spans="1:7">
      <c r="A1284">
        <v>1283</v>
      </c>
      <c r="B1284" t="str">
        <f>"018905"</f>
        <v>0</v>
      </c>
      <c r="C1284" t="s">
        <v>2366</v>
      </c>
      <c r="D1284" t="s">
        <v>2367</v>
      </c>
      <c r="E1284" t="str">
        <f>"3460500469017"</f>
        <v>0</v>
      </c>
      <c r="F1284" t="str">
        <f>"000380"</f>
        <v>0</v>
      </c>
      <c r="G1284" t="s">
        <v>21</v>
      </c>
    </row>
    <row r="1285" spans="1:7">
      <c r="A1285">
        <v>1284</v>
      </c>
      <c r="B1285" t="str">
        <f>"019810"</f>
        <v>0</v>
      </c>
      <c r="C1285" t="s">
        <v>878</v>
      </c>
      <c r="D1285" t="s">
        <v>2253</v>
      </c>
      <c r="E1285" t="str">
        <f>"3469900044291"</f>
        <v>0</v>
      </c>
      <c r="F1285" t="str">
        <f>"000380"</f>
        <v>0</v>
      </c>
      <c r="G1285" t="s">
        <v>21</v>
      </c>
    </row>
    <row r="1286" spans="1:7">
      <c r="A1286">
        <v>1285</v>
      </c>
      <c r="B1286" t="str">
        <f>"019883"</f>
        <v>0</v>
      </c>
      <c r="C1286" t="s">
        <v>2368</v>
      </c>
      <c r="D1286" t="s">
        <v>2369</v>
      </c>
      <c r="E1286" t="str">
        <f>"3461000430775"</f>
        <v>0</v>
      </c>
      <c r="F1286" t="str">
        <f>"000380"</f>
        <v>0</v>
      </c>
      <c r="G1286" t="s">
        <v>21</v>
      </c>
    </row>
    <row r="1287" spans="1:7">
      <c r="A1287">
        <v>1286</v>
      </c>
      <c r="B1287" t="str">
        <f>"020054"</f>
        <v>0</v>
      </c>
      <c r="C1287" t="s">
        <v>2370</v>
      </c>
      <c r="D1287" t="s">
        <v>2369</v>
      </c>
      <c r="E1287" t="str">
        <f>"3460500184551"</f>
        <v>0</v>
      </c>
      <c r="F1287" t="str">
        <f>"000380"</f>
        <v>0</v>
      </c>
      <c r="G1287" t="s">
        <v>21</v>
      </c>
    </row>
    <row r="1288" spans="1:7">
      <c r="A1288">
        <v>1287</v>
      </c>
      <c r="B1288" t="str">
        <f>"020287"</f>
        <v>0</v>
      </c>
      <c r="C1288" t="s">
        <v>2371</v>
      </c>
      <c r="D1288" t="s">
        <v>2372</v>
      </c>
      <c r="E1288" t="str">
        <f>"3460500311529"</f>
        <v>0</v>
      </c>
      <c r="F1288" t="str">
        <f>"000380"</f>
        <v>0</v>
      </c>
      <c r="G1288" t="s">
        <v>21</v>
      </c>
    </row>
    <row r="1289" spans="1:7">
      <c r="A1289">
        <v>1288</v>
      </c>
      <c r="B1289" t="str">
        <f>"020558"</f>
        <v>0</v>
      </c>
      <c r="C1289" t="s">
        <v>2373</v>
      </c>
      <c r="D1289" t="s">
        <v>2374</v>
      </c>
      <c r="E1289" t="str">
        <f>"3460100031022"</f>
        <v>0</v>
      </c>
      <c r="F1289" t="str">
        <f>"000380"</f>
        <v>0</v>
      </c>
      <c r="G1289" t="s">
        <v>21</v>
      </c>
    </row>
    <row r="1290" spans="1:7">
      <c r="A1290">
        <v>1289</v>
      </c>
      <c r="B1290" t="str">
        <f>"015211"</f>
        <v>0</v>
      </c>
      <c r="C1290" t="s">
        <v>2375</v>
      </c>
      <c r="D1290" t="s">
        <v>2376</v>
      </c>
      <c r="E1290" t="str">
        <f>"3469900333943"</f>
        <v>0</v>
      </c>
      <c r="F1290" t="str">
        <f>"000380"</f>
        <v>0</v>
      </c>
      <c r="G1290" t="s">
        <v>21</v>
      </c>
    </row>
    <row r="1291" spans="1:7">
      <c r="A1291">
        <v>1290</v>
      </c>
      <c r="B1291" t="str">
        <f>"022826"</f>
        <v>0</v>
      </c>
      <c r="C1291" t="s">
        <v>2377</v>
      </c>
      <c r="D1291" t="s">
        <v>2378</v>
      </c>
      <c r="E1291" t="str">
        <f>"3460300002531"</f>
        <v>0</v>
      </c>
      <c r="F1291" t="str">
        <f>"000380"</f>
        <v>0</v>
      </c>
      <c r="G1291" t="s">
        <v>21</v>
      </c>
    </row>
    <row r="1292" spans="1:7">
      <c r="A1292">
        <v>1291</v>
      </c>
      <c r="B1292" t="str">
        <f>"025427"</f>
        <v>0</v>
      </c>
      <c r="C1292" t="s">
        <v>2379</v>
      </c>
      <c r="D1292" t="s">
        <v>2380</v>
      </c>
      <c r="E1292" t="str">
        <f>"5460300001166"</f>
        <v>0</v>
      </c>
      <c r="F1292" t="str">
        <f>"000380"</f>
        <v>0</v>
      </c>
      <c r="G1292" t="s">
        <v>21</v>
      </c>
    </row>
    <row r="1293" spans="1:7">
      <c r="A1293">
        <v>1292</v>
      </c>
      <c r="B1293" t="str">
        <f>"018803"</f>
        <v>0</v>
      </c>
      <c r="C1293" t="s">
        <v>2381</v>
      </c>
      <c r="D1293" t="s">
        <v>2382</v>
      </c>
      <c r="E1293" t="str">
        <f>"3460500005444"</f>
        <v>0</v>
      </c>
      <c r="F1293" t="str">
        <f>"000380"</f>
        <v>0</v>
      </c>
      <c r="G1293" t="s">
        <v>21</v>
      </c>
    </row>
    <row r="1294" spans="1:7">
      <c r="A1294">
        <v>1293</v>
      </c>
      <c r="B1294" t="str">
        <f>"023465"</f>
        <v>0</v>
      </c>
      <c r="C1294" t="s">
        <v>2383</v>
      </c>
      <c r="D1294" t="s">
        <v>2384</v>
      </c>
      <c r="E1294" t="str">
        <f>"3460701103982"</f>
        <v>0</v>
      </c>
      <c r="F1294" t="str">
        <f>"000380"</f>
        <v>0</v>
      </c>
      <c r="G1294" t="s">
        <v>21</v>
      </c>
    </row>
    <row r="1295" spans="1:7">
      <c r="A1295">
        <v>1294</v>
      </c>
      <c r="B1295" t="str">
        <f>"025770"</f>
        <v>0</v>
      </c>
      <c r="C1295" t="s">
        <v>2385</v>
      </c>
      <c r="D1295" t="s">
        <v>2386</v>
      </c>
      <c r="E1295" t="str">
        <f>"3460500090964"</f>
        <v>0</v>
      </c>
      <c r="F1295" t="str">
        <f>"000380"</f>
        <v>0</v>
      </c>
      <c r="G1295" t="s">
        <v>21</v>
      </c>
    </row>
    <row r="1296" spans="1:7">
      <c r="A1296">
        <v>1295</v>
      </c>
      <c r="B1296" t="str">
        <f>"026085"</f>
        <v>0</v>
      </c>
      <c r="C1296" t="s">
        <v>2387</v>
      </c>
      <c r="D1296" t="s">
        <v>2388</v>
      </c>
      <c r="E1296" t="str">
        <f>"3350400469903"</f>
        <v>0</v>
      </c>
      <c r="F1296" t="str">
        <f>"000380"</f>
        <v>0</v>
      </c>
      <c r="G1296" t="s">
        <v>21</v>
      </c>
    </row>
    <row r="1297" spans="1:7">
      <c r="A1297">
        <v>1296</v>
      </c>
      <c r="B1297" t="str">
        <f>"022014"</f>
        <v>0</v>
      </c>
      <c r="C1297" t="s">
        <v>2389</v>
      </c>
      <c r="D1297" t="s">
        <v>2390</v>
      </c>
      <c r="E1297" t="str">
        <f>"3400100870431"</f>
        <v>0</v>
      </c>
      <c r="F1297" t="str">
        <f>"000380"</f>
        <v>0</v>
      </c>
      <c r="G1297" t="s">
        <v>21</v>
      </c>
    </row>
    <row r="1298" spans="1:7">
      <c r="A1298">
        <v>1297</v>
      </c>
      <c r="B1298" t="str">
        <f>"025454"</f>
        <v>0</v>
      </c>
      <c r="C1298" t="s">
        <v>2391</v>
      </c>
      <c r="D1298" t="s">
        <v>2392</v>
      </c>
      <c r="E1298" t="str">
        <f>"1400900021262"</f>
        <v>0</v>
      </c>
      <c r="F1298" t="str">
        <f>"000380"</f>
        <v>0</v>
      </c>
      <c r="G1298" t="s">
        <v>21</v>
      </c>
    </row>
    <row r="1299" spans="1:7">
      <c r="A1299">
        <v>1298</v>
      </c>
      <c r="B1299" t="str">
        <f>"027084"</f>
        <v>0</v>
      </c>
      <c r="C1299" t="s">
        <v>2393</v>
      </c>
      <c r="D1299" t="s">
        <v>2394</v>
      </c>
      <c r="E1299" t="str">
        <f>"3460800136226"</f>
        <v>0</v>
      </c>
      <c r="F1299" t="str">
        <f>"000380"</f>
        <v>0</v>
      </c>
      <c r="G1299" t="s">
        <v>21</v>
      </c>
    </row>
    <row r="1300" spans="1:7">
      <c r="A1300">
        <v>1299</v>
      </c>
      <c r="B1300" t="str">
        <f>"024322"</f>
        <v>0</v>
      </c>
      <c r="C1300" t="s">
        <v>2395</v>
      </c>
      <c r="D1300" t="s">
        <v>2396</v>
      </c>
      <c r="E1300" t="str">
        <f>"3411800178698"</f>
        <v>0</v>
      </c>
      <c r="F1300" t="str">
        <f>"000380"</f>
        <v>0</v>
      </c>
      <c r="G1300" t="s">
        <v>21</v>
      </c>
    </row>
    <row r="1301" spans="1:7">
      <c r="A1301">
        <v>1300</v>
      </c>
      <c r="B1301" t="str">
        <f>"026291"</f>
        <v>0</v>
      </c>
      <c r="C1301" t="s">
        <v>2397</v>
      </c>
      <c r="D1301" t="s">
        <v>2398</v>
      </c>
      <c r="E1301" t="str">
        <f>"2440500016707"</f>
        <v>0</v>
      </c>
      <c r="F1301" t="str">
        <f>"000380"</f>
        <v>0</v>
      </c>
      <c r="G1301" t="s">
        <v>21</v>
      </c>
    </row>
    <row r="1302" spans="1:7">
      <c r="A1302">
        <v>1301</v>
      </c>
      <c r="B1302" t="str">
        <f>"020345"</f>
        <v>0</v>
      </c>
      <c r="C1302" t="s">
        <v>2399</v>
      </c>
      <c r="D1302" t="s">
        <v>2400</v>
      </c>
      <c r="E1302" t="str">
        <f>"3461000478735"</f>
        <v>0</v>
      </c>
      <c r="F1302" t="str">
        <f>"000380"</f>
        <v>0</v>
      </c>
      <c r="G1302" t="s">
        <v>21</v>
      </c>
    </row>
    <row r="1303" spans="1:7">
      <c r="A1303">
        <v>1302</v>
      </c>
      <c r="B1303" t="str">
        <f>"024917"</f>
        <v>0</v>
      </c>
      <c r="C1303" t="s">
        <v>2401</v>
      </c>
      <c r="D1303" t="s">
        <v>2402</v>
      </c>
      <c r="E1303" t="str">
        <f>"1451000081499"</f>
        <v>0</v>
      </c>
      <c r="F1303" t="str">
        <f>"000380"</f>
        <v>0</v>
      </c>
      <c r="G1303" t="s">
        <v>21</v>
      </c>
    </row>
    <row r="1304" spans="1:7">
      <c r="A1304">
        <v>1303</v>
      </c>
      <c r="B1304" t="str">
        <f>"024919"</f>
        <v>0</v>
      </c>
      <c r="C1304" t="s">
        <v>2403</v>
      </c>
      <c r="D1304" t="s">
        <v>2404</v>
      </c>
      <c r="E1304" t="str">
        <f>"3450100340700"</f>
        <v>0</v>
      </c>
      <c r="F1304" t="str">
        <f>"000380"</f>
        <v>0</v>
      </c>
      <c r="G1304" t="s">
        <v>21</v>
      </c>
    </row>
    <row r="1305" spans="1:7">
      <c r="A1305">
        <v>1304</v>
      </c>
      <c r="B1305" t="str">
        <f>"025085"</f>
        <v>0</v>
      </c>
      <c r="C1305" t="s">
        <v>2405</v>
      </c>
      <c r="D1305" t="s">
        <v>2406</v>
      </c>
      <c r="E1305" t="str">
        <f>"1450400002021"</f>
        <v>0</v>
      </c>
      <c r="F1305" t="str">
        <f>"000380"</f>
        <v>0</v>
      </c>
      <c r="G1305" t="s">
        <v>21</v>
      </c>
    </row>
    <row r="1306" spans="1:7">
      <c r="A1306">
        <v>1305</v>
      </c>
      <c r="B1306" t="str">
        <f>"025435"</f>
        <v>0</v>
      </c>
      <c r="C1306" t="s">
        <v>2407</v>
      </c>
      <c r="D1306" t="s">
        <v>2408</v>
      </c>
      <c r="E1306" t="str">
        <f>"3450200353471"</f>
        <v>0</v>
      </c>
      <c r="F1306" t="str">
        <f>"000380"</f>
        <v>0</v>
      </c>
      <c r="G1306" t="s">
        <v>21</v>
      </c>
    </row>
    <row r="1307" spans="1:7">
      <c r="A1307">
        <v>1306</v>
      </c>
      <c r="B1307" t="str">
        <f>"026083"</f>
        <v>0</v>
      </c>
      <c r="C1307" t="s">
        <v>2409</v>
      </c>
      <c r="D1307" t="s">
        <v>2410</v>
      </c>
      <c r="E1307" t="str">
        <f>"3451500035093"</f>
        <v>0</v>
      </c>
      <c r="F1307" t="str">
        <f>"000380"</f>
        <v>0</v>
      </c>
      <c r="G1307" t="s">
        <v>21</v>
      </c>
    </row>
    <row r="1308" spans="1:7">
      <c r="A1308">
        <v>1307</v>
      </c>
      <c r="B1308" t="str">
        <f>"026672"</f>
        <v>0</v>
      </c>
      <c r="C1308" t="s">
        <v>1315</v>
      </c>
      <c r="D1308" t="s">
        <v>2411</v>
      </c>
      <c r="E1308" t="str">
        <f>"1450700031272"</f>
        <v>0</v>
      </c>
      <c r="F1308" t="str">
        <f>"000380"</f>
        <v>0</v>
      </c>
      <c r="G1308" t="s">
        <v>21</v>
      </c>
    </row>
    <row r="1309" spans="1:7">
      <c r="A1309">
        <v>1308</v>
      </c>
      <c r="B1309" t="str">
        <f>"027081"</f>
        <v>0</v>
      </c>
      <c r="C1309" t="s">
        <v>1981</v>
      </c>
      <c r="D1309" t="s">
        <v>2412</v>
      </c>
      <c r="E1309" t="str">
        <f>"1459900347468"</f>
        <v>0</v>
      </c>
      <c r="F1309" t="str">
        <f>"000380"</f>
        <v>0</v>
      </c>
      <c r="G1309" t="s">
        <v>21</v>
      </c>
    </row>
    <row r="1310" spans="1:7">
      <c r="A1310">
        <v>1309</v>
      </c>
      <c r="B1310" t="str">
        <f>"027082"</f>
        <v>0</v>
      </c>
      <c r="C1310" t="s">
        <v>2413</v>
      </c>
      <c r="D1310" t="s">
        <v>2414</v>
      </c>
      <c r="E1310" t="str">
        <f>"1450700010160"</f>
        <v>0</v>
      </c>
      <c r="F1310" t="str">
        <f>"000380"</f>
        <v>0</v>
      </c>
      <c r="G1310" t="s">
        <v>21</v>
      </c>
    </row>
    <row r="1311" spans="1:7">
      <c r="A1311">
        <v>1310</v>
      </c>
      <c r="B1311" t="str">
        <f>"007493"</f>
        <v>0</v>
      </c>
      <c r="C1311" t="s">
        <v>1926</v>
      </c>
      <c r="D1311" t="s">
        <v>2415</v>
      </c>
      <c r="E1311" t="str">
        <f>"3461300485427"</f>
        <v>0</v>
      </c>
      <c r="F1311" t="str">
        <f>"000380"</f>
        <v>0</v>
      </c>
      <c r="G1311" t="s">
        <v>21</v>
      </c>
    </row>
    <row r="1312" spans="1:7">
      <c r="A1312">
        <v>1311</v>
      </c>
      <c r="B1312" t="str">
        <f>"009083"</f>
        <v>0</v>
      </c>
      <c r="C1312" t="s">
        <v>403</v>
      </c>
      <c r="D1312" t="s">
        <v>2416</v>
      </c>
      <c r="E1312" t="str">
        <f>"3460500041017"</f>
        <v>0</v>
      </c>
      <c r="F1312" t="str">
        <f>"000380"</f>
        <v>0</v>
      </c>
      <c r="G1312" t="s">
        <v>21</v>
      </c>
    </row>
    <row r="1313" spans="1:7">
      <c r="A1313">
        <v>1312</v>
      </c>
      <c r="B1313" t="str">
        <f>"009817"</f>
        <v>0</v>
      </c>
      <c r="C1313" t="s">
        <v>2417</v>
      </c>
      <c r="D1313" t="s">
        <v>2418</v>
      </c>
      <c r="E1313" t="str">
        <f>"3469900234368"</f>
        <v>0</v>
      </c>
      <c r="F1313" t="str">
        <f>"000380"</f>
        <v>0</v>
      </c>
      <c r="G1313" t="s">
        <v>21</v>
      </c>
    </row>
    <row r="1314" spans="1:7">
      <c r="A1314">
        <v>1313</v>
      </c>
      <c r="B1314" t="str">
        <f>"010677"</f>
        <v>0</v>
      </c>
      <c r="C1314" t="s">
        <v>470</v>
      </c>
      <c r="D1314" t="s">
        <v>2419</v>
      </c>
      <c r="E1314" t="str">
        <f>"3460700448692"</f>
        <v>0</v>
      </c>
      <c r="F1314" t="str">
        <f>"000380"</f>
        <v>0</v>
      </c>
      <c r="G1314" t="s">
        <v>21</v>
      </c>
    </row>
    <row r="1315" spans="1:7">
      <c r="A1315">
        <v>1314</v>
      </c>
      <c r="B1315" t="str">
        <f>"011880"</f>
        <v>0</v>
      </c>
      <c r="C1315" t="s">
        <v>2420</v>
      </c>
      <c r="D1315" t="s">
        <v>2421</v>
      </c>
      <c r="E1315" t="str">
        <f>"3460300173475"</f>
        <v>0</v>
      </c>
      <c r="F1315" t="str">
        <f>"000380"</f>
        <v>0</v>
      </c>
      <c r="G1315" t="s">
        <v>21</v>
      </c>
    </row>
    <row r="1316" spans="1:7">
      <c r="A1316">
        <v>1315</v>
      </c>
      <c r="B1316" t="str">
        <f>"013191"</f>
        <v>0</v>
      </c>
      <c r="C1316" t="s">
        <v>2422</v>
      </c>
      <c r="D1316" t="s">
        <v>2423</v>
      </c>
      <c r="E1316" t="str">
        <f>"3461000497365"</f>
        <v>0</v>
      </c>
      <c r="F1316" t="str">
        <f>"000380"</f>
        <v>0</v>
      </c>
      <c r="G1316" t="s">
        <v>21</v>
      </c>
    </row>
    <row r="1317" spans="1:7">
      <c r="A1317">
        <v>1316</v>
      </c>
      <c r="B1317" t="str">
        <f>"013849"</f>
        <v>0</v>
      </c>
      <c r="C1317" t="s">
        <v>2424</v>
      </c>
      <c r="D1317" t="s">
        <v>2425</v>
      </c>
      <c r="E1317" t="str">
        <f>"3460200216539"</f>
        <v>0</v>
      </c>
      <c r="F1317" t="str">
        <f>"000380"</f>
        <v>0</v>
      </c>
      <c r="G1317" t="s">
        <v>21</v>
      </c>
    </row>
    <row r="1318" spans="1:7">
      <c r="A1318">
        <v>1317</v>
      </c>
      <c r="B1318" t="str">
        <f>"014042"</f>
        <v>0</v>
      </c>
      <c r="C1318" t="s">
        <v>2426</v>
      </c>
      <c r="D1318" t="s">
        <v>2427</v>
      </c>
      <c r="E1318" t="str">
        <f>"3460900161940"</f>
        <v>0</v>
      </c>
      <c r="F1318" t="str">
        <f>"000380"</f>
        <v>0</v>
      </c>
      <c r="G1318" t="s">
        <v>21</v>
      </c>
    </row>
    <row r="1319" spans="1:7">
      <c r="A1319">
        <v>1318</v>
      </c>
      <c r="B1319" t="str">
        <f>"014668"</f>
        <v>0</v>
      </c>
      <c r="C1319" t="s">
        <v>2428</v>
      </c>
      <c r="D1319" t="s">
        <v>2429</v>
      </c>
      <c r="E1319" t="str">
        <f>"3461200033907"</f>
        <v>0</v>
      </c>
      <c r="F1319" t="str">
        <f>"000380"</f>
        <v>0</v>
      </c>
      <c r="G1319" t="s">
        <v>21</v>
      </c>
    </row>
    <row r="1320" spans="1:7">
      <c r="A1320">
        <v>1319</v>
      </c>
      <c r="B1320" t="str">
        <f>"015024"</f>
        <v>0</v>
      </c>
      <c r="C1320" t="s">
        <v>2430</v>
      </c>
      <c r="D1320" t="s">
        <v>2431</v>
      </c>
      <c r="E1320" t="str">
        <f>"3461400141479"</f>
        <v>0</v>
      </c>
      <c r="F1320" t="str">
        <f>"000380"</f>
        <v>0</v>
      </c>
      <c r="G1320" t="s">
        <v>21</v>
      </c>
    </row>
    <row r="1321" spans="1:7">
      <c r="A1321">
        <v>1320</v>
      </c>
      <c r="B1321" t="str">
        <f>"015054"</f>
        <v>0</v>
      </c>
      <c r="C1321" t="s">
        <v>2432</v>
      </c>
      <c r="D1321" t="s">
        <v>2433</v>
      </c>
      <c r="E1321" t="str">
        <f>"3460700132474"</f>
        <v>0</v>
      </c>
      <c r="F1321" t="str">
        <f>"000380"</f>
        <v>0</v>
      </c>
      <c r="G1321" t="s">
        <v>21</v>
      </c>
    </row>
    <row r="1322" spans="1:7">
      <c r="A1322">
        <v>1321</v>
      </c>
      <c r="B1322" t="str">
        <f>"015855"</f>
        <v>0</v>
      </c>
      <c r="C1322" t="s">
        <v>2434</v>
      </c>
      <c r="D1322" t="s">
        <v>2435</v>
      </c>
      <c r="E1322" t="str">
        <f>"3460100877789"</f>
        <v>0</v>
      </c>
      <c r="F1322" t="str">
        <f>"000380"</f>
        <v>0</v>
      </c>
      <c r="G1322" t="s">
        <v>21</v>
      </c>
    </row>
    <row r="1323" spans="1:7">
      <c r="A1323">
        <v>1322</v>
      </c>
      <c r="B1323" t="str">
        <f>"016250"</f>
        <v>0</v>
      </c>
      <c r="C1323" t="s">
        <v>802</v>
      </c>
      <c r="D1323" t="s">
        <v>2436</v>
      </c>
      <c r="E1323" t="str">
        <f>"3330501020090"</f>
        <v>0</v>
      </c>
      <c r="F1323" t="str">
        <f>"000380"</f>
        <v>0</v>
      </c>
      <c r="G1323" t="s">
        <v>21</v>
      </c>
    </row>
    <row r="1324" spans="1:7">
      <c r="A1324">
        <v>1323</v>
      </c>
      <c r="B1324" t="str">
        <f>"016439"</f>
        <v>0</v>
      </c>
      <c r="C1324" t="s">
        <v>2437</v>
      </c>
      <c r="D1324" t="s">
        <v>2438</v>
      </c>
      <c r="E1324" t="str">
        <f>"3461400105871"</f>
        <v>0</v>
      </c>
      <c r="F1324" t="str">
        <f>"000380"</f>
        <v>0</v>
      </c>
      <c r="G1324" t="s">
        <v>21</v>
      </c>
    </row>
    <row r="1325" spans="1:7">
      <c r="A1325">
        <v>1324</v>
      </c>
      <c r="B1325" t="str">
        <f>"016805"</f>
        <v>0</v>
      </c>
      <c r="C1325" t="s">
        <v>2439</v>
      </c>
      <c r="D1325" t="s">
        <v>2440</v>
      </c>
      <c r="E1325" t="str">
        <f>"3460500141739"</f>
        <v>0</v>
      </c>
      <c r="F1325" t="str">
        <f>"000380"</f>
        <v>0</v>
      </c>
      <c r="G1325" t="s">
        <v>21</v>
      </c>
    </row>
    <row r="1326" spans="1:7">
      <c r="A1326">
        <v>1325</v>
      </c>
      <c r="B1326" t="str">
        <f>"016893"</f>
        <v>0</v>
      </c>
      <c r="C1326" t="s">
        <v>2441</v>
      </c>
      <c r="D1326" t="s">
        <v>2442</v>
      </c>
      <c r="E1326" t="str">
        <f>"3460100259376"</f>
        <v>0</v>
      </c>
      <c r="F1326" t="str">
        <f>"000380"</f>
        <v>0</v>
      </c>
      <c r="G1326" t="s">
        <v>21</v>
      </c>
    </row>
    <row r="1327" spans="1:7">
      <c r="A1327">
        <v>1326</v>
      </c>
      <c r="B1327" t="str">
        <f>"017401"</f>
        <v>0</v>
      </c>
      <c r="C1327" t="s">
        <v>2443</v>
      </c>
      <c r="D1327" t="s">
        <v>2444</v>
      </c>
      <c r="E1327" t="str">
        <f>"3849900342124"</f>
        <v>0</v>
      </c>
      <c r="F1327" t="str">
        <f>"000380"</f>
        <v>0</v>
      </c>
      <c r="G1327" t="s">
        <v>21</v>
      </c>
    </row>
    <row r="1328" spans="1:7">
      <c r="A1328">
        <v>1327</v>
      </c>
      <c r="B1328" t="str">
        <f>"017455"</f>
        <v>0</v>
      </c>
      <c r="C1328" t="s">
        <v>2445</v>
      </c>
      <c r="D1328" t="s">
        <v>2431</v>
      </c>
      <c r="E1328" t="str">
        <f>"3461400141487"</f>
        <v>0</v>
      </c>
      <c r="F1328" t="str">
        <f>"000380"</f>
        <v>0</v>
      </c>
      <c r="G1328" t="s">
        <v>21</v>
      </c>
    </row>
    <row r="1329" spans="1:7">
      <c r="A1329">
        <v>1328</v>
      </c>
      <c r="B1329" t="str">
        <f>"017613"</f>
        <v>0</v>
      </c>
      <c r="C1329" t="s">
        <v>1502</v>
      </c>
      <c r="D1329" t="s">
        <v>2446</v>
      </c>
      <c r="E1329" t="str">
        <f>"3460100289313"</f>
        <v>0</v>
      </c>
      <c r="F1329" t="str">
        <f>"000380"</f>
        <v>0</v>
      </c>
      <c r="G1329" t="s">
        <v>21</v>
      </c>
    </row>
    <row r="1330" spans="1:7">
      <c r="A1330">
        <v>1329</v>
      </c>
      <c r="B1330" t="str">
        <f>"017682"</f>
        <v>0</v>
      </c>
      <c r="C1330" t="s">
        <v>2447</v>
      </c>
      <c r="D1330" t="s">
        <v>2448</v>
      </c>
      <c r="E1330" t="str">
        <f>"3469900109865"</f>
        <v>0</v>
      </c>
      <c r="F1330" t="str">
        <f>"000380"</f>
        <v>0</v>
      </c>
      <c r="G1330" t="s">
        <v>21</v>
      </c>
    </row>
    <row r="1331" spans="1:7">
      <c r="A1331">
        <v>1330</v>
      </c>
      <c r="B1331" t="str">
        <f>"018453"</f>
        <v>0</v>
      </c>
      <c r="C1331" t="s">
        <v>2449</v>
      </c>
      <c r="D1331" t="s">
        <v>2450</v>
      </c>
      <c r="E1331" t="str">
        <f>"3460900063204"</f>
        <v>0</v>
      </c>
      <c r="F1331" t="str">
        <f>"000380"</f>
        <v>0</v>
      </c>
      <c r="G1331" t="s">
        <v>21</v>
      </c>
    </row>
    <row r="1332" spans="1:7">
      <c r="A1332">
        <v>1331</v>
      </c>
      <c r="B1332" t="str">
        <f>"018576"</f>
        <v>0</v>
      </c>
      <c r="C1332" t="s">
        <v>2451</v>
      </c>
      <c r="D1332" t="s">
        <v>2452</v>
      </c>
      <c r="E1332" t="str">
        <f>"3401600873481"</f>
        <v>0</v>
      </c>
      <c r="F1332" t="str">
        <f>"000380"</f>
        <v>0</v>
      </c>
      <c r="G1332" t="s">
        <v>21</v>
      </c>
    </row>
    <row r="1333" spans="1:7">
      <c r="A1333">
        <v>1332</v>
      </c>
      <c r="B1333" t="str">
        <f>"019050"</f>
        <v>0</v>
      </c>
      <c r="C1333" t="s">
        <v>2453</v>
      </c>
      <c r="D1333" t="s">
        <v>2454</v>
      </c>
      <c r="E1333" t="str">
        <f>"3460300766719"</f>
        <v>0</v>
      </c>
      <c r="F1333" t="str">
        <f>"000380"</f>
        <v>0</v>
      </c>
      <c r="G1333" t="s">
        <v>21</v>
      </c>
    </row>
    <row r="1334" spans="1:7">
      <c r="A1334">
        <v>1333</v>
      </c>
      <c r="B1334" t="str">
        <f>"019464"</f>
        <v>0</v>
      </c>
      <c r="C1334" t="s">
        <v>2455</v>
      </c>
      <c r="D1334" t="s">
        <v>2456</v>
      </c>
      <c r="E1334" t="str">
        <f>"3460100080635"</f>
        <v>0</v>
      </c>
      <c r="F1334" t="str">
        <f>"000380"</f>
        <v>0</v>
      </c>
      <c r="G1334" t="s">
        <v>21</v>
      </c>
    </row>
    <row r="1335" spans="1:7">
      <c r="A1335">
        <v>1334</v>
      </c>
      <c r="B1335" t="str">
        <f>"019600"</f>
        <v>0</v>
      </c>
      <c r="C1335" t="s">
        <v>2457</v>
      </c>
      <c r="D1335" t="s">
        <v>2458</v>
      </c>
      <c r="E1335" t="str">
        <f>"3460900225085"</f>
        <v>0</v>
      </c>
      <c r="F1335" t="str">
        <f>"000380"</f>
        <v>0</v>
      </c>
      <c r="G1335" t="s">
        <v>21</v>
      </c>
    </row>
    <row r="1336" spans="1:7">
      <c r="A1336">
        <v>1335</v>
      </c>
      <c r="B1336" t="str">
        <f>"019695"</f>
        <v>0</v>
      </c>
      <c r="C1336" t="s">
        <v>2459</v>
      </c>
      <c r="D1336" t="s">
        <v>2460</v>
      </c>
      <c r="E1336" t="str">
        <f>"3460300425717"</f>
        <v>0</v>
      </c>
      <c r="F1336" t="str">
        <f>"000380"</f>
        <v>0</v>
      </c>
      <c r="G1336" t="s">
        <v>21</v>
      </c>
    </row>
    <row r="1337" spans="1:7">
      <c r="A1337">
        <v>1336</v>
      </c>
      <c r="B1337" t="str">
        <f>"020053"</f>
        <v>0</v>
      </c>
      <c r="C1337" t="s">
        <v>2461</v>
      </c>
      <c r="D1337" t="s">
        <v>2462</v>
      </c>
      <c r="E1337" t="str">
        <f>"3469900247451"</f>
        <v>0</v>
      </c>
      <c r="F1337" t="str">
        <f>"000380"</f>
        <v>0</v>
      </c>
      <c r="G1337" t="s">
        <v>21</v>
      </c>
    </row>
    <row r="1338" spans="1:7">
      <c r="A1338">
        <v>1337</v>
      </c>
      <c r="B1338" t="str">
        <f>"020479"</f>
        <v>0</v>
      </c>
      <c r="C1338" t="s">
        <v>2463</v>
      </c>
      <c r="D1338" t="s">
        <v>2464</v>
      </c>
      <c r="E1338" t="str">
        <f>"3461000298681"</f>
        <v>0</v>
      </c>
      <c r="F1338" t="str">
        <f>"000380"</f>
        <v>0</v>
      </c>
      <c r="G1338" t="s">
        <v>21</v>
      </c>
    </row>
    <row r="1339" spans="1:7">
      <c r="A1339">
        <v>1338</v>
      </c>
      <c r="B1339" t="str">
        <f>"020529"</f>
        <v>0</v>
      </c>
      <c r="C1339" t="s">
        <v>2465</v>
      </c>
      <c r="D1339" t="s">
        <v>2466</v>
      </c>
      <c r="E1339" t="str">
        <f>"3460900086484"</f>
        <v>0</v>
      </c>
      <c r="F1339" t="str">
        <f>"000380"</f>
        <v>0</v>
      </c>
      <c r="G1339" t="s">
        <v>21</v>
      </c>
    </row>
    <row r="1340" spans="1:7">
      <c r="A1340">
        <v>1339</v>
      </c>
      <c r="B1340" t="str">
        <f>"020557"</f>
        <v>0</v>
      </c>
      <c r="C1340" t="s">
        <v>2467</v>
      </c>
      <c r="D1340" t="s">
        <v>2468</v>
      </c>
      <c r="E1340" t="str">
        <f>"3460200219449"</f>
        <v>0</v>
      </c>
      <c r="F1340" t="str">
        <f>"000380"</f>
        <v>0</v>
      </c>
      <c r="G1340" t="s">
        <v>21</v>
      </c>
    </row>
    <row r="1341" spans="1:7">
      <c r="A1341">
        <v>1340</v>
      </c>
      <c r="B1341" t="str">
        <f>"020668"</f>
        <v>0</v>
      </c>
      <c r="C1341" t="s">
        <v>2469</v>
      </c>
      <c r="D1341" t="s">
        <v>1448</v>
      </c>
      <c r="E1341" t="str">
        <f>"3450100942858"</f>
        <v>0</v>
      </c>
      <c r="F1341" t="str">
        <f>"000380"</f>
        <v>0</v>
      </c>
      <c r="G1341" t="s">
        <v>21</v>
      </c>
    </row>
    <row r="1342" spans="1:7">
      <c r="A1342">
        <v>1341</v>
      </c>
      <c r="B1342" t="str">
        <f>"021526"</f>
        <v>0</v>
      </c>
      <c r="C1342" t="s">
        <v>2470</v>
      </c>
      <c r="D1342" t="s">
        <v>2471</v>
      </c>
      <c r="E1342" t="str">
        <f>"3461300135990"</f>
        <v>0</v>
      </c>
      <c r="F1342" t="str">
        <f>"000380"</f>
        <v>0</v>
      </c>
      <c r="G1342" t="s">
        <v>21</v>
      </c>
    </row>
    <row r="1343" spans="1:7">
      <c r="A1343">
        <v>1342</v>
      </c>
      <c r="B1343" t="str">
        <f>"021584"</f>
        <v>0</v>
      </c>
      <c r="C1343" t="s">
        <v>2472</v>
      </c>
      <c r="D1343" t="s">
        <v>2473</v>
      </c>
      <c r="E1343" t="str">
        <f>"3461100221299"</f>
        <v>0</v>
      </c>
      <c r="F1343" t="str">
        <f>"000380"</f>
        <v>0</v>
      </c>
      <c r="G1343" t="s">
        <v>21</v>
      </c>
    </row>
    <row r="1344" spans="1:7">
      <c r="A1344">
        <v>1343</v>
      </c>
      <c r="B1344" t="str">
        <f>"021604"</f>
        <v>0</v>
      </c>
      <c r="C1344" t="s">
        <v>2474</v>
      </c>
      <c r="D1344" t="s">
        <v>2475</v>
      </c>
      <c r="E1344" t="str">
        <f>"3460500153109"</f>
        <v>0</v>
      </c>
      <c r="F1344" t="str">
        <f>"000380"</f>
        <v>0</v>
      </c>
      <c r="G1344" t="s">
        <v>21</v>
      </c>
    </row>
    <row r="1345" spans="1:7">
      <c r="A1345">
        <v>1344</v>
      </c>
      <c r="B1345" t="str">
        <f>"021833"</f>
        <v>0</v>
      </c>
      <c r="C1345" t="s">
        <v>2476</v>
      </c>
      <c r="D1345" t="s">
        <v>2477</v>
      </c>
      <c r="E1345" t="str">
        <f>"3469900279345"</f>
        <v>0</v>
      </c>
      <c r="F1345" t="str">
        <f>"000380"</f>
        <v>0</v>
      </c>
      <c r="G1345" t="s">
        <v>21</v>
      </c>
    </row>
    <row r="1346" spans="1:7">
      <c r="A1346">
        <v>1345</v>
      </c>
      <c r="B1346" t="str">
        <f>"021906"</f>
        <v>0</v>
      </c>
      <c r="C1346" t="s">
        <v>2478</v>
      </c>
      <c r="D1346" t="s">
        <v>2479</v>
      </c>
      <c r="E1346" t="str">
        <f>"3460700644149"</f>
        <v>0</v>
      </c>
      <c r="F1346" t="str">
        <f>"000380"</f>
        <v>0</v>
      </c>
      <c r="G1346" t="s">
        <v>21</v>
      </c>
    </row>
    <row r="1347" spans="1:7">
      <c r="A1347">
        <v>1346</v>
      </c>
      <c r="B1347" t="str">
        <f>"022746"</f>
        <v>0</v>
      </c>
      <c r="C1347" t="s">
        <v>1238</v>
      </c>
      <c r="D1347" t="s">
        <v>2480</v>
      </c>
      <c r="E1347" t="str">
        <f>"3460500421782"</f>
        <v>0</v>
      </c>
      <c r="F1347" t="str">
        <f>"000380"</f>
        <v>0</v>
      </c>
      <c r="G1347" t="s">
        <v>21</v>
      </c>
    </row>
    <row r="1348" spans="1:7">
      <c r="A1348">
        <v>1347</v>
      </c>
      <c r="B1348" t="str">
        <f>"023022"</f>
        <v>0</v>
      </c>
      <c r="C1348" t="s">
        <v>1392</v>
      </c>
      <c r="D1348" t="s">
        <v>2481</v>
      </c>
      <c r="E1348" t="str">
        <f>"3650200309829"</f>
        <v>0</v>
      </c>
      <c r="F1348" t="str">
        <f>"000380"</f>
        <v>0</v>
      </c>
      <c r="G1348" t="s">
        <v>21</v>
      </c>
    </row>
    <row r="1349" spans="1:7">
      <c r="A1349">
        <v>1348</v>
      </c>
      <c r="B1349" t="str">
        <f>"023114"</f>
        <v>0</v>
      </c>
      <c r="C1349" t="s">
        <v>2482</v>
      </c>
      <c r="D1349" t="s">
        <v>2483</v>
      </c>
      <c r="E1349" t="str">
        <f>"3460200090608"</f>
        <v>0</v>
      </c>
      <c r="F1349" t="str">
        <f>"000380"</f>
        <v>0</v>
      </c>
      <c r="G1349" t="s">
        <v>21</v>
      </c>
    </row>
    <row r="1350" spans="1:7">
      <c r="A1350">
        <v>1349</v>
      </c>
      <c r="B1350" t="str">
        <f>"023174"</f>
        <v>0</v>
      </c>
      <c r="C1350" t="s">
        <v>2484</v>
      </c>
      <c r="D1350" t="s">
        <v>2485</v>
      </c>
      <c r="E1350" t="str">
        <f>"3440900687968"</f>
        <v>0</v>
      </c>
      <c r="F1350" t="str">
        <f>"000380"</f>
        <v>0</v>
      </c>
      <c r="G1350" t="s">
        <v>21</v>
      </c>
    </row>
    <row r="1351" spans="1:7">
      <c r="A1351">
        <v>1350</v>
      </c>
      <c r="B1351" t="str">
        <f>"023438"</f>
        <v>0</v>
      </c>
      <c r="C1351" t="s">
        <v>2486</v>
      </c>
      <c r="D1351" t="s">
        <v>2487</v>
      </c>
      <c r="E1351" t="str">
        <f>"1461300011925"</f>
        <v>0</v>
      </c>
      <c r="F1351" t="str">
        <f>"000380"</f>
        <v>0</v>
      </c>
      <c r="G1351" t="s">
        <v>21</v>
      </c>
    </row>
    <row r="1352" spans="1:7">
      <c r="A1352">
        <v>1351</v>
      </c>
      <c r="B1352" t="str">
        <f>"023751"</f>
        <v>0</v>
      </c>
      <c r="C1352" t="s">
        <v>2488</v>
      </c>
      <c r="D1352" t="s">
        <v>2489</v>
      </c>
      <c r="E1352" t="str">
        <f>"1460600059761"</f>
        <v>0</v>
      </c>
      <c r="F1352" t="str">
        <f>"000380"</f>
        <v>0</v>
      </c>
      <c r="G1352" t="s">
        <v>21</v>
      </c>
    </row>
    <row r="1353" spans="1:7">
      <c r="A1353">
        <v>1352</v>
      </c>
      <c r="B1353" t="str">
        <f>"023796"</f>
        <v>0</v>
      </c>
      <c r="C1353" t="s">
        <v>2490</v>
      </c>
      <c r="D1353" t="s">
        <v>2491</v>
      </c>
      <c r="E1353" t="str">
        <f>"1460300021342"</f>
        <v>0</v>
      </c>
      <c r="F1353" t="str">
        <f>"000380"</f>
        <v>0</v>
      </c>
      <c r="G1353" t="s">
        <v>21</v>
      </c>
    </row>
    <row r="1354" spans="1:7">
      <c r="A1354">
        <v>1353</v>
      </c>
      <c r="B1354" t="str">
        <f>"024098"</f>
        <v>0</v>
      </c>
      <c r="C1354" t="s">
        <v>795</v>
      </c>
      <c r="D1354" t="s">
        <v>2492</v>
      </c>
      <c r="E1354" t="str">
        <f>"1409900135118"</f>
        <v>0</v>
      </c>
      <c r="F1354" t="str">
        <f>"000380"</f>
        <v>0</v>
      </c>
      <c r="G1354" t="s">
        <v>21</v>
      </c>
    </row>
    <row r="1355" spans="1:7">
      <c r="A1355">
        <v>1354</v>
      </c>
      <c r="B1355" t="str">
        <f>"024376"</f>
        <v>0</v>
      </c>
      <c r="C1355" t="s">
        <v>2493</v>
      </c>
      <c r="D1355" t="s">
        <v>2494</v>
      </c>
      <c r="E1355" t="str">
        <f>"3330300855437"</f>
        <v>0</v>
      </c>
      <c r="F1355" t="str">
        <f>"000380"</f>
        <v>0</v>
      </c>
      <c r="G1355" t="s">
        <v>21</v>
      </c>
    </row>
    <row r="1356" spans="1:7">
      <c r="A1356">
        <v>1355</v>
      </c>
      <c r="B1356" t="str">
        <f>"024461"</f>
        <v>0</v>
      </c>
      <c r="C1356" t="s">
        <v>2495</v>
      </c>
      <c r="D1356" t="s">
        <v>2496</v>
      </c>
      <c r="E1356" t="str">
        <f>"1461200007187"</f>
        <v>0</v>
      </c>
      <c r="F1356" t="str">
        <f>"000380"</f>
        <v>0</v>
      </c>
      <c r="G1356" t="s">
        <v>21</v>
      </c>
    </row>
    <row r="1357" spans="1:7">
      <c r="A1357">
        <v>1356</v>
      </c>
      <c r="B1357" t="str">
        <f>"024462"</f>
        <v>0</v>
      </c>
      <c r="C1357" t="s">
        <v>2497</v>
      </c>
      <c r="D1357" t="s">
        <v>2498</v>
      </c>
      <c r="E1357" t="str">
        <f>"3430100463950"</f>
        <v>0</v>
      </c>
      <c r="F1357" t="str">
        <f>"000380"</f>
        <v>0</v>
      </c>
      <c r="G1357" t="s">
        <v>21</v>
      </c>
    </row>
    <row r="1358" spans="1:7">
      <c r="A1358">
        <v>1357</v>
      </c>
      <c r="B1358" t="str">
        <f>"024524"</f>
        <v>0</v>
      </c>
      <c r="C1358" t="s">
        <v>2499</v>
      </c>
      <c r="D1358" t="s">
        <v>2500</v>
      </c>
      <c r="E1358" t="str">
        <f>"3460500814385"</f>
        <v>0</v>
      </c>
      <c r="F1358" t="str">
        <f>"000380"</f>
        <v>0</v>
      </c>
      <c r="G1358" t="s">
        <v>21</v>
      </c>
    </row>
    <row r="1359" spans="1:7">
      <c r="A1359">
        <v>1358</v>
      </c>
      <c r="B1359" t="str">
        <f>"024653"</f>
        <v>0</v>
      </c>
      <c r="C1359" t="s">
        <v>2501</v>
      </c>
      <c r="D1359" t="s">
        <v>2502</v>
      </c>
      <c r="E1359" t="str">
        <f>"5460700006653"</f>
        <v>0</v>
      </c>
      <c r="F1359" t="str">
        <f>"000380"</f>
        <v>0</v>
      </c>
      <c r="G1359" t="s">
        <v>21</v>
      </c>
    </row>
    <row r="1360" spans="1:7">
      <c r="A1360">
        <v>1359</v>
      </c>
      <c r="B1360" t="str">
        <f>"024656"</f>
        <v>0</v>
      </c>
      <c r="C1360" t="s">
        <v>2503</v>
      </c>
      <c r="D1360" t="s">
        <v>2504</v>
      </c>
      <c r="E1360" t="str">
        <f>"1460700024357"</f>
        <v>0</v>
      </c>
      <c r="F1360" t="str">
        <f>"000380"</f>
        <v>0</v>
      </c>
      <c r="G1360" t="s">
        <v>21</v>
      </c>
    </row>
    <row r="1361" spans="1:7">
      <c r="A1361">
        <v>1360</v>
      </c>
      <c r="B1361" t="str">
        <f>"024727"</f>
        <v>0</v>
      </c>
      <c r="C1361" t="s">
        <v>2505</v>
      </c>
      <c r="D1361" t="s">
        <v>2506</v>
      </c>
      <c r="E1361" t="str">
        <f>"3460100673733"</f>
        <v>0</v>
      </c>
      <c r="F1361" t="str">
        <f>"000380"</f>
        <v>0</v>
      </c>
      <c r="G1361" t="s">
        <v>21</v>
      </c>
    </row>
    <row r="1362" spans="1:7">
      <c r="A1362">
        <v>1361</v>
      </c>
      <c r="B1362" t="str">
        <f>"024916"</f>
        <v>0</v>
      </c>
      <c r="C1362" t="s">
        <v>2507</v>
      </c>
      <c r="D1362" t="s">
        <v>2508</v>
      </c>
      <c r="E1362" t="str">
        <f>"1460700122286"</f>
        <v>0</v>
      </c>
      <c r="F1362" t="str">
        <f>"000380"</f>
        <v>0</v>
      </c>
      <c r="G1362" t="s">
        <v>21</v>
      </c>
    </row>
    <row r="1363" spans="1:7">
      <c r="A1363">
        <v>1362</v>
      </c>
      <c r="B1363" t="str">
        <f>"025040"</f>
        <v>0</v>
      </c>
      <c r="C1363" t="s">
        <v>2509</v>
      </c>
      <c r="D1363" t="s">
        <v>2510</v>
      </c>
      <c r="E1363" t="str">
        <f>"3460600561888"</f>
        <v>0</v>
      </c>
      <c r="F1363" t="str">
        <f>"000380"</f>
        <v>0</v>
      </c>
      <c r="G1363" t="s">
        <v>21</v>
      </c>
    </row>
    <row r="1364" spans="1:7">
      <c r="A1364">
        <v>1363</v>
      </c>
      <c r="B1364" t="str">
        <f>"025355"</f>
        <v>0</v>
      </c>
      <c r="C1364" t="s">
        <v>2511</v>
      </c>
      <c r="D1364" t="s">
        <v>2512</v>
      </c>
      <c r="E1364" t="str">
        <f>"1469900013616"</f>
        <v>0</v>
      </c>
      <c r="F1364" t="str">
        <f>"000380"</f>
        <v>0</v>
      </c>
      <c r="G1364" t="s">
        <v>21</v>
      </c>
    </row>
    <row r="1365" spans="1:7">
      <c r="A1365">
        <v>1364</v>
      </c>
      <c r="B1365" t="str">
        <f>"025399"</f>
        <v>0</v>
      </c>
      <c r="C1365" t="s">
        <v>2513</v>
      </c>
      <c r="D1365" t="s">
        <v>2514</v>
      </c>
      <c r="E1365" t="str">
        <f>"1461200012458"</f>
        <v>0</v>
      </c>
      <c r="F1365" t="str">
        <f>"000380"</f>
        <v>0</v>
      </c>
      <c r="G1365" t="s">
        <v>21</v>
      </c>
    </row>
    <row r="1366" spans="1:7">
      <c r="A1366">
        <v>1365</v>
      </c>
      <c r="B1366" t="str">
        <f>"025500"</f>
        <v>0</v>
      </c>
      <c r="C1366" t="s">
        <v>2515</v>
      </c>
      <c r="D1366" t="s">
        <v>2516</v>
      </c>
      <c r="E1366" t="str">
        <f>"3461300274361"</f>
        <v>0</v>
      </c>
      <c r="F1366" t="str">
        <f>"000380"</f>
        <v>0</v>
      </c>
      <c r="G1366" t="s">
        <v>21</v>
      </c>
    </row>
    <row r="1367" spans="1:7">
      <c r="A1367">
        <v>1366</v>
      </c>
      <c r="B1367" t="str">
        <f>"025552"</f>
        <v>0</v>
      </c>
      <c r="C1367" t="s">
        <v>2517</v>
      </c>
      <c r="D1367" t="s">
        <v>2518</v>
      </c>
      <c r="E1367" t="str">
        <f>"3460300608862"</f>
        <v>0</v>
      </c>
      <c r="F1367" t="str">
        <f>"000380"</f>
        <v>0</v>
      </c>
      <c r="G1367" t="s">
        <v>21</v>
      </c>
    </row>
    <row r="1368" spans="1:7">
      <c r="A1368">
        <v>1367</v>
      </c>
      <c r="B1368" t="str">
        <f>"025769"</f>
        <v>0</v>
      </c>
      <c r="C1368" t="s">
        <v>2519</v>
      </c>
      <c r="D1368" t="s">
        <v>2520</v>
      </c>
      <c r="E1368" t="str">
        <f>"3461300341522"</f>
        <v>0</v>
      </c>
      <c r="F1368" t="str">
        <f>"000380"</f>
        <v>0</v>
      </c>
      <c r="G1368" t="s">
        <v>21</v>
      </c>
    </row>
    <row r="1369" spans="1:7">
      <c r="A1369">
        <v>1368</v>
      </c>
      <c r="B1369" t="str">
        <f>"025774"</f>
        <v>0</v>
      </c>
      <c r="C1369" t="s">
        <v>2521</v>
      </c>
      <c r="D1369" t="s">
        <v>2522</v>
      </c>
      <c r="E1369" t="str">
        <f>"3460700180932"</f>
        <v>0</v>
      </c>
      <c r="F1369" t="str">
        <f>"000380"</f>
        <v>0</v>
      </c>
      <c r="G1369" t="s">
        <v>21</v>
      </c>
    </row>
    <row r="1370" spans="1:7">
      <c r="A1370">
        <v>1369</v>
      </c>
      <c r="B1370" t="str">
        <f>"025836"</f>
        <v>0</v>
      </c>
      <c r="C1370" t="s">
        <v>2523</v>
      </c>
      <c r="D1370" t="s">
        <v>2524</v>
      </c>
      <c r="E1370" t="str">
        <f>"1460900015696"</f>
        <v>0</v>
      </c>
      <c r="F1370" t="str">
        <f>"000380"</f>
        <v>0</v>
      </c>
      <c r="G1370" t="s">
        <v>21</v>
      </c>
    </row>
    <row r="1371" spans="1:7">
      <c r="A1371">
        <v>1370</v>
      </c>
      <c r="B1371" t="str">
        <f>"025837"</f>
        <v>0</v>
      </c>
      <c r="C1371" t="s">
        <v>2525</v>
      </c>
      <c r="D1371" t="s">
        <v>2526</v>
      </c>
      <c r="E1371" t="str">
        <f>"3469900210493"</f>
        <v>0</v>
      </c>
      <c r="F1371" t="str">
        <f>"000380"</f>
        <v>0</v>
      </c>
      <c r="G1371" t="s">
        <v>21</v>
      </c>
    </row>
    <row r="1372" spans="1:7">
      <c r="A1372">
        <v>1371</v>
      </c>
      <c r="B1372" t="str">
        <f>"026084"</f>
        <v>0</v>
      </c>
      <c r="C1372" t="s">
        <v>2527</v>
      </c>
      <c r="D1372" t="s">
        <v>2528</v>
      </c>
      <c r="E1372" t="str">
        <f>"1409900359237"</f>
        <v>0</v>
      </c>
      <c r="F1372" t="str">
        <f>"000380"</f>
        <v>0</v>
      </c>
      <c r="G1372" t="s">
        <v>21</v>
      </c>
    </row>
    <row r="1373" spans="1:7">
      <c r="A1373">
        <v>1372</v>
      </c>
      <c r="B1373" t="str">
        <f>"026086"</f>
        <v>0</v>
      </c>
      <c r="C1373" t="s">
        <v>2529</v>
      </c>
      <c r="D1373" t="s">
        <v>2530</v>
      </c>
      <c r="E1373" t="str">
        <f>"1409900276854"</f>
        <v>0</v>
      </c>
      <c r="F1373" t="str">
        <f>"000380"</f>
        <v>0</v>
      </c>
      <c r="G1373" t="s">
        <v>21</v>
      </c>
    </row>
    <row r="1374" spans="1:7">
      <c r="A1374">
        <v>1373</v>
      </c>
      <c r="B1374" t="str">
        <f>"026290"</f>
        <v>0</v>
      </c>
      <c r="C1374" t="s">
        <v>2531</v>
      </c>
      <c r="D1374" t="s">
        <v>2532</v>
      </c>
      <c r="E1374" t="str">
        <f>"1460500193171"</f>
        <v>0</v>
      </c>
      <c r="F1374" t="str">
        <f>"000380"</f>
        <v>0</v>
      </c>
      <c r="G1374" t="s">
        <v>21</v>
      </c>
    </row>
    <row r="1375" spans="1:7">
      <c r="A1375">
        <v>1374</v>
      </c>
      <c r="B1375" t="str">
        <f>"026292"</f>
        <v>0</v>
      </c>
      <c r="C1375" t="s">
        <v>2533</v>
      </c>
      <c r="D1375" t="s">
        <v>2534</v>
      </c>
      <c r="E1375" t="str">
        <f>"1710500104630"</f>
        <v>0</v>
      </c>
      <c r="F1375" t="str">
        <f>"000380"</f>
        <v>0</v>
      </c>
      <c r="G1375" t="s">
        <v>21</v>
      </c>
    </row>
    <row r="1376" spans="1:7">
      <c r="A1376">
        <v>1375</v>
      </c>
      <c r="B1376" t="str">
        <f>"026293"</f>
        <v>0</v>
      </c>
      <c r="C1376" t="s">
        <v>2535</v>
      </c>
      <c r="D1376" t="s">
        <v>2536</v>
      </c>
      <c r="E1376" t="str">
        <f>"3341600494597"</f>
        <v>0</v>
      </c>
      <c r="F1376" t="str">
        <f>"000380"</f>
        <v>0</v>
      </c>
      <c r="G1376" t="s">
        <v>21</v>
      </c>
    </row>
    <row r="1377" spans="1:7">
      <c r="A1377">
        <v>1376</v>
      </c>
      <c r="B1377" t="str">
        <f>"026464"</f>
        <v>0</v>
      </c>
      <c r="C1377" t="s">
        <v>2537</v>
      </c>
      <c r="D1377" t="s">
        <v>2538</v>
      </c>
      <c r="E1377" t="str">
        <f>"1460300137316"</f>
        <v>0</v>
      </c>
      <c r="F1377" t="str">
        <f>"000380"</f>
        <v>0</v>
      </c>
      <c r="G1377" t="s">
        <v>21</v>
      </c>
    </row>
    <row r="1378" spans="1:7">
      <c r="A1378">
        <v>1377</v>
      </c>
      <c r="B1378" t="str">
        <f>"026503"</f>
        <v>0</v>
      </c>
      <c r="C1378" t="s">
        <v>2539</v>
      </c>
      <c r="D1378" t="s">
        <v>2540</v>
      </c>
      <c r="E1378" t="str">
        <f>"1469900200653"</f>
        <v>0</v>
      </c>
      <c r="F1378" t="str">
        <f>"000380"</f>
        <v>0</v>
      </c>
      <c r="G1378" t="s">
        <v>21</v>
      </c>
    </row>
    <row r="1379" spans="1:7">
      <c r="A1379">
        <v>1378</v>
      </c>
      <c r="B1379" t="str">
        <f>"026674"</f>
        <v>0</v>
      </c>
      <c r="C1379" t="s">
        <v>2541</v>
      </c>
      <c r="D1379" t="s">
        <v>2542</v>
      </c>
      <c r="E1379" t="str">
        <f>"3469900100451"</f>
        <v>0</v>
      </c>
      <c r="F1379" t="str">
        <f>"000380"</f>
        <v>0</v>
      </c>
      <c r="G1379" t="s">
        <v>21</v>
      </c>
    </row>
    <row r="1380" spans="1:7">
      <c r="A1380">
        <v>1379</v>
      </c>
      <c r="B1380" t="str">
        <f>"026880"</f>
        <v>0</v>
      </c>
      <c r="C1380" t="s">
        <v>2543</v>
      </c>
      <c r="D1380" t="s">
        <v>2544</v>
      </c>
      <c r="E1380" t="str">
        <f>"1460500087789"</f>
        <v>0</v>
      </c>
      <c r="F1380" t="str">
        <f>"000380"</f>
        <v>0</v>
      </c>
      <c r="G1380" t="s">
        <v>21</v>
      </c>
    </row>
    <row r="1381" spans="1:7">
      <c r="A1381">
        <v>1380</v>
      </c>
      <c r="B1381" t="str">
        <f>"026881"</f>
        <v>0</v>
      </c>
      <c r="C1381" t="s">
        <v>2545</v>
      </c>
      <c r="D1381" t="s">
        <v>2546</v>
      </c>
      <c r="E1381" t="str">
        <f>"1469900257337"</f>
        <v>0</v>
      </c>
      <c r="F1381" t="str">
        <f>"000380"</f>
        <v>0</v>
      </c>
      <c r="G1381" t="s">
        <v>21</v>
      </c>
    </row>
    <row r="1382" spans="1:7">
      <c r="A1382">
        <v>1381</v>
      </c>
      <c r="B1382" t="str">
        <f>"027077"</f>
        <v>0</v>
      </c>
      <c r="C1382" t="s">
        <v>2547</v>
      </c>
      <c r="D1382" t="s">
        <v>2548</v>
      </c>
      <c r="E1382" t="str">
        <f>"1469900108285"</f>
        <v>0</v>
      </c>
      <c r="F1382" t="str">
        <f>"000380"</f>
        <v>0</v>
      </c>
      <c r="G1382" t="s">
        <v>21</v>
      </c>
    </row>
    <row r="1383" spans="1:7">
      <c r="A1383">
        <v>1382</v>
      </c>
      <c r="B1383" t="str">
        <f>"027078"</f>
        <v>0</v>
      </c>
      <c r="C1383" t="s">
        <v>2549</v>
      </c>
      <c r="D1383" t="s">
        <v>2550</v>
      </c>
      <c r="E1383" t="str">
        <f>"3461000242189"</f>
        <v>0</v>
      </c>
      <c r="F1383" t="str">
        <f>"000380"</f>
        <v>0</v>
      </c>
      <c r="G1383" t="s">
        <v>21</v>
      </c>
    </row>
    <row r="1384" spans="1:7">
      <c r="A1384">
        <v>1383</v>
      </c>
      <c r="B1384" t="str">
        <f>"027079"</f>
        <v>0</v>
      </c>
      <c r="C1384" t="s">
        <v>2551</v>
      </c>
      <c r="D1384" t="s">
        <v>2552</v>
      </c>
      <c r="E1384" t="str">
        <f>"3461200061927"</f>
        <v>0</v>
      </c>
      <c r="F1384" t="str">
        <f>"000380"</f>
        <v>0</v>
      </c>
      <c r="G1384" t="s">
        <v>21</v>
      </c>
    </row>
    <row r="1385" spans="1:7">
      <c r="A1385">
        <v>1384</v>
      </c>
      <c r="B1385" t="str">
        <f>"027085"</f>
        <v>0</v>
      </c>
      <c r="C1385" t="s">
        <v>2553</v>
      </c>
      <c r="D1385" t="s">
        <v>2554</v>
      </c>
      <c r="E1385" t="str">
        <f>"3461200141874"</f>
        <v>0</v>
      </c>
      <c r="F1385" t="str">
        <f>"000380"</f>
        <v>0</v>
      </c>
      <c r="G1385" t="s">
        <v>21</v>
      </c>
    </row>
    <row r="1386" spans="1:7">
      <c r="A1386">
        <v>1385</v>
      </c>
      <c r="B1386" t="str">
        <f>"027086"</f>
        <v>0</v>
      </c>
      <c r="C1386" t="s">
        <v>1128</v>
      </c>
      <c r="D1386" t="s">
        <v>2555</v>
      </c>
      <c r="E1386" t="str">
        <f>"1469900250545"</f>
        <v>0</v>
      </c>
      <c r="F1386" t="str">
        <f>"000380"</f>
        <v>0</v>
      </c>
      <c r="G1386" t="s">
        <v>21</v>
      </c>
    </row>
    <row r="1387" spans="1:7">
      <c r="A1387">
        <v>1386</v>
      </c>
      <c r="B1387" t="str">
        <f>"027279"</f>
        <v>0</v>
      </c>
      <c r="C1387" t="s">
        <v>2556</v>
      </c>
      <c r="D1387" t="s">
        <v>2557</v>
      </c>
      <c r="E1387" t="str">
        <f>"3460100225552"</f>
        <v>0</v>
      </c>
      <c r="F1387" t="str">
        <f>"000380"</f>
        <v>0</v>
      </c>
      <c r="G1387" t="s">
        <v>21</v>
      </c>
    </row>
    <row r="1388" spans="1:7">
      <c r="A1388">
        <v>1387</v>
      </c>
      <c r="B1388" t="str">
        <f>"027498"</f>
        <v>0</v>
      </c>
      <c r="C1388" t="s">
        <v>2558</v>
      </c>
      <c r="D1388" t="s">
        <v>2559</v>
      </c>
      <c r="E1388" t="str">
        <f>"3460200292286"</f>
        <v>0</v>
      </c>
      <c r="F1388" t="str">
        <f>"000380"</f>
        <v>0</v>
      </c>
      <c r="G1388" t="s">
        <v>21</v>
      </c>
    </row>
    <row r="1389" spans="1:7">
      <c r="A1389">
        <v>1388</v>
      </c>
      <c r="B1389" t="str">
        <f>"024320"</f>
        <v>0</v>
      </c>
      <c r="C1389" t="s">
        <v>2560</v>
      </c>
      <c r="D1389" t="s">
        <v>2561</v>
      </c>
      <c r="E1389" t="str">
        <f>"1470400138624"</f>
        <v>0</v>
      </c>
      <c r="F1389" t="str">
        <f>"000380"</f>
        <v>0</v>
      </c>
      <c r="G1389" t="s">
        <v>21</v>
      </c>
    </row>
    <row r="1390" spans="1:7">
      <c r="A1390">
        <v>1389</v>
      </c>
      <c r="B1390" t="str">
        <f>"024591"</f>
        <v>0</v>
      </c>
      <c r="C1390" t="s">
        <v>2562</v>
      </c>
      <c r="D1390" t="s">
        <v>2563</v>
      </c>
      <c r="E1390" t="str">
        <f>"1480500087550"</f>
        <v>0</v>
      </c>
      <c r="F1390" t="str">
        <f>"000380"</f>
        <v>0</v>
      </c>
      <c r="G1390" t="s">
        <v>21</v>
      </c>
    </row>
    <row r="1391" spans="1:7">
      <c r="A1391">
        <v>1390</v>
      </c>
      <c r="B1391" t="str">
        <f>"026989"</f>
        <v>0</v>
      </c>
      <c r="C1391" t="s">
        <v>2564</v>
      </c>
      <c r="D1391" t="s">
        <v>2565</v>
      </c>
      <c r="E1391" t="str">
        <f>"3471500247775"</f>
        <v>0</v>
      </c>
      <c r="F1391" t="str">
        <f>"000380"</f>
        <v>0</v>
      </c>
      <c r="G1391" t="s">
        <v>21</v>
      </c>
    </row>
    <row r="1392" spans="1:7">
      <c r="A1392">
        <v>1391</v>
      </c>
      <c r="B1392" t="str">
        <f>"013151"</f>
        <v>0</v>
      </c>
      <c r="C1392" t="s">
        <v>2566</v>
      </c>
      <c r="D1392" t="s">
        <v>2567</v>
      </c>
      <c r="E1392" t="str">
        <f>"3860700010740"</f>
        <v>0</v>
      </c>
      <c r="F1392" t="str">
        <f>"000380"</f>
        <v>0</v>
      </c>
      <c r="G1392" t="s">
        <v>21</v>
      </c>
    </row>
    <row r="1393" spans="1:7">
      <c r="A1393">
        <v>1392</v>
      </c>
      <c r="B1393" t="str">
        <f>"027586"</f>
        <v>0</v>
      </c>
      <c r="C1393" t="s">
        <v>2568</v>
      </c>
      <c r="D1393" t="s">
        <v>2569</v>
      </c>
      <c r="E1393" t="str">
        <f>"2459900001551"</f>
        <v>0</v>
      </c>
      <c r="F1393" t="str">
        <f>"000380"</f>
        <v>0</v>
      </c>
      <c r="G1393" t="s">
        <v>21</v>
      </c>
    </row>
    <row r="1394" spans="1:7">
      <c r="A1394">
        <v>1393</v>
      </c>
      <c r="B1394" t="str">
        <f>"000808"</f>
        <v>0</v>
      </c>
      <c r="C1394" t="s">
        <v>411</v>
      </c>
      <c r="D1394" t="s">
        <v>2570</v>
      </c>
      <c r="E1394" t="str">
        <f>"3521200029801"</f>
        <v>0</v>
      </c>
      <c r="F1394" t="str">
        <f>"000400"</f>
        <v>0</v>
      </c>
      <c r="G1394" t="s">
        <v>21</v>
      </c>
    </row>
    <row r="1395" spans="1:7">
      <c r="A1395">
        <v>1394</v>
      </c>
      <c r="B1395" t="str">
        <f>"001095"</f>
        <v>0</v>
      </c>
      <c r="C1395" t="s">
        <v>2571</v>
      </c>
      <c r="D1395" t="s">
        <v>2572</v>
      </c>
      <c r="E1395" t="str">
        <f>"3319900044781"</f>
        <v>0</v>
      </c>
      <c r="F1395" t="str">
        <f>"000400"</f>
        <v>0</v>
      </c>
      <c r="G1395" t="s">
        <v>21</v>
      </c>
    </row>
    <row r="1396" spans="1:7">
      <c r="A1396">
        <v>1395</v>
      </c>
      <c r="B1396" t="str">
        <f>"003150"</f>
        <v>0</v>
      </c>
      <c r="C1396" t="s">
        <v>2573</v>
      </c>
      <c r="D1396" t="s">
        <v>2574</v>
      </c>
      <c r="E1396" t="str">
        <f>"3620500887534"</f>
        <v>0</v>
      </c>
      <c r="F1396" t="str">
        <f>"000400"</f>
        <v>0</v>
      </c>
      <c r="G1396" t="s">
        <v>21</v>
      </c>
    </row>
    <row r="1397" spans="1:7">
      <c r="A1397">
        <v>1396</v>
      </c>
      <c r="B1397" t="str">
        <f>"003760"</f>
        <v>0</v>
      </c>
      <c r="C1397" t="s">
        <v>2575</v>
      </c>
      <c r="D1397" t="s">
        <v>2576</v>
      </c>
      <c r="E1397" t="str">
        <f>"3609900635069"</f>
        <v>0</v>
      </c>
      <c r="F1397" t="str">
        <f>"000400"</f>
        <v>0</v>
      </c>
      <c r="G1397" t="s">
        <v>21</v>
      </c>
    </row>
    <row r="1398" spans="1:7">
      <c r="A1398">
        <v>1397</v>
      </c>
      <c r="B1398" t="str">
        <f>"004318"</f>
        <v>0</v>
      </c>
      <c r="C1398" t="s">
        <v>2577</v>
      </c>
      <c r="D1398" t="s">
        <v>2578</v>
      </c>
      <c r="E1398" t="str">
        <f>"3629900101846"</f>
        <v>0</v>
      </c>
      <c r="F1398" t="str">
        <f>"000400"</f>
        <v>0</v>
      </c>
      <c r="G1398" t="s">
        <v>21</v>
      </c>
    </row>
    <row r="1399" spans="1:7">
      <c r="A1399">
        <v>1398</v>
      </c>
      <c r="B1399" t="str">
        <f>"004640"</f>
        <v>0</v>
      </c>
      <c r="C1399" t="s">
        <v>2579</v>
      </c>
      <c r="D1399" t="s">
        <v>2580</v>
      </c>
      <c r="E1399" t="str">
        <f>"3640300014057"</f>
        <v>0</v>
      </c>
      <c r="F1399" t="str">
        <f>"000400"</f>
        <v>0</v>
      </c>
      <c r="G1399" t="s">
        <v>21</v>
      </c>
    </row>
    <row r="1400" spans="1:7">
      <c r="A1400">
        <v>1399</v>
      </c>
      <c r="B1400" t="str">
        <f>"005867"</f>
        <v>0</v>
      </c>
      <c r="C1400" t="s">
        <v>126</v>
      </c>
      <c r="D1400" t="s">
        <v>2581</v>
      </c>
      <c r="E1400" t="str">
        <f>"3669800124674"</f>
        <v>0</v>
      </c>
      <c r="F1400" t="str">
        <f>"000400"</f>
        <v>0</v>
      </c>
      <c r="G1400" t="s">
        <v>21</v>
      </c>
    </row>
    <row r="1401" spans="1:7">
      <c r="A1401">
        <v>1400</v>
      </c>
      <c r="B1401" t="str">
        <f>"007301"</f>
        <v>0</v>
      </c>
      <c r="C1401" t="s">
        <v>2582</v>
      </c>
      <c r="D1401" t="s">
        <v>2583</v>
      </c>
      <c r="E1401" t="str">
        <f>"3180400378403"</f>
        <v>0</v>
      </c>
      <c r="F1401" t="str">
        <f>"000400"</f>
        <v>0</v>
      </c>
      <c r="G1401" t="s">
        <v>21</v>
      </c>
    </row>
    <row r="1402" spans="1:7">
      <c r="A1402">
        <v>1401</v>
      </c>
      <c r="B1402" t="str">
        <f>"008128"</f>
        <v>0</v>
      </c>
      <c r="C1402" t="s">
        <v>2584</v>
      </c>
      <c r="D1402" t="s">
        <v>2585</v>
      </c>
      <c r="E1402" t="str">
        <f>"3609900683276"</f>
        <v>0</v>
      </c>
      <c r="F1402" t="str">
        <f>"000400"</f>
        <v>0</v>
      </c>
      <c r="G1402" t="s">
        <v>21</v>
      </c>
    </row>
    <row r="1403" spans="1:7">
      <c r="A1403">
        <v>1402</v>
      </c>
      <c r="B1403" t="str">
        <f>"008506"</f>
        <v>0</v>
      </c>
      <c r="C1403" t="s">
        <v>2573</v>
      </c>
      <c r="D1403" t="s">
        <v>2586</v>
      </c>
      <c r="E1403" t="str">
        <f>"3720700145280"</f>
        <v>0</v>
      </c>
      <c r="F1403" t="str">
        <f>"000400"</f>
        <v>0</v>
      </c>
      <c r="G1403" t="s">
        <v>21</v>
      </c>
    </row>
    <row r="1404" spans="1:7">
      <c r="A1404">
        <v>1403</v>
      </c>
      <c r="B1404" t="str">
        <f>"008714"</f>
        <v>0</v>
      </c>
      <c r="C1404" t="s">
        <v>2587</v>
      </c>
      <c r="D1404" t="s">
        <v>2588</v>
      </c>
      <c r="E1404" t="str">
        <f>"3620101447719"</f>
        <v>0</v>
      </c>
      <c r="F1404" t="str">
        <f>"000400"</f>
        <v>0</v>
      </c>
      <c r="G1404" t="s">
        <v>21</v>
      </c>
    </row>
    <row r="1405" spans="1:7">
      <c r="A1405">
        <v>1404</v>
      </c>
      <c r="B1405" t="str">
        <f>"008718"</f>
        <v>0</v>
      </c>
      <c r="C1405" t="s">
        <v>2589</v>
      </c>
      <c r="D1405" t="s">
        <v>2590</v>
      </c>
      <c r="E1405" t="str">
        <f>"3510600820424"</f>
        <v>0</v>
      </c>
      <c r="F1405" t="str">
        <f>"000400"</f>
        <v>0</v>
      </c>
      <c r="G1405" t="s">
        <v>21</v>
      </c>
    </row>
    <row r="1406" spans="1:7">
      <c r="A1406">
        <v>1405</v>
      </c>
      <c r="B1406" t="str">
        <f>"008769"</f>
        <v>0</v>
      </c>
      <c r="C1406" t="s">
        <v>2349</v>
      </c>
      <c r="D1406" t="s">
        <v>2591</v>
      </c>
      <c r="E1406" t="str">
        <f>"5620690004023"</f>
        <v>0</v>
      </c>
      <c r="F1406" t="str">
        <f>"000400"</f>
        <v>0</v>
      </c>
      <c r="G1406" t="s">
        <v>21</v>
      </c>
    </row>
    <row r="1407" spans="1:7">
      <c r="A1407">
        <v>1406</v>
      </c>
      <c r="B1407" t="str">
        <f>"009349"</f>
        <v>0</v>
      </c>
      <c r="C1407" t="s">
        <v>2592</v>
      </c>
      <c r="D1407" t="s">
        <v>2593</v>
      </c>
      <c r="E1407" t="str">
        <f>"3510300335831"</f>
        <v>0</v>
      </c>
      <c r="F1407" t="str">
        <f>"000400"</f>
        <v>0</v>
      </c>
      <c r="G1407" t="s">
        <v>21</v>
      </c>
    </row>
    <row r="1408" spans="1:7">
      <c r="A1408">
        <v>1407</v>
      </c>
      <c r="B1408" t="str">
        <f>"009514"</f>
        <v>0</v>
      </c>
      <c r="C1408" t="s">
        <v>235</v>
      </c>
      <c r="D1408" t="s">
        <v>2583</v>
      </c>
      <c r="E1408" t="str">
        <f>"3620101035461"</f>
        <v>0</v>
      </c>
      <c r="F1408" t="str">
        <f>"000400"</f>
        <v>0</v>
      </c>
      <c r="G1408" t="s">
        <v>21</v>
      </c>
    </row>
    <row r="1409" spans="1:7">
      <c r="A1409">
        <v>1408</v>
      </c>
      <c r="B1409" t="str">
        <f>"009840"</f>
        <v>0</v>
      </c>
      <c r="C1409" t="s">
        <v>2594</v>
      </c>
      <c r="D1409" t="s">
        <v>2595</v>
      </c>
      <c r="E1409" t="str">
        <f>"3560400002108"</f>
        <v>0</v>
      </c>
      <c r="F1409" t="str">
        <f>"000400"</f>
        <v>0</v>
      </c>
      <c r="G1409" t="s">
        <v>21</v>
      </c>
    </row>
    <row r="1410" spans="1:7">
      <c r="A1410">
        <v>1409</v>
      </c>
      <c r="B1410" t="str">
        <f>"009842"</f>
        <v>0</v>
      </c>
      <c r="C1410" t="s">
        <v>2596</v>
      </c>
      <c r="D1410" t="s">
        <v>2597</v>
      </c>
      <c r="E1410" t="str">
        <f>"3669900118188"</f>
        <v>0</v>
      </c>
      <c r="F1410" t="str">
        <f>"000400"</f>
        <v>0</v>
      </c>
      <c r="G1410" t="s">
        <v>21</v>
      </c>
    </row>
    <row r="1411" spans="1:7">
      <c r="A1411">
        <v>1410</v>
      </c>
      <c r="B1411" t="str">
        <f>"010110"</f>
        <v>0</v>
      </c>
      <c r="C1411" t="s">
        <v>2598</v>
      </c>
      <c r="D1411" t="s">
        <v>2599</v>
      </c>
      <c r="E1411" t="str">
        <f>"5620100081016"</f>
        <v>0</v>
      </c>
      <c r="F1411" t="str">
        <f>"000400"</f>
        <v>0</v>
      </c>
      <c r="G1411" t="s">
        <v>21</v>
      </c>
    </row>
    <row r="1412" spans="1:7">
      <c r="A1412">
        <v>1411</v>
      </c>
      <c r="B1412" t="str">
        <f>"010111"</f>
        <v>0</v>
      </c>
      <c r="C1412" t="s">
        <v>46</v>
      </c>
      <c r="D1412" t="s">
        <v>2600</v>
      </c>
      <c r="E1412" t="str">
        <f>"3180100088540"</f>
        <v>0</v>
      </c>
      <c r="F1412" t="str">
        <f>"000400"</f>
        <v>0</v>
      </c>
      <c r="G1412" t="s">
        <v>21</v>
      </c>
    </row>
    <row r="1413" spans="1:7">
      <c r="A1413">
        <v>1412</v>
      </c>
      <c r="B1413" t="str">
        <f>"010333"</f>
        <v>0</v>
      </c>
      <c r="C1413" t="s">
        <v>2601</v>
      </c>
      <c r="D1413" t="s">
        <v>2602</v>
      </c>
      <c r="E1413" t="str">
        <f>"3520100934625"</f>
        <v>0</v>
      </c>
      <c r="F1413" t="str">
        <f>"000400"</f>
        <v>0</v>
      </c>
      <c r="G1413" t="s">
        <v>21</v>
      </c>
    </row>
    <row r="1414" spans="1:7">
      <c r="A1414">
        <v>1413</v>
      </c>
      <c r="B1414" t="str">
        <f>"010633"</f>
        <v>0</v>
      </c>
      <c r="C1414" t="s">
        <v>2603</v>
      </c>
      <c r="D1414" t="s">
        <v>2604</v>
      </c>
      <c r="E1414" t="str">
        <f>"5620590001553"</f>
        <v>0</v>
      </c>
      <c r="F1414" t="str">
        <f>"000400"</f>
        <v>0</v>
      </c>
      <c r="G1414" t="s">
        <v>21</v>
      </c>
    </row>
    <row r="1415" spans="1:7">
      <c r="A1415">
        <v>1414</v>
      </c>
      <c r="B1415" t="str">
        <f>"010907"</f>
        <v>0</v>
      </c>
      <c r="C1415" t="s">
        <v>2605</v>
      </c>
      <c r="D1415" t="s">
        <v>2606</v>
      </c>
      <c r="E1415" t="str">
        <f>"3440500093459"</f>
        <v>0</v>
      </c>
      <c r="F1415" t="str">
        <f>"000400"</f>
        <v>0</v>
      </c>
      <c r="G1415" t="s">
        <v>21</v>
      </c>
    </row>
    <row r="1416" spans="1:7">
      <c r="A1416">
        <v>1415</v>
      </c>
      <c r="B1416" t="str">
        <f>"013497"</f>
        <v>0</v>
      </c>
      <c r="C1416" t="s">
        <v>2607</v>
      </c>
      <c r="D1416" t="s">
        <v>2593</v>
      </c>
      <c r="E1416" t="str">
        <f>"3559900103955"</f>
        <v>0</v>
      </c>
      <c r="F1416" t="str">
        <f>"000400"</f>
        <v>0</v>
      </c>
      <c r="G1416" t="s">
        <v>21</v>
      </c>
    </row>
    <row r="1417" spans="1:7">
      <c r="A1417">
        <v>1416</v>
      </c>
      <c r="B1417" t="str">
        <f>"013584"</f>
        <v>0</v>
      </c>
      <c r="C1417" t="s">
        <v>2608</v>
      </c>
      <c r="D1417" t="s">
        <v>2609</v>
      </c>
      <c r="E1417" t="str">
        <f>"3620100616240"</f>
        <v>0</v>
      </c>
      <c r="F1417" t="str">
        <f>"000400"</f>
        <v>0</v>
      </c>
      <c r="G1417" t="s">
        <v>21</v>
      </c>
    </row>
    <row r="1418" spans="1:7">
      <c r="A1418">
        <v>1417</v>
      </c>
      <c r="B1418" t="str">
        <f>"014232"</f>
        <v>0</v>
      </c>
      <c r="C1418" t="s">
        <v>46</v>
      </c>
      <c r="D1418" t="s">
        <v>2610</v>
      </c>
      <c r="E1418" t="str">
        <f>"3550100480594"</f>
        <v>0</v>
      </c>
      <c r="F1418" t="str">
        <f>"000400"</f>
        <v>0</v>
      </c>
      <c r="G1418" t="s">
        <v>21</v>
      </c>
    </row>
    <row r="1419" spans="1:7">
      <c r="A1419">
        <v>1418</v>
      </c>
      <c r="B1419" t="str">
        <f>"014875"</f>
        <v>0</v>
      </c>
      <c r="C1419" t="s">
        <v>372</v>
      </c>
      <c r="D1419" t="s">
        <v>2611</v>
      </c>
      <c r="E1419" t="str">
        <f>"3669900120549"</f>
        <v>0</v>
      </c>
      <c r="F1419" t="str">
        <f>"000400"</f>
        <v>0</v>
      </c>
      <c r="G1419" t="s">
        <v>21</v>
      </c>
    </row>
    <row r="1420" spans="1:7">
      <c r="A1420">
        <v>1419</v>
      </c>
      <c r="B1420" t="str">
        <f>"015496"</f>
        <v>0</v>
      </c>
      <c r="C1420" t="s">
        <v>837</v>
      </c>
      <c r="D1420" t="s">
        <v>2612</v>
      </c>
      <c r="E1420" t="str">
        <f>"3850400154631"</f>
        <v>0</v>
      </c>
      <c r="F1420" t="str">
        <f>"000400"</f>
        <v>0</v>
      </c>
      <c r="G1420" t="s">
        <v>21</v>
      </c>
    </row>
    <row r="1421" spans="1:7">
      <c r="A1421">
        <v>1420</v>
      </c>
      <c r="B1421" t="str">
        <f>"016923"</f>
        <v>0</v>
      </c>
      <c r="C1421" t="s">
        <v>2613</v>
      </c>
      <c r="D1421" t="s">
        <v>2614</v>
      </c>
      <c r="E1421" t="str">
        <f>"3609900540769"</f>
        <v>0</v>
      </c>
      <c r="F1421" t="str">
        <f>"000400"</f>
        <v>0</v>
      </c>
      <c r="G1421" t="s">
        <v>21</v>
      </c>
    </row>
    <row r="1422" spans="1:7">
      <c r="A1422">
        <v>1421</v>
      </c>
      <c r="B1422" t="str">
        <f>"016924"</f>
        <v>0</v>
      </c>
      <c r="C1422" t="s">
        <v>2615</v>
      </c>
      <c r="D1422" t="s">
        <v>2616</v>
      </c>
      <c r="E1422" t="str">
        <f>"3650100158446"</f>
        <v>0</v>
      </c>
      <c r="F1422" t="str">
        <f>"000400"</f>
        <v>0</v>
      </c>
      <c r="G1422" t="s">
        <v>21</v>
      </c>
    </row>
    <row r="1423" spans="1:7">
      <c r="A1423">
        <v>1422</v>
      </c>
      <c r="B1423" t="str">
        <f>"017861"</f>
        <v>0</v>
      </c>
      <c r="C1423" t="s">
        <v>2617</v>
      </c>
      <c r="D1423" t="s">
        <v>2618</v>
      </c>
      <c r="E1423" t="str">
        <f>"3629900106007"</f>
        <v>0</v>
      </c>
      <c r="F1423" t="str">
        <f>"000400"</f>
        <v>0</v>
      </c>
      <c r="G1423" t="s">
        <v>21</v>
      </c>
    </row>
    <row r="1424" spans="1:7">
      <c r="A1424">
        <v>1423</v>
      </c>
      <c r="B1424" t="str">
        <f>"018349"</f>
        <v>0</v>
      </c>
      <c r="C1424" t="s">
        <v>2619</v>
      </c>
      <c r="D1424" t="s">
        <v>2620</v>
      </c>
      <c r="E1424" t="str">
        <f>"3360300024462"</f>
        <v>0</v>
      </c>
      <c r="F1424" t="str">
        <f>"000400"</f>
        <v>0</v>
      </c>
      <c r="G1424" t="s">
        <v>21</v>
      </c>
    </row>
    <row r="1425" spans="1:7">
      <c r="A1425">
        <v>1424</v>
      </c>
      <c r="B1425" t="str">
        <f>"019641"</f>
        <v>0</v>
      </c>
      <c r="C1425" t="s">
        <v>953</v>
      </c>
      <c r="D1425" t="s">
        <v>2621</v>
      </c>
      <c r="E1425" t="str">
        <f>"3620600173495"</f>
        <v>0</v>
      </c>
      <c r="F1425" t="str">
        <f>"000400"</f>
        <v>0</v>
      </c>
      <c r="G1425" t="s">
        <v>21</v>
      </c>
    </row>
    <row r="1426" spans="1:7">
      <c r="A1426">
        <v>1425</v>
      </c>
      <c r="B1426" t="str">
        <f>"020674"</f>
        <v>0</v>
      </c>
      <c r="C1426" t="s">
        <v>2622</v>
      </c>
      <c r="D1426" t="s">
        <v>2623</v>
      </c>
      <c r="E1426" t="str">
        <f>"3620500877431"</f>
        <v>0</v>
      </c>
      <c r="F1426" t="str">
        <f>"000400"</f>
        <v>0</v>
      </c>
      <c r="G1426" t="s">
        <v>21</v>
      </c>
    </row>
    <row r="1427" spans="1:7">
      <c r="A1427">
        <v>1426</v>
      </c>
      <c r="B1427" t="str">
        <f>"011953"</f>
        <v>0</v>
      </c>
      <c r="C1427" t="s">
        <v>2624</v>
      </c>
      <c r="D1427" t="s">
        <v>2600</v>
      </c>
      <c r="E1427" t="str">
        <f>"3510300117183"</f>
        <v>0</v>
      </c>
      <c r="F1427" t="str">
        <f>"000400"</f>
        <v>0</v>
      </c>
      <c r="G1427" t="s">
        <v>21</v>
      </c>
    </row>
    <row r="1428" spans="1:7">
      <c r="A1428">
        <v>1427</v>
      </c>
      <c r="B1428" t="str">
        <f>"015209"</f>
        <v>0</v>
      </c>
      <c r="C1428" t="s">
        <v>2625</v>
      </c>
      <c r="D1428" t="s">
        <v>1448</v>
      </c>
      <c r="E1428" t="str">
        <f>"5620190043801"</f>
        <v>0</v>
      </c>
      <c r="F1428" t="str">
        <f>"000400"</f>
        <v>0</v>
      </c>
      <c r="G1428" t="s">
        <v>21</v>
      </c>
    </row>
    <row r="1429" spans="1:7">
      <c r="A1429">
        <v>1428</v>
      </c>
      <c r="B1429" t="str">
        <f>"025576"</f>
        <v>0</v>
      </c>
      <c r="C1429" t="s">
        <v>2626</v>
      </c>
      <c r="D1429" t="s">
        <v>2627</v>
      </c>
      <c r="E1429" t="str">
        <f>"1103700643478"</f>
        <v>0</v>
      </c>
      <c r="F1429" t="str">
        <f>"000400"</f>
        <v>0</v>
      </c>
      <c r="G1429" t="s">
        <v>21</v>
      </c>
    </row>
    <row r="1430" spans="1:7">
      <c r="A1430">
        <v>1429</v>
      </c>
      <c r="B1430" t="str">
        <f>"025839"</f>
        <v>0</v>
      </c>
      <c r="C1430" t="s">
        <v>2628</v>
      </c>
      <c r="D1430" t="s">
        <v>2629</v>
      </c>
      <c r="E1430" t="str">
        <f>"1849900108681"</f>
        <v>0</v>
      </c>
      <c r="F1430" t="str">
        <f>"000400"</f>
        <v>0</v>
      </c>
      <c r="G1430" t="s">
        <v>21</v>
      </c>
    </row>
    <row r="1431" spans="1:7">
      <c r="A1431">
        <v>1430</v>
      </c>
      <c r="B1431" t="str">
        <f>"026299"</f>
        <v>0</v>
      </c>
      <c r="C1431" t="s">
        <v>2630</v>
      </c>
      <c r="D1431" t="s">
        <v>2631</v>
      </c>
      <c r="E1431" t="str">
        <f>"3100900189332"</f>
        <v>0</v>
      </c>
      <c r="F1431" t="str">
        <f>"000400"</f>
        <v>0</v>
      </c>
      <c r="G1431" t="s">
        <v>21</v>
      </c>
    </row>
    <row r="1432" spans="1:7">
      <c r="A1432">
        <v>1431</v>
      </c>
      <c r="B1432" t="str">
        <f>"012159"</f>
        <v>0</v>
      </c>
      <c r="C1432" t="s">
        <v>2632</v>
      </c>
      <c r="D1432" t="s">
        <v>2633</v>
      </c>
      <c r="E1432" t="str">
        <f>"3170400171434"</f>
        <v>0</v>
      </c>
      <c r="F1432" t="str">
        <f>"000400"</f>
        <v>0</v>
      </c>
      <c r="G1432" t="s">
        <v>21</v>
      </c>
    </row>
    <row r="1433" spans="1:7">
      <c r="A1433">
        <v>1432</v>
      </c>
      <c r="B1433" t="str">
        <f>"020560"</f>
        <v>0</v>
      </c>
      <c r="C1433" t="s">
        <v>2634</v>
      </c>
      <c r="D1433" t="s">
        <v>2635</v>
      </c>
      <c r="E1433" t="str">
        <f>"3500900812052"</f>
        <v>0</v>
      </c>
      <c r="F1433" t="str">
        <f>"000400"</f>
        <v>0</v>
      </c>
      <c r="G1433" t="s">
        <v>21</v>
      </c>
    </row>
    <row r="1434" spans="1:7">
      <c r="A1434">
        <v>1433</v>
      </c>
      <c r="B1434" t="str">
        <f>"026297"</f>
        <v>0</v>
      </c>
      <c r="C1434" t="s">
        <v>2636</v>
      </c>
      <c r="D1434" t="s">
        <v>2637</v>
      </c>
      <c r="E1434" t="str">
        <f>"1509900512697"</f>
        <v>0</v>
      </c>
      <c r="F1434" t="str">
        <f>"000400"</f>
        <v>0</v>
      </c>
      <c r="G1434" t="s">
        <v>21</v>
      </c>
    </row>
    <row r="1435" spans="1:7">
      <c r="A1435">
        <v>1434</v>
      </c>
      <c r="B1435" t="str">
        <f>"026466"</f>
        <v>0</v>
      </c>
      <c r="C1435" t="s">
        <v>2638</v>
      </c>
      <c r="D1435" t="s">
        <v>2639</v>
      </c>
      <c r="E1435" t="str">
        <f>"1501100071621"</f>
        <v>0</v>
      </c>
      <c r="F1435" t="str">
        <f>"000400"</f>
        <v>0</v>
      </c>
      <c r="G1435" t="s">
        <v>21</v>
      </c>
    </row>
    <row r="1436" spans="1:7">
      <c r="A1436">
        <v>1435</v>
      </c>
      <c r="B1436" t="str">
        <f>"026296"</f>
        <v>0</v>
      </c>
      <c r="C1436" t="s">
        <v>1216</v>
      </c>
      <c r="D1436" t="s">
        <v>2640</v>
      </c>
      <c r="E1436" t="str">
        <f>"1509900946697"</f>
        <v>0</v>
      </c>
      <c r="F1436" t="str">
        <f>"000400"</f>
        <v>0</v>
      </c>
      <c r="G1436" t="s">
        <v>21</v>
      </c>
    </row>
    <row r="1437" spans="1:7">
      <c r="A1437">
        <v>1436</v>
      </c>
      <c r="B1437" t="str">
        <f>"008875"</f>
        <v>0</v>
      </c>
      <c r="C1437" t="s">
        <v>624</v>
      </c>
      <c r="D1437" t="s">
        <v>2641</v>
      </c>
      <c r="E1437" t="str">
        <f>"3501200563115"</f>
        <v>0</v>
      </c>
      <c r="F1437" t="str">
        <f>"000400"</f>
        <v>0</v>
      </c>
      <c r="G1437" t="s">
        <v>21</v>
      </c>
    </row>
    <row r="1438" spans="1:7">
      <c r="A1438">
        <v>1437</v>
      </c>
      <c r="B1438" t="str">
        <f>"020993"</f>
        <v>0</v>
      </c>
      <c r="C1438" t="s">
        <v>2642</v>
      </c>
      <c r="D1438" t="s">
        <v>2643</v>
      </c>
      <c r="E1438" t="str">
        <f>"3600800049887"</f>
        <v>0</v>
      </c>
      <c r="F1438" t="str">
        <f>"000400"</f>
        <v>0</v>
      </c>
      <c r="G1438" t="s">
        <v>21</v>
      </c>
    </row>
    <row r="1439" spans="1:7">
      <c r="A1439">
        <v>1438</v>
      </c>
      <c r="B1439" t="str">
        <f>"009513"</f>
        <v>0</v>
      </c>
      <c r="C1439" t="s">
        <v>645</v>
      </c>
      <c r="D1439" t="s">
        <v>2644</v>
      </c>
      <c r="E1439" t="str">
        <f>"5629990000463"</f>
        <v>0</v>
      </c>
      <c r="F1439" t="str">
        <f>"000400"</f>
        <v>0</v>
      </c>
      <c r="G1439" t="s">
        <v>21</v>
      </c>
    </row>
    <row r="1440" spans="1:7">
      <c r="A1440">
        <v>1439</v>
      </c>
      <c r="B1440" t="str">
        <f>"012195"</f>
        <v>0</v>
      </c>
      <c r="C1440" t="s">
        <v>449</v>
      </c>
      <c r="D1440" t="s">
        <v>2645</v>
      </c>
      <c r="E1440" t="str">
        <f>"3302001018519"</f>
        <v>0</v>
      </c>
      <c r="F1440" t="str">
        <f>"000400"</f>
        <v>0</v>
      </c>
      <c r="G1440" t="s">
        <v>21</v>
      </c>
    </row>
    <row r="1441" spans="1:7">
      <c r="A1441">
        <v>1440</v>
      </c>
      <c r="B1441" t="str">
        <f>"013115"</f>
        <v>0</v>
      </c>
      <c r="C1441" t="s">
        <v>2646</v>
      </c>
      <c r="D1441" t="s">
        <v>2647</v>
      </c>
      <c r="E1441" t="str">
        <f>"3520100722610"</f>
        <v>0</v>
      </c>
      <c r="F1441" t="str">
        <f>"000400"</f>
        <v>0</v>
      </c>
      <c r="G1441" t="s">
        <v>21</v>
      </c>
    </row>
    <row r="1442" spans="1:7">
      <c r="A1442">
        <v>1441</v>
      </c>
      <c r="B1442" t="str">
        <f>"013499"</f>
        <v>0</v>
      </c>
      <c r="C1442" t="s">
        <v>2648</v>
      </c>
      <c r="D1442" t="s">
        <v>2649</v>
      </c>
      <c r="E1442" t="str">
        <f>"3601000286648"</f>
        <v>0</v>
      </c>
      <c r="F1442" t="str">
        <f>"000400"</f>
        <v>0</v>
      </c>
      <c r="G1442" t="s">
        <v>21</v>
      </c>
    </row>
    <row r="1443" spans="1:7">
      <c r="A1443">
        <v>1442</v>
      </c>
      <c r="B1443" t="str">
        <f>"014203"</f>
        <v>0</v>
      </c>
      <c r="C1443" t="s">
        <v>2650</v>
      </c>
      <c r="D1443" t="s">
        <v>2651</v>
      </c>
      <c r="E1443" t="str">
        <f>"3620200064613"</f>
        <v>0</v>
      </c>
      <c r="F1443" t="str">
        <f>"000400"</f>
        <v>0</v>
      </c>
      <c r="G1443" t="s">
        <v>21</v>
      </c>
    </row>
    <row r="1444" spans="1:7">
      <c r="A1444">
        <v>1443</v>
      </c>
      <c r="B1444" t="str">
        <f>"016065"</f>
        <v>0</v>
      </c>
      <c r="C1444" t="s">
        <v>1940</v>
      </c>
      <c r="D1444" t="s">
        <v>2652</v>
      </c>
      <c r="E1444" t="str">
        <f>"3909900653889"</f>
        <v>0</v>
      </c>
      <c r="F1444" t="str">
        <f>"000400"</f>
        <v>0</v>
      </c>
      <c r="G1444" t="s">
        <v>21</v>
      </c>
    </row>
    <row r="1445" spans="1:7">
      <c r="A1445">
        <v>1444</v>
      </c>
      <c r="B1445" t="str">
        <f>"016489"</f>
        <v>0</v>
      </c>
      <c r="C1445" t="s">
        <v>2653</v>
      </c>
      <c r="D1445" t="s">
        <v>2654</v>
      </c>
      <c r="E1445" t="str">
        <f>"3550100206506"</f>
        <v>0</v>
      </c>
      <c r="F1445" t="str">
        <f>"000400"</f>
        <v>0</v>
      </c>
      <c r="G1445" t="s">
        <v>21</v>
      </c>
    </row>
    <row r="1446" spans="1:7">
      <c r="A1446">
        <v>1445</v>
      </c>
      <c r="B1446" t="str">
        <f>"018209"</f>
        <v>0</v>
      </c>
      <c r="C1446" t="s">
        <v>2655</v>
      </c>
      <c r="D1446" t="s">
        <v>2656</v>
      </c>
      <c r="E1446" t="str">
        <f>"3720500356147"</f>
        <v>0</v>
      </c>
      <c r="F1446" t="str">
        <f>"000400"</f>
        <v>0</v>
      </c>
      <c r="G1446" t="s">
        <v>21</v>
      </c>
    </row>
    <row r="1447" spans="1:7">
      <c r="A1447">
        <v>1446</v>
      </c>
      <c r="B1447" t="str">
        <f>"019051"</f>
        <v>0</v>
      </c>
      <c r="C1447" t="s">
        <v>2657</v>
      </c>
      <c r="D1447" t="s">
        <v>2658</v>
      </c>
      <c r="E1447" t="str">
        <f>"3660100428427"</f>
        <v>0</v>
      </c>
      <c r="F1447" t="str">
        <f>"000400"</f>
        <v>0</v>
      </c>
      <c r="G1447" t="s">
        <v>21</v>
      </c>
    </row>
    <row r="1448" spans="1:7">
      <c r="A1448">
        <v>1447</v>
      </c>
      <c r="B1448" t="str">
        <f>"019702"</f>
        <v>0</v>
      </c>
      <c r="C1448" t="s">
        <v>2659</v>
      </c>
      <c r="D1448" t="s">
        <v>2660</v>
      </c>
      <c r="E1448" t="str">
        <f>"3629900024281"</f>
        <v>0</v>
      </c>
      <c r="F1448" t="str">
        <f>"000400"</f>
        <v>0</v>
      </c>
      <c r="G1448" t="s">
        <v>21</v>
      </c>
    </row>
    <row r="1449" spans="1:7">
      <c r="A1449">
        <v>1448</v>
      </c>
      <c r="B1449" t="str">
        <f>"019982"</f>
        <v>0</v>
      </c>
      <c r="C1449" t="s">
        <v>1356</v>
      </c>
      <c r="D1449" t="s">
        <v>2661</v>
      </c>
      <c r="E1449" t="str">
        <f>"3520800417496"</f>
        <v>0</v>
      </c>
      <c r="F1449" t="str">
        <f>"000400"</f>
        <v>0</v>
      </c>
      <c r="G1449" t="s">
        <v>21</v>
      </c>
    </row>
    <row r="1450" spans="1:7">
      <c r="A1450">
        <v>1449</v>
      </c>
      <c r="B1450" t="str">
        <f>"020020"</f>
        <v>0</v>
      </c>
      <c r="C1450" t="s">
        <v>2662</v>
      </c>
      <c r="D1450" t="s">
        <v>2663</v>
      </c>
      <c r="E1450" t="str">
        <f>"3620101440153"</f>
        <v>0</v>
      </c>
      <c r="F1450" t="str">
        <f>"000400"</f>
        <v>0</v>
      </c>
      <c r="G1450" t="s">
        <v>21</v>
      </c>
    </row>
    <row r="1451" spans="1:7">
      <c r="A1451">
        <v>1450</v>
      </c>
      <c r="B1451" t="str">
        <f>"020724"</f>
        <v>0</v>
      </c>
      <c r="C1451" t="s">
        <v>2664</v>
      </c>
      <c r="D1451" t="s">
        <v>2665</v>
      </c>
      <c r="E1451" t="str">
        <f>"3620100013324"</f>
        <v>0</v>
      </c>
      <c r="F1451" t="str">
        <f>"000400"</f>
        <v>0</v>
      </c>
      <c r="G1451" t="s">
        <v>21</v>
      </c>
    </row>
    <row r="1452" spans="1:7">
      <c r="A1452">
        <v>1451</v>
      </c>
      <c r="B1452" t="str">
        <f>"021278"</f>
        <v>0</v>
      </c>
      <c r="C1452" t="s">
        <v>1804</v>
      </c>
      <c r="D1452" t="s">
        <v>2666</v>
      </c>
      <c r="E1452" t="str">
        <f>"3620100686027"</f>
        <v>0</v>
      </c>
      <c r="F1452" t="str">
        <f>"000400"</f>
        <v>0</v>
      </c>
      <c r="G1452" t="s">
        <v>21</v>
      </c>
    </row>
    <row r="1453" spans="1:7">
      <c r="A1453">
        <v>1452</v>
      </c>
      <c r="B1453" t="str">
        <f>"021455"</f>
        <v>0</v>
      </c>
      <c r="C1453" t="s">
        <v>2667</v>
      </c>
      <c r="D1453" t="s">
        <v>2668</v>
      </c>
      <c r="E1453" t="str">
        <f>"3620101430891"</f>
        <v>0</v>
      </c>
      <c r="F1453" t="str">
        <f>"000400"</f>
        <v>0</v>
      </c>
      <c r="G1453" t="s">
        <v>21</v>
      </c>
    </row>
    <row r="1454" spans="1:7">
      <c r="A1454">
        <v>1453</v>
      </c>
      <c r="B1454" t="str">
        <f>"021644"</f>
        <v>0</v>
      </c>
      <c r="C1454" t="s">
        <v>2669</v>
      </c>
      <c r="D1454" t="s">
        <v>2670</v>
      </c>
      <c r="E1454" t="str">
        <f>"1629900004097"</f>
        <v>0</v>
      </c>
      <c r="F1454" t="str">
        <f>"000400"</f>
        <v>0</v>
      </c>
      <c r="G1454" t="s">
        <v>21</v>
      </c>
    </row>
    <row r="1455" spans="1:7">
      <c r="A1455">
        <v>1454</v>
      </c>
      <c r="B1455" t="str">
        <f>"022274"</f>
        <v>0</v>
      </c>
      <c r="C1455" t="s">
        <v>2671</v>
      </c>
      <c r="D1455" t="s">
        <v>2672</v>
      </c>
      <c r="E1455" t="str">
        <f>"3700100110973"</f>
        <v>0</v>
      </c>
      <c r="F1455" t="str">
        <f>"000400"</f>
        <v>0</v>
      </c>
      <c r="G1455" t="s">
        <v>21</v>
      </c>
    </row>
    <row r="1456" spans="1:7">
      <c r="A1456">
        <v>1455</v>
      </c>
      <c r="B1456" t="str">
        <f>"023000"</f>
        <v>0</v>
      </c>
      <c r="C1456" t="s">
        <v>2673</v>
      </c>
      <c r="D1456" t="s">
        <v>2674</v>
      </c>
      <c r="E1456" t="str">
        <f>"3620100266664"</f>
        <v>0</v>
      </c>
      <c r="F1456" t="str">
        <f>"000400"</f>
        <v>0</v>
      </c>
      <c r="G1456" t="s">
        <v>21</v>
      </c>
    </row>
    <row r="1457" spans="1:7">
      <c r="A1457">
        <v>1456</v>
      </c>
      <c r="B1457" t="str">
        <f>"023309"</f>
        <v>0</v>
      </c>
      <c r="C1457" t="s">
        <v>2262</v>
      </c>
      <c r="D1457" t="s">
        <v>2675</v>
      </c>
      <c r="E1457" t="str">
        <f>"3620100464717"</f>
        <v>0</v>
      </c>
      <c r="F1457" t="str">
        <f>"000400"</f>
        <v>0</v>
      </c>
      <c r="G1457" t="s">
        <v>21</v>
      </c>
    </row>
    <row r="1458" spans="1:7">
      <c r="A1458">
        <v>1457</v>
      </c>
      <c r="B1458" t="str">
        <f>"023335"</f>
        <v>0</v>
      </c>
      <c r="C1458" t="s">
        <v>2676</v>
      </c>
      <c r="D1458" t="s">
        <v>2677</v>
      </c>
      <c r="E1458" t="str">
        <f>"1159800003522"</f>
        <v>0</v>
      </c>
      <c r="F1458" t="str">
        <f>"000400"</f>
        <v>0</v>
      </c>
      <c r="G1458" t="s">
        <v>21</v>
      </c>
    </row>
    <row r="1459" spans="1:7">
      <c r="A1459">
        <v>1458</v>
      </c>
      <c r="B1459" t="str">
        <f>"023441"</f>
        <v>0</v>
      </c>
      <c r="C1459" t="s">
        <v>2678</v>
      </c>
      <c r="D1459" t="s">
        <v>2679</v>
      </c>
      <c r="E1459" t="str">
        <f>"5450100001294"</f>
        <v>0</v>
      </c>
      <c r="F1459" t="str">
        <f>"000400"</f>
        <v>0</v>
      </c>
      <c r="G1459" t="s">
        <v>21</v>
      </c>
    </row>
    <row r="1460" spans="1:7">
      <c r="A1460">
        <v>1459</v>
      </c>
      <c r="B1460" t="str">
        <f>"023483"</f>
        <v>0</v>
      </c>
      <c r="C1460" t="s">
        <v>2680</v>
      </c>
      <c r="D1460" t="s">
        <v>2681</v>
      </c>
      <c r="E1460" t="str">
        <f>"3510500131724"</f>
        <v>0</v>
      </c>
      <c r="F1460" t="str">
        <f>"000400"</f>
        <v>0</v>
      </c>
      <c r="G1460" t="s">
        <v>21</v>
      </c>
    </row>
    <row r="1461" spans="1:7">
      <c r="A1461">
        <v>1460</v>
      </c>
      <c r="B1461" t="str">
        <f>"023969"</f>
        <v>0</v>
      </c>
      <c r="C1461" t="s">
        <v>2682</v>
      </c>
      <c r="D1461" t="s">
        <v>2683</v>
      </c>
      <c r="E1461" t="str">
        <f>"3510600646114"</f>
        <v>0</v>
      </c>
      <c r="F1461" t="str">
        <f>"000400"</f>
        <v>0</v>
      </c>
      <c r="G1461" t="s">
        <v>21</v>
      </c>
    </row>
    <row r="1462" spans="1:7">
      <c r="A1462">
        <v>1461</v>
      </c>
      <c r="B1462" t="str">
        <f>"023971"</f>
        <v>0</v>
      </c>
      <c r="C1462" t="s">
        <v>2684</v>
      </c>
      <c r="D1462" t="s">
        <v>2685</v>
      </c>
      <c r="E1462" t="str">
        <f>"1620400101176"</f>
        <v>0</v>
      </c>
      <c r="F1462" t="str">
        <f>"000400"</f>
        <v>0</v>
      </c>
      <c r="G1462" t="s">
        <v>21</v>
      </c>
    </row>
    <row r="1463" spans="1:7">
      <c r="A1463">
        <v>1462</v>
      </c>
      <c r="B1463" t="str">
        <f>"024369"</f>
        <v>0</v>
      </c>
      <c r="C1463" t="s">
        <v>2686</v>
      </c>
      <c r="D1463" t="s">
        <v>2687</v>
      </c>
      <c r="E1463" t="str">
        <f>"3510600700887"</f>
        <v>0</v>
      </c>
      <c r="F1463" t="str">
        <f>"000400"</f>
        <v>0</v>
      </c>
      <c r="G1463" t="s">
        <v>21</v>
      </c>
    </row>
    <row r="1464" spans="1:7">
      <c r="A1464">
        <v>1463</v>
      </c>
      <c r="B1464" t="str">
        <f>"024464"</f>
        <v>0</v>
      </c>
      <c r="C1464" t="s">
        <v>2688</v>
      </c>
      <c r="D1464" t="s">
        <v>2689</v>
      </c>
      <c r="E1464" t="str">
        <f>"3620101378725"</f>
        <v>0</v>
      </c>
      <c r="F1464" t="str">
        <f>"000400"</f>
        <v>0</v>
      </c>
      <c r="G1464" t="s">
        <v>21</v>
      </c>
    </row>
    <row r="1465" spans="1:7">
      <c r="A1465">
        <v>1464</v>
      </c>
      <c r="B1465" t="str">
        <f>"024465"</f>
        <v>0</v>
      </c>
      <c r="C1465" t="s">
        <v>2690</v>
      </c>
      <c r="D1465" t="s">
        <v>2691</v>
      </c>
      <c r="E1465" t="str">
        <f>"1659900421801"</f>
        <v>0</v>
      </c>
      <c r="F1465" t="str">
        <f>"000400"</f>
        <v>0</v>
      </c>
      <c r="G1465" t="s">
        <v>21</v>
      </c>
    </row>
    <row r="1466" spans="1:7">
      <c r="A1466">
        <v>1465</v>
      </c>
      <c r="B1466" t="str">
        <f>"024466"</f>
        <v>0</v>
      </c>
      <c r="C1466" t="s">
        <v>2692</v>
      </c>
      <c r="D1466" t="s">
        <v>2693</v>
      </c>
      <c r="E1466" t="str">
        <f>"1629900145723"</f>
        <v>0</v>
      </c>
      <c r="F1466" t="str">
        <f>"000400"</f>
        <v>0</v>
      </c>
      <c r="G1466" t="s">
        <v>21</v>
      </c>
    </row>
    <row r="1467" spans="1:7">
      <c r="A1467">
        <v>1466</v>
      </c>
      <c r="B1467" t="str">
        <f>"024621"</f>
        <v>0</v>
      </c>
      <c r="C1467" t="s">
        <v>2694</v>
      </c>
      <c r="D1467" t="s">
        <v>2695</v>
      </c>
      <c r="E1467" t="str">
        <f>"1620400019011"</f>
        <v>0</v>
      </c>
      <c r="F1467" t="str">
        <f>"000400"</f>
        <v>0</v>
      </c>
      <c r="G1467" t="s">
        <v>21</v>
      </c>
    </row>
    <row r="1468" spans="1:7">
      <c r="A1468">
        <v>1467</v>
      </c>
      <c r="B1468" t="str">
        <f>"024638"</f>
        <v>0</v>
      </c>
      <c r="C1468" t="s">
        <v>2696</v>
      </c>
      <c r="D1468" t="s">
        <v>2697</v>
      </c>
      <c r="E1468" t="str">
        <f>"1409900033781"</f>
        <v>0</v>
      </c>
      <c r="F1468" t="str">
        <f>"000400"</f>
        <v>0</v>
      </c>
      <c r="G1468" t="s">
        <v>21</v>
      </c>
    </row>
    <row r="1469" spans="1:7">
      <c r="A1469">
        <v>1468</v>
      </c>
      <c r="B1469" t="str">
        <f>"024683"</f>
        <v>0</v>
      </c>
      <c r="C1469" t="s">
        <v>2698</v>
      </c>
      <c r="D1469" t="s">
        <v>2699</v>
      </c>
      <c r="E1469" t="str">
        <f>"3640400549815"</f>
        <v>0</v>
      </c>
      <c r="F1469" t="str">
        <f>"000400"</f>
        <v>0</v>
      </c>
      <c r="G1469" t="s">
        <v>21</v>
      </c>
    </row>
    <row r="1470" spans="1:7">
      <c r="A1470">
        <v>1469</v>
      </c>
      <c r="B1470" t="str">
        <f>"024732"</f>
        <v>0</v>
      </c>
      <c r="C1470" t="s">
        <v>2700</v>
      </c>
      <c r="D1470" t="s">
        <v>2701</v>
      </c>
      <c r="E1470" t="str">
        <f>"1102200058940"</f>
        <v>0</v>
      </c>
      <c r="F1470" t="str">
        <f>"000400"</f>
        <v>0</v>
      </c>
      <c r="G1470" t="s">
        <v>21</v>
      </c>
    </row>
    <row r="1471" spans="1:7">
      <c r="A1471">
        <v>1470</v>
      </c>
      <c r="B1471" t="str">
        <f>"025087"</f>
        <v>0</v>
      </c>
      <c r="C1471" t="s">
        <v>2702</v>
      </c>
      <c r="D1471" t="s">
        <v>2703</v>
      </c>
      <c r="E1471" t="str">
        <f>"1629900024969"</f>
        <v>0</v>
      </c>
      <c r="F1471" t="str">
        <f>"000400"</f>
        <v>0</v>
      </c>
      <c r="G1471" t="s">
        <v>21</v>
      </c>
    </row>
    <row r="1472" spans="1:7">
      <c r="A1472">
        <v>1471</v>
      </c>
      <c r="B1472" t="str">
        <f>"025230"</f>
        <v>0</v>
      </c>
      <c r="C1472" t="s">
        <v>2704</v>
      </c>
      <c r="D1472" t="s">
        <v>2705</v>
      </c>
      <c r="E1472" t="str">
        <f>"3629900045288"</f>
        <v>0</v>
      </c>
      <c r="F1472" t="str">
        <f>"000400"</f>
        <v>0</v>
      </c>
      <c r="G1472" t="s">
        <v>21</v>
      </c>
    </row>
    <row r="1473" spans="1:7">
      <c r="A1473">
        <v>1472</v>
      </c>
      <c r="B1473" t="str">
        <f>"025418"</f>
        <v>0</v>
      </c>
      <c r="C1473" t="s">
        <v>2706</v>
      </c>
      <c r="D1473" t="s">
        <v>2707</v>
      </c>
      <c r="E1473" t="str">
        <f>"1620600004883"</f>
        <v>0</v>
      </c>
      <c r="F1473" t="str">
        <f>"000400"</f>
        <v>0</v>
      </c>
      <c r="G1473" t="s">
        <v>21</v>
      </c>
    </row>
    <row r="1474" spans="1:7">
      <c r="A1474">
        <v>1473</v>
      </c>
      <c r="B1474" t="str">
        <f>"026087"</f>
        <v>0</v>
      </c>
      <c r="C1474" t="s">
        <v>2708</v>
      </c>
      <c r="D1474" t="s">
        <v>2709</v>
      </c>
      <c r="E1474" t="str">
        <f>"1609900067935"</f>
        <v>0</v>
      </c>
      <c r="F1474" t="str">
        <f>"000400"</f>
        <v>0</v>
      </c>
      <c r="G1474" t="s">
        <v>21</v>
      </c>
    </row>
    <row r="1475" spans="1:7">
      <c r="A1475">
        <v>1474</v>
      </c>
      <c r="B1475" t="str">
        <f>"026090"</f>
        <v>0</v>
      </c>
      <c r="C1475" t="s">
        <v>2710</v>
      </c>
      <c r="D1475" t="s">
        <v>2711</v>
      </c>
      <c r="E1475" t="str">
        <f>"1639900011654"</f>
        <v>0</v>
      </c>
      <c r="F1475" t="str">
        <f>"000400"</f>
        <v>0</v>
      </c>
      <c r="G1475" t="s">
        <v>21</v>
      </c>
    </row>
    <row r="1476" spans="1:7">
      <c r="A1476">
        <v>1475</v>
      </c>
      <c r="B1476" t="str">
        <f>"026467"</f>
        <v>0</v>
      </c>
      <c r="C1476" t="s">
        <v>2712</v>
      </c>
      <c r="D1476" t="s">
        <v>2713</v>
      </c>
      <c r="E1476" t="str">
        <f>"1610600013017"</f>
        <v>0</v>
      </c>
      <c r="F1476" t="str">
        <f>"000400"</f>
        <v>0</v>
      </c>
      <c r="G1476" t="s">
        <v>21</v>
      </c>
    </row>
    <row r="1477" spans="1:7">
      <c r="A1477">
        <v>1476</v>
      </c>
      <c r="B1477" t="str">
        <f>"026676"</f>
        <v>0</v>
      </c>
      <c r="C1477" t="s">
        <v>2714</v>
      </c>
      <c r="D1477" t="s">
        <v>2715</v>
      </c>
      <c r="E1477" t="str">
        <f>"3620500094321"</f>
        <v>0</v>
      </c>
      <c r="F1477" t="str">
        <f>"000400"</f>
        <v>0</v>
      </c>
      <c r="G1477" t="s">
        <v>21</v>
      </c>
    </row>
    <row r="1478" spans="1:7">
      <c r="A1478">
        <v>1477</v>
      </c>
      <c r="B1478" t="str">
        <f>"027499"</f>
        <v>0</v>
      </c>
      <c r="C1478" t="s">
        <v>2716</v>
      </c>
      <c r="D1478" t="s">
        <v>2717</v>
      </c>
      <c r="E1478" t="str">
        <f>"1629900158639"</f>
        <v>0</v>
      </c>
      <c r="F1478" t="str">
        <f>"000400"</f>
        <v>0</v>
      </c>
      <c r="G1478" t="s">
        <v>21</v>
      </c>
    </row>
    <row r="1479" spans="1:7">
      <c r="A1479">
        <v>1478</v>
      </c>
      <c r="B1479" t="str">
        <f>"026465"</f>
        <v>0</v>
      </c>
      <c r="C1479" t="s">
        <v>2718</v>
      </c>
      <c r="D1479" t="s">
        <v>2719</v>
      </c>
      <c r="E1479" t="str">
        <f>"1620500019854"</f>
        <v>0</v>
      </c>
      <c r="F1479" t="str">
        <f>"000400"</f>
        <v>0</v>
      </c>
      <c r="G1479" t="s">
        <v>21</v>
      </c>
    </row>
    <row r="1480" spans="1:7">
      <c r="A1480">
        <v>1479</v>
      </c>
      <c r="B1480" t="str">
        <f>"023968"</f>
        <v>0</v>
      </c>
      <c r="C1480" t="s">
        <v>2720</v>
      </c>
      <c r="D1480" t="s">
        <v>2721</v>
      </c>
      <c r="E1480" t="str">
        <f>"3860300313265"</f>
        <v>0</v>
      </c>
      <c r="F1480" t="str">
        <f>"000400"</f>
        <v>0</v>
      </c>
      <c r="G1480" t="s">
        <v>21</v>
      </c>
    </row>
    <row r="1481" spans="1:7">
      <c r="A1481">
        <v>1480</v>
      </c>
      <c r="B1481" t="str">
        <f>"024324"</f>
        <v>0</v>
      </c>
      <c r="C1481" t="s">
        <v>2722</v>
      </c>
      <c r="D1481" t="s">
        <v>2723</v>
      </c>
      <c r="E1481" t="str">
        <f>"3640300457811"</f>
        <v>0</v>
      </c>
      <c r="F1481" t="str">
        <f>"000400"</f>
        <v>0</v>
      </c>
      <c r="G1481" t="s">
        <v>21</v>
      </c>
    </row>
    <row r="1482" spans="1:7">
      <c r="A1482">
        <v>1481</v>
      </c>
      <c r="B1482" t="str">
        <f>"026089"</f>
        <v>0</v>
      </c>
      <c r="C1482" t="s">
        <v>2724</v>
      </c>
      <c r="D1482" t="s">
        <v>2725</v>
      </c>
      <c r="E1482" t="str">
        <f>"1640700085711"</f>
        <v>0</v>
      </c>
      <c r="F1482" t="str">
        <f>"000400"</f>
        <v>0</v>
      </c>
      <c r="G1482" t="s">
        <v>21</v>
      </c>
    </row>
    <row r="1483" spans="1:7">
      <c r="A1483">
        <v>1482</v>
      </c>
      <c r="B1483" t="str">
        <f>"008770"</f>
        <v>0</v>
      </c>
      <c r="C1483" t="s">
        <v>2726</v>
      </c>
      <c r="D1483" t="s">
        <v>2727</v>
      </c>
      <c r="E1483" t="str">
        <f>"3659900598414"</f>
        <v>0</v>
      </c>
      <c r="F1483" t="str">
        <f>"000400"</f>
        <v>0</v>
      </c>
      <c r="G1483" t="s">
        <v>21</v>
      </c>
    </row>
    <row r="1484" spans="1:7">
      <c r="A1484">
        <v>1483</v>
      </c>
      <c r="B1484" t="str">
        <f>"021830"</f>
        <v>0</v>
      </c>
      <c r="C1484" t="s">
        <v>1668</v>
      </c>
      <c r="D1484" t="s">
        <v>2728</v>
      </c>
      <c r="E1484" t="str">
        <f>"3659900404172"</f>
        <v>0</v>
      </c>
      <c r="F1484" t="str">
        <f>"000400"</f>
        <v>0</v>
      </c>
      <c r="G1484" t="s">
        <v>21</v>
      </c>
    </row>
    <row r="1485" spans="1:7">
      <c r="A1485">
        <v>1484</v>
      </c>
      <c r="B1485" t="str">
        <f>"019847"</f>
        <v>0</v>
      </c>
      <c r="C1485" t="s">
        <v>2729</v>
      </c>
      <c r="D1485" t="s">
        <v>2730</v>
      </c>
      <c r="E1485" t="str">
        <f>"5670290000110"</f>
        <v>0</v>
      </c>
      <c r="F1485" t="str">
        <f>"000400"</f>
        <v>0</v>
      </c>
      <c r="G1485" t="s">
        <v>21</v>
      </c>
    </row>
    <row r="1486" spans="1:7">
      <c r="A1486">
        <v>1485</v>
      </c>
      <c r="B1486" t="str">
        <f>"027087"</f>
        <v>0</v>
      </c>
      <c r="C1486" t="s">
        <v>2731</v>
      </c>
      <c r="D1486" t="s">
        <v>2732</v>
      </c>
      <c r="E1486" t="str">
        <f>"1769900421916"</f>
        <v>0</v>
      </c>
      <c r="F1486" t="str">
        <f>"000400"</f>
        <v>0</v>
      </c>
      <c r="G1486" t="s">
        <v>21</v>
      </c>
    </row>
    <row r="1487" spans="1:7">
      <c r="A1487">
        <v>1486</v>
      </c>
      <c r="B1487" t="str">
        <f>"026375"</f>
        <v>0</v>
      </c>
      <c r="C1487" t="s">
        <v>2733</v>
      </c>
      <c r="D1487" t="s">
        <v>2734</v>
      </c>
      <c r="E1487" t="str">
        <f>"3630200012206"</f>
        <v>0</v>
      </c>
      <c r="F1487" t="str">
        <f>"000400"</f>
        <v>0</v>
      </c>
      <c r="G1487" t="s">
        <v>21</v>
      </c>
    </row>
    <row r="1488" spans="1:7">
      <c r="A1488">
        <v>1487</v>
      </c>
      <c r="B1488" t="str">
        <f>"018411"</f>
        <v>0</v>
      </c>
      <c r="C1488" t="s">
        <v>2735</v>
      </c>
      <c r="D1488" t="s">
        <v>2736</v>
      </c>
      <c r="E1488" t="str">
        <f>"3620100443884"</f>
        <v>0</v>
      </c>
      <c r="F1488" t="str">
        <f>"000400"</f>
        <v>0</v>
      </c>
      <c r="G1488" t="s">
        <v>21</v>
      </c>
    </row>
    <row r="1489" spans="1:7">
      <c r="A1489">
        <v>1488</v>
      </c>
      <c r="B1489" t="str">
        <f>"019068"</f>
        <v>0</v>
      </c>
      <c r="C1489" t="s">
        <v>2371</v>
      </c>
      <c r="D1489" t="s">
        <v>2737</v>
      </c>
      <c r="E1489" t="str">
        <f>"5501900010344"</f>
        <v>0</v>
      </c>
      <c r="F1489" t="str">
        <f>"000400"</f>
        <v>0</v>
      </c>
      <c r="G1489" t="s">
        <v>21</v>
      </c>
    </row>
    <row r="1490" spans="1:7">
      <c r="A1490">
        <v>1489</v>
      </c>
      <c r="B1490" t="str">
        <f>"022239"</f>
        <v>0</v>
      </c>
      <c r="C1490" t="s">
        <v>2738</v>
      </c>
      <c r="D1490" t="s">
        <v>2739</v>
      </c>
      <c r="E1490" t="str">
        <f>"3620100615413"</f>
        <v>0</v>
      </c>
      <c r="F1490" t="str">
        <f>"000400"</f>
        <v>0</v>
      </c>
      <c r="G1490" t="s">
        <v>21</v>
      </c>
    </row>
    <row r="1491" spans="1:7">
      <c r="A1491">
        <v>1490</v>
      </c>
      <c r="B1491" t="str">
        <f>"027543"</f>
        <v>0</v>
      </c>
      <c r="C1491" t="s">
        <v>1628</v>
      </c>
      <c r="D1491" t="s">
        <v>2740</v>
      </c>
      <c r="E1491" t="str">
        <f>"3620500984475"</f>
        <v>0</v>
      </c>
      <c r="F1491" t="str">
        <f>"000400"</f>
        <v>0</v>
      </c>
      <c r="G1491" t="s">
        <v>21</v>
      </c>
    </row>
    <row r="1492" spans="1:7">
      <c r="A1492">
        <v>1491</v>
      </c>
      <c r="B1492" t="str">
        <f>"027587"</f>
        <v>0</v>
      </c>
      <c r="C1492" t="s">
        <v>132</v>
      </c>
      <c r="D1492" t="s">
        <v>2741</v>
      </c>
      <c r="E1492" t="str">
        <f>"1659900456541"</f>
        <v>0</v>
      </c>
      <c r="F1492" t="str">
        <f>"000400"</f>
        <v>0</v>
      </c>
      <c r="G1492" t="s">
        <v>21</v>
      </c>
    </row>
    <row r="1493" spans="1:7">
      <c r="A1493">
        <v>1492</v>
      </c>
      <c r="B1493" t="str">
        <f>"000602"</f>
        <v>0</v>
      </c>
      <c r="C1493" t="s">
        <v>2742</v>
      </c>
      <c r="D1493" t="s">
        <v>2743</v>
      </c>
      <c r="E1493" t="str">
        <f>"3400400068461"</f>
        <v>0</v>
      </c>
      <c r="F1493" t="str">
        <f>"000430"</f>
        <v>0</v>
      </c>
      <c r="G1493" t="s">
        <v>21</v>
      </c>
    </row>
    <row r="1494" spans="1:7">
      <c r="A1494">
        <v>1493</v>
      </c>
      <c r="B1494" t="str">
        <f>"000830"</f>
        <v>0</v>
      </c>
      <c r="C1494" t="s">
        <v>2744</v>
      </c>
      <c r="D1494" t="s">
        <v>2745</v>
      </c>
      <c r="E1494" t="str">
        <f>"3469900058454"</f>
        <v>0</v>
      </c>
      <c r="F1494" t="str">
        <f>"000430"</f>
        <v>0</v>
      </c>
      <c r="G1494" t="s">
        <v>21</v>
      </c>
    </row>
    <row r="1495" spans="1:7">
      <c r="A1495">
        <v>1494</v>
      </c>
      <c r="B1495" t="str">
        <f>"000847"</f>
        <v>0</v>
      </c>
      <c r="C1495" t="s">
        <v>2746</v>
      </c>
      <c r="D1495" t="s">
        <v>2747</v>
      </c>
      <c r="E1495" t="str">
        <f>"3400600009212"</f>
        <v>0</v>
      </c>
      <c r="F1495" t="str">
        <f>"000430"</f>
        <v>0</v>
      </c>
      <c r="G1495" t="s">
        <v>21</v>
      </c>
    </row>
    <row r="1496" spans="1:7">
      <c r="A1496">
        <v>1495</v>
      </c>
      <c r="B1496" t="str">
        <f>"001009"</f>
        <v>0</v>
      </c>
      <c r="C1496" t="s">
        <v>494</v>
      </c>
      <c r="D1496" t="s">
        <v>2748</v>
      </c>
      <c r="E1496" t="str">
        <f>"5459900001262"</f>
        <v>0</v>
      </c>
      <c r="F1496" t="str">
        <f>"000430"</f>
        <v>0</v>
      </c>
      <c r="G1496" t="s">
        <v>21</v>
      </c>
    </row>
    <row r="1497" spans="1:7">
      <c r="A1497">
        <v>1496</v>
      </c>
      <c r="B1497" t="str">
        <f>"001182"</f>
        <v>0</v>
      </c>
      <c r="C1497" t="s">
        <v>2749</v>
      </c>
      <c r="D1497" t="s">
        <v>2750</v>
      </c>
      <c r="E1497" t="str">
        <f>"3350100394185"</f>
        <v>0</v>
      </c>
      <c r="F1497" t="str">
        <f>"000430"</f>
        <v>0</v>
      </c>
      <c r="G1497" t="s">
        <v>21</v>
      </c>
    </row>
    <row r="1498" spans="1:7">
      <c r="A1498">
        <v>1497</v>
      </c>
      <c r="B1498" t="str">
        <f>"001949"</f>
        <v>0</v>
      </c>
      <c r="C1498" t="s">
        <v>2751</v>
      </c>
      <c r="D1498" t="s">
        <v>2752</v>
      </c>
      <c r="E1498" t="str">
        <f>"3401500879241"</f>
        <v>0</v>
      </c>
      <c r="F1498" t="str">
        <f>"000430"</f>
        <v>0</v>
      </c>
      <c r="G1498" t="s">
        <v>21</v>
      </c>
    </row>
    <row r="1499" spans="1:7">
      <c r="A1499">
        <v>1498</v>
      </c>
      <c r="B1499" t="str">
        <f>"002433"</f>
        <v>0</v>
      </c>
      <c r="C1499" t="s">
        <v>2753</v>
      </c>
      <c r="D1499" t="s">
        <v>2754</v>
      </c>
      <c r="E1499" t="str">
        <f>"3409901121761"</f>
        <v>0</v>
      </c>
      <c r="F1499" t="str">
        <f>"000430"</f>
        <v>0</v>
      </c>
      <c r="G1499" t="s">
        <v>21</v>
      </c>
    </row>
    <row r="1500" spans="1:7">
      <c r="A1500">
        <v>1499</v>
      </c>
      <c r="B1500" t="str">
        <f>"002826"</f>
        <v>0</v>
      </c>
      <c r="C1500" t="s">
        <v>104</v>
      </c>
      <c r="D1500" t="s">
        <v>2755</v>
      </c>
      <c r="E1500" t="str">
        <f>"3400800176147"</f>
        <v>0</v>
      </c>
      <c r="F1500" t="str">
        <f>"000430"</f>
        <v>0</v>
      </c>
      <c r="G1500" t="s">
        <v>21</v>
      </c>
    </row>
    <row r="1501" spans="1:7">
      <c r="A1501">
        <v>1500</v>
      </c>
      <c r="B1501" t="str">
        <f>"002900"</f>
        <v>0</v>
      </c>
      <c r="C1501" t="s">
        <v>2756</v>
      </c>
      <c r="D1501" t="s">
        <v>2757</v>
      </c>
      <c r="E1501" t="str">
        <f>"3401800020814"</f>
        <v>0</v>
      </c>
      <c r="F1501" t="str">
        <f>"000430"</f>
        <v>0</v>
      </c>
      <c r="G1501" t="s">
        <v>21</v>
      </c>
    </row>
    <row r="1502" spans="1:7">
      <c r="A1502">
        <v>1501</v>
      </c>
      <c r="B1502" t="str">
        <f>"003003"</f>
        <v>0</v>
      </c>
      <c r="C1502" t="s">
        <v>2758</v>
      </c>
      <c r="D1502" t="s">
        <v>2759</v>
      </c>
      <c r="E1502" t="str">
        <f>"3400200143400"</f>
        <v>0</v>
      </c>
      <c r="F1502" t="str">
        <f>"000430"</f>
        <v>0</v>
      </c>
      <c r="G1502" t="s">
        <v>21</v>
      </c>
    </row>
    <row r="1503" spans="1:7">
      <c r="A1503">
        <v>1502</v>
      </c>
      <c r="B1503" t="str">
        <f>"003206"</f>
        <v>0</v>
      </c>
      <c r="C1503" t="s">
        <v>2760</v>
      </c>
      <c r="D1503" t="s">
        <v>2761</v>
      </c>
      <c r="E1503" t="str">
        <f>"3409900520221"</f>
        <v>0</v>
      </c>
      <c r="F1503" t="str">
        <f>"000430"</f>
        <v>0</v>
      </c>
      <c r="G1503" t="s">
        <v>21</v>
      </c>
    </row>
    <row r="1504" spans="1:7">
      <c r="A1504">
        <v>1503</v>
      </c>
      <c r="B1504" t="str">
        <f>"003345"</f>
        <v>0</v>
      </c>
      <c r="C1504" t="s">
        <v>2762</v>
      </c>
      <c r="D1504" t="s">
        <v>2763</v>
      </c>
      <c r="E1504" t="str">
        <f>"3400900678519"</f>
        <v>0</v>
      </c>
      <c r="F1504" t="str">
        <f>"000430"</f>
        <v>0</v>
      </c>
      <c r="G1504" t="s">
        <v>21</v>
      </c>
    </row>
    <row r="1505" spans="1:7">
      <c r="A1505">
        <v>1504</v>
      </c>
      <c r="B1505" t="str">
        <f>"003457"</f>
        <v>0</v>
      </c>
      <c r="C1505" t="s">
        <v>2764</v>
      </c>
      <c r="D1505" t="s">
        <v>2765</v>
      </c>
      <c r="E1505" t="str">
        <f>"3409900576374"</f>
        <v>0</v>
      </c>
      <c r="F1505" t="str">
        <f>"000430"</f>
        <v>0</v>
      </c>
      <c r="G1505" t="s">
        <v>21</v>
      </c>
    </row>
    <row r="1506" spans="1:7">
      <c r="A1506">
        <v>1505</v>
      </c>
      <c r="B1506" t="str">
        <f>"003461"</f>
        <v>0</v>
      </c>
      <c r="C1506" t="s">
        <v>2766</v>
      </c>
      <c r="D1506" t="s">
        <v>2767</v>
      </c>
      <c r="E1506" t="str">
        <f>"3400900658763"</f>
        <v>0</v>
      </c>
      <c r="F1506" t="str">
        <f>"000430"</f>
        <v>0</v>
      </c>
      <c r="G1506" t="s">
        <v>21</v>
      </c>
    </row>
    <row r="1507" spans="1:7">
      <c r="A1507">
        <v>1506</v>
      </c>
      <c r="B1507" t="str">
        <f>"003664"</f>
        <v>0</v>
      </c>
      <c r="C1507" t="s">
        <v>1162</v>
      </c>
      <c r="D1507" t="s">
        <v>2768</v>
      </c>
      <c r="E1507" t="str">
        <f>"3400400610397"</f>
        <v>0</v>
      </c>
      <c r="F1507" t="str">
        <f>"000430"</f>
        <v>0</v>
      </c>
      <c r="G1507" t="s">
        <v>21</v>
      </c>
    </row>
    <row r="1508" spans="1:7">
      <c r="A1508">
        <v>1507</v>
      </c>
      <c r="B1508" t="str">
        <f>"003771"</f>
        <v>0</v>
      </c>
      <c r="C1508" t="s">
        <v>2769</v>
      </c>
      <c r="D1508" t="s">
        <v>2770</v>
      </c>
      <c r="E1508" t="str">
        <f>"3409900718969"</f>
        <v>0</v>
      </c>
      <c r="F1508" t="str">
        <f>"000430"</f>
        <v>0</v>
      </c>
      <c r="G1508" t="s">
        <v>21</v>
      </c>
    </row>
    <row r="1509" spans="1:7">
      <c r="A1509">
        <v>1508</v>
      </c>
      <c r="B1509" t="str">
        <f>"004066"</f>
        <v>0</v>
      </c>
      <c r="C1509" t="s">
        <v>2771</v>
      </c>
      <c r="D1509" t="s">
        <v>2772</v>
      </c>
      <c r="E1509" t="str">
        <f>"3409900707762"</f>
        <v>0</v>
      </c>
      <c r="F1509" t="str">
        <f>"000430"</f>
        <v>0</v>
      </c>
      <c r="G1509" t="s">
        <v>21</v>
      </c>
    </row>
    <row r="1510" spans="1:7">
      <c r="A1510">
        <v>1509</v>
      </c>
      <c r="B1510" t="str">
        <f>"004128"</f>
        <v>0</v>
      </c>
      <c r="C1510" t="s">
        <v>2773</v>
      </c>
      <c r="D1510" t="s">
        <v>2774</v>
      </c>
      <c r="E1510" t="str">
        <f>"5409999035687"</f>
        <v>0</v>
      </c>
      <c r="F1510" t="str">
        <f>"000430"</f>
        <v>0</v>
      </c>
      <c r="G1510" t="s">
        <v>21</v>
      </c>
    </row>
    <row r="1511" spans="1:7">
      <c r="A1511">
        <v>1510</v>
      </c>
      <c r="B1511" t="str">
        <f>"004452"</f>
        <v>0</v>
      </c>
      <c r="C1511" t="s">
        <v>590</v>
      </c>
      <c r="D1511" t="s">
        <v>2775</v>
      </c>
      <c r="E1511" t="str">
        <f>"3450900323141"</f>
        <v>0</v>
      </c>
      <c r="F1511" t="str">
        <f>"000430"</f>
        <v>0</v>
      </c>
      <c r="G1511" t="s">
        <v>21</v>
      </c>
    </row>
    <row r="1512" spans="1:7">
      <c r="A1512">
        <v>1511</v>
      </c>
      <c r="B1512" t="str">
        <f>"005057"</f>
        <v>0</v>
      </c>
      <c r="C1512" t="s">
        <v>705</v>
      </c>
      <c r="D1512" t="s">
        <v>2776</v>
      </c>
      <c r="E1512" t="str">
        <f>"3440600411894"</f>
        <v>0</v>
      </c>
      <c r="F1512" t="str">
        <f>"000430"</f>
        <v>0</v>
      </c>
      <c r="G1512" t="s">
        <v>21</v>
      </c>
    </row>
    <row r="1513" spans="1:7">
      <c r="A1513">
        <v>1512</v>
      </c>
      <c r="B1513" t="str">
        <f>"005085"</f>
        <v>0</v>
      </c>
      <c r="C1513" t="s">
        <v>2777</v>
      </c>
      <c r="D1513" t="s">
        <v>2778</v>
      </c>
      <c r="E1513" t="str">
        <f>"3230400245062"</f>
        <v>0</v>
      </c>
      <c r="F1513" t="str">
        <f>"000430"</f>
        <v>0</v>
      </c>
      <c r="G1513" t="s">
        <v>21</v>
      </c>
    </row>
    <row r="1514" spans="1:7">
      <c r="A1514">
        <v>1513</v>
      </c>
      <c r="B1514" t="str">
        <f>"005247"</f>
        <v>0</v>
      </c>
      <c r="C1514" t="s">
        <v>2779</v>
      </c>
      <c r="D1514" t="s">
        <v>2780</v>
      </c>
      <c r="E1514" t="str">
        <f>"3400400111366"</f>
        <v>0</v>
      </c>
      <c r="F1514" t="str">
        <f>"000430"</f>
        <v>0</v>
      </c>
      <c r="G1514" t="s">
        <v>21</v>
      </c>
    </row>
    <row r="1515" spans="1:7">
      <c r="A1515">
        <v>1514</v>
      </c>
      <c r="B1515" t="str">
        <f>"005374"</f>
        <v>0</v>
      </c>
      <c r="C1515" t="s">
        <v>2305</v>
      </c>
      <c r="D1515" t="s">
        <v>2781</v>
      </c>
      <c r="E1515" t="str">
        <f>"3401700007701"</f>
        <v>0</v>
      </c>
      <c r="F1515" t="str">
        <f>"000430"</f>
        <v>0</v>
      </c>
      <c r="G1515" t="s">
        <v>21</v>
      </c>
    </row>
    <row r="1516" spans="1:7">
      <c r="A1516">
        <v>1515</v>
      </c>
      <c r="B1516" t="str">
        <f>"006093"</f>
        <v>0</v>
      </c>
      <c r="C1516" t="s">
        <v>767</v>
      </c>
      <c r="D1516" t="s">
        <v>2743</v>
      </c>
      <c r="E1516" t="str">
        <f>"3401600042750"</f>
        <v>0</v>
      </c>
      <c r="F1516" t="str">
        <f>"000430"</f>
        <v>0</v>
      </c>
      <c r="G1516" t="s">
        <v>21</v>
      </c>
    </row>
    <row r="1517" spans="1:7">
      <c r="A1517">
        <v>1516</v>
      </c>
      <c r="B1517" t="str">
        <f>"006097"</f>
        <v>0</v>
      </c>
      <c r="C1517" t="s">
        <v>2298</v>
      </c>
      <c r="D1517" t="s">
        <v>2782</v>
      </c>
      <c r="E1517" t="str">
        <f>"3570900261307"</f>
        <v>0</v>
      </c>
      <c r="F1517" t="str">
        <f>"000430"</f>
        <v>0</v>
      </c>
      <c r="G1517" t="s">
        <v>21</v>
      </c>
    </row>
    <row r="1518" spans="1:7">
      <c r="A1518">
        <v>1517</v>
      </c>
      <c r="B1518" t="str">
        <f>"006109"</f>
        <v>0</v>
      </c>
      <c r="C1518" t="s">
        <v>2783</v>
      </c>
      <c r="D1518" t="s">
        <v>2784</v>
      </c>
      <c r="E1518" t="str">
        <f>"3160200278995"</f>
        <v>0</v>
      </c>
      <c r="F1518" t="str">
        <f>"000430"</f>
        <v>0</v>
      </c>
      <c r="G1518" t="s">
        <v>21</v>
      </c>
    </row>
    <row r="1519" spans="1:7">
      <c r="A1519">
        <v>1518</v>
      </c>
      <c r="B1519" t="str">
        <f>"006119"</f>
        <v>0</v>
      </c>
      <c r="C1519" t="s">
        <v>2785</v>
      </c>
      <c r="D1519" t="s">
        <v>2786</v>
      </c>
      <c r="E1519" t="str">
        <f>"3409900499361"</f>
        <v>0</v>
      </c>
      <c r="F1519" t="str">
        <f>"000430"</f>
        <v>0</v>
      </c>
      <c r="G1519" t="s">
        <v>21</v>
      </c>
    </row>
    <row r="1520" spans="1:7">
      <c r="A1520">
        <v>1519</v>
      </c>
      <c r="B1520" t="str">
        <f>"006256"</f>
        <v>0</v>
      </c>
      <c r="C1520" t="s">
        <v>2787</v>
      </c>
      <c r="D1520" t="s">
        <v>2788</v>
      </c>
      <c r="E1520" t="str">
        <f>"3429900020571"</f>
        <v>0</v>
      </c>
      <c r="F1520" t="str">
        <f>"000430"</f>
        <v>0</v>
      </c>
      <c r="G1520" t="s">
        <v>21</v>
      </c>
    </row>
    <row r="1521" spans="1:7">
      <c r="A1521">
        <v>1520</v>
      </c>
      <c r="B1521" t="str">
        <f>"006341"</f>
        <v>0</v>
      </c>
      <c r="C1521" t="s">
        <v>2789</v>
      </c>
      <c r="D1521" t="s">
        <v>2790</v>
      </c>
      <c r="E1521" t="str">
        <f>"3510600581594"</f>
        <v>0</v>
      </c>
      <c r="F1521" t="str">
        <f>"000430"</f>
        <v>0</v>
      </c>
      <c r="G1521" t="s">
        <v>21</v>
      </c>
    </row>
    <row r="1522" spans="1:7">
      <c r="A1522">
        <v>1521</v>
      </c>
      <c r="B1522" t="str">
        <f>"006343"</f>
        <v>0</v>
      </c>
      <c r="C1522" t="s">
        <v>2791</v>
      </c>
      <c r="D1522" t="s">
        <v>2466</v>
      </c>
      <c r="E1522" t="str">
        <f>"3401800041226"</f>
        <v>0</v>
      </c>
      <c r="F1522" t="str">
        <f>"000430"</f>
        <v>0</v>
      </c>
      <c r="G1522" t="s">
        <v>21</v>
      </c>
    </row>
    <row r="1523" spans="1:7">
      <c r="A1523">
        <v>1522</v>
      </c>
      <c r="B1523" t="str">
        <f>"006521"</f>
        <v>0</v>
      </c>
      <c r="C1523" t="s">
        <v>1884</v>
      </c>
      <c r="D1523" t="s">
        <v>2792</v>
      </c>
      <c r="E1523" t="str">
        <f>"3401100128353"</f>
        <v>0</v>
      </c>
      <c r="F1523" t="str">
        <f>"000430"</f>
        <v>0</v>
      </c>
      <c r="G1523" t="s">
        <v>21</v>
      </c>
    </row>
    <row r="1524" spans="1:7">
      <c r="A1524">
        <v>1523</v>
      </c>
      <c r="B1524" t="str">
        <f>"006577"</f>
        <v>0</v>
      </c>
      <c r="C1524" t="s">
        <v>2793</v>
      </c>
      <c r="D1524" t="s">
        <v>2794</v>
      </c>
      <c r="E1524" t="str">
        <f>"3309700054944"</f>
        <v>0</v>
      </c>
      <c r="F1524" t="str">
        <f>"000430"</f>
        <v>0</v>
      </c>
      <c r="G1524" t="s">
        <v>21</v>
      </c>
    </row>
    <row r="1525" spans="1:7">
      <c r="A1525">
        <v>1524</v>
      </c>
      <c r="B1525" t="str">
        <f>"006587"</f>
        <v>0</v>
      </c>
      <c r="C1525" t="s">
        <v>2795</v>
      </c>
      <c r="D1525" t="s">
        <v>2796</v>
      </c>
      <c r="E1525" t="str">
        <f>"3400500158780"</f>
        <v>0</v>
      </c>
      <c r="F1525" t="str">
        <f>"000430"</f>
        <v>0</v>
      </c>
      <c r="G1525" t="s">
        <v>21</v>
      </c>
    </row>
    <row r="1526" spans="1:7">
      <c r="A1526">
        <v>1525</v>
      </c>
      <c r="B1526" t="str">
        <f>"006697"</f>
        <v>0</v>
      </c>
      <c r="C1526" t="s">
        <v>2797</v>
      </c>
      <c r="D1526" t="s">
        <v>2798</v>
      </c>
      <c r="E1526" t="str">
        <f>"5341400002751"</f>
        <v>0</v>
      </c>
      <c r="F1526" t="str">
        <f>"000430"</f>
        <v>0</v>
      </c>
      <c r="G1526" t="s">
        <v>21</v>
      </c>
    </row>
    <row r="1527" spans="1:7">
      <c r="A1527">
        <v>1526</v>
      </c>
      <c r="B1527" t="str">
        <f>"006753"</f>
        <v>0</v>
      </c>
      <c r="C1527" t="s">
        <v>160</v>
      </c>
      <c r="D1527" t="s">
        <v>2799</v>
      </c>
      <c r="E1527" t="str">
        <f>"3400900712571"</f>
        <v>0</v>
      </c>
      <c r="F1527" t="str">
        <f>"000430"</f>
        <v>0</v>
      </c>
      <c r="G1527" t="s">
        <v>21</v>
      </c>
    </row>
    <row r="1528" spans="1:7">
      <c r="A1528">
        <v>1527</v>
      </c>
      <c r="B1528" t="str">
        <f>"006754"</f>
        <v>0</v>
      </c>
      <c r="C1528" t="s">
        <v>887</v>
      </c>
      <c r="D1528" t="s">
        <v>2800</v>
      </c>
      <c r="E1528" t="str">
        <f>"3400900820765"</f>
        <v>0</v>
      </c>
      <c r="F1528" t="str">
        <f>"000430"</f>
        <v>0</v>
      </c>
      <c r="G1528" t="s">
        <v>21</v>
      </c>
    </row>
    <row r="1529" spans="1:7">
      <c r="A1529">
        <v>1528</v>
      </c>
      <c r="B1529" t="str">
        <f>"006757"</f>
        <v>0</v>
      </c>
      <c r="C1529" t="s">
        <v>2801</v>
      </c>
      <c r="D1529" t="s">
        <v>2802</v>
      </c>
      <c r="E1529" t="str">
        <f>"3409900606125"</f>
        <v>0</v>
      </c>
      <c r="F1529" t="str">
        <f>"000430"</f>
        <v>0</v>
      </c>
      <c r="G1529" t="s">
        <v>21</v>
      </c>
    </row>
    <row r="1530" spans="1:7">
      <c r="A1530">
        <v>1529</v>
      </c>
      <c r="B1530" t="str">
        <f>"006765"</f>
        <v>0</v>
      </c>
      <c r="C1530" t="s">
        <v>2803</v>
      </c>
      <c r="D1530" t="s">
        <v>2804</v>
      </c>
      <c r="E1530" t="str">
        <f>"3450100524380"</f>
        <v>0</v>
      </c>
      <c r="F1530" t="str">
        <f>"000430"</f>
        <v>0</v>
      </c>
      <c r="G1530" t="s">
        <v>21</v>
      </c>
    </row>
    <row r="1531" spans="1:7">
      <c r="A1531">
        <v>1530</v>
      </c>
      <c r="B1531" t="str">
        <f>"006767"</f>
        <v>0</v>
      </c>
      <c r="C1531" t="s">
        <v>2805</v>
      </c>
      <c r="D1531" t="s">
        <v>2806</v>
      </c>
      <c r="E1531" t="str">
        <f>"3400700489135"</f>
        <v>0</v>
      </c>
      <c r="F1531" t="str">
        <f>"000430"</f>
        <v>0</v>
      </c>
      <c r="G1531" t="s">
        <v>21</v>
      </c>
    </row>
    <row r="1532" spans="1:7">
      <c r="A1532">
        <v>1531</v>
      </c>
      <c r="B1532" t="str">
        <f>"006790"</f>
        <v>0</v>
      </c>
      <c r="C1532" t="s">
        <v>1951</v>
      </c>
      <c r="D1532" t="s">
        <v>2807</v>
      </c>
      <c r="E1532" t="str">
        <f>"3360500249379"</f>
        <v>0</v>
      </c>
      <c r="F1532" t="str">
        <f>"000430"</f>
        <v>0</v>
      </c>
      <c r="G1532" t="s">
        <v>21</v>
      </c>
    </row>
    <row r="1533" spans="1:7">
      <c r="A1533">
        <v>1532</v>
      </c>
      <c r="B1533" t="str">
        <f>"006859"</f>
        <v>0</v>
      </c>
      <c r="C1533" t="s">
        <v>701</v>
      </c>
      <c r="D1533" t="s">
        <v>2808</v>
      </c>
      <c r="E1533" t="str">
        <f>"3450900312697"</f>
        <v>0</v>
      </c>
      <c r="F1533" t="str">
        <f>"000430"</f>
        <v>0</v>
      </c>
      <c r="G1533" t="s">
        <v>21</v>
      </c>
    </row>
    <row r="1534" spans="1:7">
      <c r="A1534">
        <v>1533</v>
      </c>
      <c r="B1534" t="str">
        <f>"007127"</f>
        <v>0</v>
      </c>
      <c r="C1534" t="s">
        <v>2809</v>
      </c>
      <c r="D1534" t="s">
        <v>2810</v>
      </c>
      <c r="E1534" t="str">
        <f>"3400900179172"</f>
        <v>0</v>
      </c>
      <c r="F1534" t="str">
        <f>"000430"</f>
        <v>0</v>
      </c>
      <c r="G1534" t="s">
        <v>21</v>
      </c>
    </row>
    <row r="1535" spans="1:7">
      <c r="A1535">
        <v>1534</v>
      </c>
      <c r="B1535" t="str">
        <f>"007128"</f>
        <v>0</v>
      </c>
      <c r="C1535" t="s">
        <v>2811</v>
      </c>
      <c r="D1535" t="s">
        <v>2812</v>
      </c>
      <c r="E1535" t="str">
        <f>"3401600093095"</f>
        <v>0</v>
      </c>
      <c r="F1535" t="str">
        <f>"000430"</f>
        <v>0</v>
      </c>
      <c r="G1535" t="s">
        <v>21</v>
      </c>
    </row>
    <row r="1536" spans="1:7">
      <c r="A1536">
        <v>1535</v>
      </c>
      <c r="B1536" t="str">
        <f>"007129"</f>
        <v>0</v>
      </c>
      <c r="C1536" t="s">
        <v>703</v>
      </c>
      <c r="D1536" t="s">
        <v>1270</v>
      </c>
      <c r="E1536" t="str">
        <f>"4400200001841"</f>
        <v>0</v>
      </c>
      <c r="F1536" t="str">
        <f>"000430"</f>
        <v>0</v>
      </c>
      <c r="G1536" t="s">
        <v>21</v>
      </c>
    </row>
    <row r="1537" spans="1:7">
      <c r="A1537">
        <v>1536</v>
      </c>
      <c r="B1537" t="str">
        <f>"007253"</f>
        <v>0</v>
      </c>
      <c r="C1537" t="s">
        <v>2813</v>
      </c>
      <c r="D1537" t="s">
        <v>2814</v>
      </c>
      <c r="E1537" t="str">
        <f>"3409900514433"</f>
        <v>0</v>
      </c>
      <c r="F1537" t="str">
        <f>"000430"</f>
        <v>0</v>
      </c>
      <c r="G1537" t="s">
        <v>21</v>
      </c>
    </row>
    <row r="1538" spans="1:7">
      <c r="A1538">
        <v>1537</v>
      </c>
      <c r="B1538" t="str">
        <f>"007358"</f>
        <v>0</v>
      </c>
      <c r="C1538" t="s">
        <v>2815</v>
      </c>
      <c r="D1538" t="s">
        <v>2466</v>
      </c>
      <c r="E1538" t="str">
        <f>"3401800041234"</f>
        <v>0</v>
      </c>
      <c r="F1538" t="str">
        <f>"000430"</f>
        <v>0</v>
      </c>
      <c r="G1538" t="s">
        <v>21</v>
      </c>
    </row>
    <row r="1539" spans="1:7">
      <c r="A1539">
        <v>1538</v>
      </c>
      <c r="B1539" t="str">
        <f>"007362"</f>
        <v>0</v>
      </c>
      <c r="C1539" t="s">
        <v>2816</v>
      </c>
      <c r="D1539" t="s">
        <v>2817</v>
      </c>
      <c r="E1539" t="str">
        <f>"3400700448871"</f>
        <v>0</v>
      </c>
      <c r="F1539" t="str">
        <f>"000430"</f>
        <v>0</v>
      </c>
      <c r="G1539" t="s">
        <v>21</v>
      </c>
    </row>
    <row r="1540" spans="1:7">
      <c r="A1540">
        <v>1539</v>
      </c>
      <c r="B1540" t="str">
        <f>"007393"</f>
        <v>0</v>
      </c>
      <c r="C1540" t="s">
        <v>2818</v>
      </c>
      <c r="D1540" t="s">
        <v>2819</v>
      </c>
      <c r="E1540" t="str">
        <f>"3400400409322"</f>
        <v>0</v>
      </c>
      <c r="F1540" t="str">
        <f>"000430"</f>
        <v>0</v>
      </c>
      <c r="G1540" t="s">
        <v>21</v>
      </c>
    </row>
    <row r="1541" spans="1:7">
      <c r="A1541">
        <v>1540</v>
      </c>
      <c r="B1541" t="str">
        <f>"007394"</f>
        <v>0</v>
      </c>
      <c r="C1541" t="s">
        <v>2820</v>
      </c>
      <c r="D1541" t="s">
        <v>2821</v>
      </c>
      <c r="E1541" t="str">
        <f>"3409900128959"</f>
        <v>0</v>
      </c>
      <c r="F1541" t="str">
        <f>"000430"</f>
        <v>0</v>
      </c>
      <c r="G1541" t="s">
        <v>21</v>
      </c>
    </row>
    <row r="1542" spans="1:7">
      <c r="A1542">
        <v>1541</v>
      </c>
      <c r="B1542" t="str">
        <f>"007429"</f>
        <v>0</v>
      </c>
      <c r="C1542" t="s">
        <v>2822</v>
      </c>
      <c r="D1542" t="s">
        <v>2823</v>
      </c>
      <c r="E1542" t="str">
        <f>"3470200001753"</f>
        <v>0</v>
      </c>
      <c r="F1542" t="str">
        <f>"000430"</f>
        <v>0</v>
      </c>
      <c r="G1542" t="s">
        <v>21</v>
      </c>
    </row>
    <row r="1543" spans="1:7">
      <c r="A1543">
        <v>1542</v>
      </c>
      <c r="B1543" t="str">
        <f>"007495"</f>
        <v>0</v>
      </c>
      <c r="C1543" t="s">
        <v>2824</v>
      </c>
      <c r="D1543" t="s">
        <v>2336</v>
      </c>
      <c r="E1543" t="str">
        <f>"3400400068444"</f>
        <v>0</v>
      </c>
      <c r="F1543" t="str">
        <f>"000430"</f>
        <v>0</v>
      </c>
      <c r="G1543" t="s">
        <v>21</v>
      </c>
    </row>
    <row r="1544" spans="1:7">
      <c r="A1544">
        <v>1543</v>
      </c>
      <c r="B1544" t="str">
        <f>"007500"</f>
        <v>0</v>
      </c>
      <c r="C1544" t="s">
        <v>1548</v>
      </c>
      <c r="D1544" t="s">
        <v>2825</v>
      </c>
      <c r="E1544" t="str">
        <f>"3401600267875"</f>
        <v>0</v>
      </c>
      <c r="F1544" t="str">
        <f>"000430"</f>
        <v>0</v>
      </c>
      <c r="G1544" t="s">
        <v>21</v>
      </c>
    </row>
    <row r="1545" spans="1:7">
      <c r="A1545">
        <v>1544</v>
      </c>
      <c r="B1545" t="str">
        <f>"007515"</f>
        <v>0</v>
      </c>
      <c r="C1545" t="s">
        <v>2826</v>
      </c>
      <c r="D1545" t="s">
        <v>2827</v>
      </c>
      <c r="E1545" t="str">
        <f>"3369900154039"</f>
        <v>0</v>
      </c>
      <c r="F1545" t="str">
        <f>"000430"</f>
        <v>0</v>
      </c>
      <c r="G1545" t="s">
        <v>21</v>
      </c>
    </row>
    <row r="1546" spans="1:7">
      <c r="A1546">
        <v>1545</v>
      </c>
      <c r="B1546" t="str">
        <f>"007769"</f>
        <v>0</v>
      </c>
      <c r="C1546" t="s">
        <v>2828</v>
      </c>
      <c r="D1546" t="s">
        <v>2829</v>
      </c>
      <c r="E1546" t="str">
        <f>"3349900415282"</f>
        <v>0</v>
      </c>
      <c r="F1546" t="str">
        <f>"000430"</f>
        <v>0</v>
      </c>
      <c r="G1546" t="s">
        <v>21</v>
      </c>
    </row>
    <row r="1547" spans="1:7">
      <c r="A1547">
        <v>1546</v>
      </c>
      <c r="B1547" t="str">
        <f>"007863"</f>
        <v>0</v>
      </c>
      <c r="C1547" t="s">
        <v>447</v>
      </c>
      <c r="D1547" t="s">
        <v>2830</v>
      </c>
      <c r="E1547" t="str">
        <f>"3409900184956"</f>
        <v>0</v>
      </c>
      <c r="F1547" t="str">
        <f>"000430"</f>
        <v>0</v>
      </c>
      <c r="G1547" t="s">
        <v>21</v>
      </c>
    </row>
    <row r="1548" spans="1:7">
      <c r="A1548">
        <v>1547</v>
      </c>
      <c r="B1548" t="str">
        <f>"007865"</f>
        <v>0</v>
      </c>
      <c r="C1548" t="s">
        <v>2831</v>
      </c>
      <c r="D1548" t="s">
        <v>2832</v>
      </c>
      <c r="E1548" t="str">
        <f>"3401700904231"</f>
        <v>0</v>
      </c>
      <c r="F1548" t="str">
        <f>"000430"</f>
        <v>0</v>
      </c>
      <c r="G1548" t="s">
        <v>21</v>
      </c>
    </row>
    <row r="1549" spans="1:7">
      <c r="A1549">
        <v>1548</v>
      </c>
      <c r="B1549" t="str">
        <f>"007870"</f>
        <v>0</v>
      </c>
      <c r="C1549" t="s">
        <v>2833</v>
      </c>
      <c r="D1549" t="s">
        <v>2834</v>
      </c>
      <c r="E1549" t="str">
        <f>"3400500806595"</f>
        <v>0</v>
      </c>
      <c r="F1549" t="str">
        <f>"000430"</f>
        <v>0</v>
      </c>
      <c r="G1549" t="s">
        <v>21</v>
      </c>
    </row>
    <row r="1550" spans="1:7">
      <c r="A1550">
        <v>1549</v>
      </c>
      <c r="B1550" t="str">
        <f>"007871"</f>
        <v>0</v>
      </c>
      <c r="C1550" t="s">
        <v>2835</v>
      </c>
      <c r="D1550" t="s">
        <v>2836</v>
      </c>
      <c r="E1550" t="str">
        <f>"3400400675197"</f>
        <v>0</v>
      </c>
      <c r="F1550" t="str">
        <f>"000430"</f>
        <v>0</v>
      </c>
      <c r="G1550" t="s">
        <v>21</v>
      </c>
    </row>
    <row r="1551" spans="1:7">
      <c r="A1551">
        <v>1550</v>
      </c>
      <c r="B1551" t="str">
        <f>"007896"</f>
        <v>0</v>
      </c>
      <c r="C1551" t="s">
        <v>2837</v>
      </c>
      <c r="D1551" t="s">
        <v>2838</v>
      </c>
      <c r="E1551" t="str">
        <f>"3490300035064"</f>
        <v>0</v>
      </c>
      <c r="F1551" t="str">
        <f>"000430"</f>
        <v>0</v>
      </c>
      <c r="G1551" t="s">
        <v>21</v>
      </c>
    </row>
    <row r="1552" spans="1:7">
      <c r="A1552">
        <v>1551</v>
      </c>
      <c r="B1552" t="str">
        <f>"007971"</f>
        <v>0</v>
      </c>
      <c r="C1552" t="s">
        <v>2839</v>
      </c>
      <c r="D1552" t="s">
        <v>2840</v>
      </c>
      <c r="E1552" t="str">
        <f>"5430300044256"</f>
        <v>0</v>
      </c>
      <c r="F1552" t="str">
        <f>"000430"</f>
        <v>0</v>
      </c>
      <c r="G1552" t="s">
        <v>21</v>
      </c>
    </row>
    <row r="1553" spans="1:7">
      <c r="A1553">
        <v>1552</v>
      </c>
      <c r="B1553" t="str">
        <f>"008032"</f>
        <v>0</v>
      </c>
      <c r="C1553" t="s">
        <v>2841</v>
      </c>
      <c r="D1553" t="s">
        <v>2842</v>
      </c>
      <c r="E1553" t="str">
        <f>"3450300010584"</f>
        <v>0</v>
      </c>
      <c r="F1553" t="str">
        <f>"000430"</f>
        <v>0</v>
      </c>
      <c r="G1553" t="s">
        <v>21</v>
      </c>
    </row>
    <row r="1554" spans="1:7">
      <c r="A1554">
        <v>1553</v>
      </c>
      <c r="B1554" t="str">
        <f>"008034"</f>
        <v>0</v>
      </c>
      <c r="C1554" t="s">
        <v>2843</v>
      </c>
      <c r="D1554" t="s">
        <v>2844</v>
      </c>
      <c r="E1554" t="str">
        <f>"3401700868587"</f>
        <v>0</v>
      </c>
      <c r="F1554" t="str">
        <f>"000430"</f>
        <v>0</v>
      </c>
      <c r="G1554" t="s">
        <v>21</v>
      </c>
    </row>
    <row r="1555" spans="1:7">
      <c r="A1555">
        <v>1554</v>
      </c>
      <c r="B1555" t="str">
        <f>"008043"</f>
        <v>0</v>
      </c>
      <c r="C1555" t="s">
        <v>2345</v>
      </c>
      <c r="D1555" t="s">
        <v>2845</v>
      </c>
      <c r="E1555" t="str">
        <f>"5410590005054"</f>
        <v>0</v>
      </c>
      <c r="F1555" t="str">
        <f>"000430"</f>
        <v>0</v>
      </c>
      <c r="G1555" t="s">
        <v>21</v>
      </c>
    </row>
    <row r="1556" spans="1:7">
      <c r="A1556">
        <v>1555</v>
      </c>
      <c r="B1556" t="str">
        <f>"008087"</f>
        <v>0</v>
      </c>
      <c r="C1556" t="s">
        <v>447</v>
      </c>
      <c r="D1556" t="s">
        <v>2846</v>
      </c>
      <c r="E1556" t="str">
        <f>"3400100405801"</f>
        <v>0</v>
      </c>
      <c r="F1556" t="str">
        <f>"000430"</f>
        <v>0</v>
      </c>
      <c r="G1556" t="s">
        <v>21</v>
      </c>
    </row>
    <row r="1557" spans="1:7">
      <c r="A1557">
        <v>1556</v>
      </c>
      <c r="B1557" t="str">
        <f>"008088"</f>
        <v>0</v>
      </c>
      <c r="C1557" t="s">
        <v>2417</v>
      </c>
      <c r="D1557" t="s">
        <v>2847</v>
      </c>
      <c r="E1557" t="str">
        <f>"5409900010407"</f>
        <v>0</v>
      </c>
      <c r="F1557" t="str">
        <f>"000430"</f>
        <v>0</v>
      </c>
      <c r="G1557" t="s">
        <v>21</v>
      </c>
    </row>
    <row r="1558" spans="1:7">
      <c r="A1558">
        <v>1557</v>
      </c>
      <c r="B1558" t="str">
        <f>"008152"</f>
        <v>0</v>
      </c>
      <c r="C1558" t="s">
        <v>2848</v>
      </c>
      <c r="D1558" t="s">
        <v>2849</v>
      </c>
      <c r="E1558" t="str">
        <f>"3449900113846"</f>
        <v>0</v>
      </c>
      <c r="F1558" t="str">
        <f>"000430"</f>
        <v>0</v>
      </c>
      <c r="G1558" t="s">
        <v>21</v>
      </c>
    </row>
    <row r="1559" spans="1:7">
      <c r="A1559">
        <v>1558</v>
      </c>
      <c r="B1559" t="str">
        <f>"008182"</f>
        <v>0</v>
      </c>
      <c r="C1559" t="s">
        <v>2850</v>
      </c>
      <c r="D1559" t="s">
        <v>2851</v>
      </c>
      <c r="E1559" t="str">
        <f>"3400101653396"</f>
        <v>0</v>
      </c>
      <c r="F1559" t="str">
        <f>"000430"</f>
        <v>0</v>
      </c>
      <c r="G1559" t="s">
        <v>21</v>
      </c>
    </row>
    <row r="1560" spans="1:7">
      <c r="A1560">
        <v>1559</v>
      </c>
      <c r="B1560" t="str">
        <f>"008263"</f>
        <v>0</v>
      </c>
      <c r="C1560" t="s">
        <v>2852</v>
      </c>
      <c r="D1560" t="s">
        <v>2853</v>
      </c>
      <c r="E1560" t="str">
        <f>"3310701230314"</f>
        <v>0</v>
      </c>
      <c r="F1560" t="str">
        <f>"000430"</f>
        <v>0</v>
      </c>
      <c r="G1560" t="s">
        <v>21</v>
      </c>
    </row>
    <row r="1561" spans="1:7">
      <c r="A1561">
        <v>1560</v>
      </c>
      <c r="B1561" t="str">
        <f>"008414"</f>
        <v>0</v>
      </c>
      <c r="C1561" t="s">
        <v>2854</v>
      </c>
      <c r="D1561" t="s">
        <v>2855</v>
      </c>
      <c r="E1561" t="str">
        <f>"3340700376129"</f>
        <v>0</v>
      </c>
      <c r="F1561" t="str">
        <f>"000430"</f>
        <v>0</v>
      </c>
      <c r="G1561" t="s">
        <v>21</v>
      </c>
    </row>
    <row r="1562" spans="1:7">
      <c r="A1562">
        <v>1561</v>
      </c>
      <c r="B1562" t="str">
        <f>"008706"</f>
        <v>0</v>
      </c>
      <c r="C1562" t="s">
        <v>2856</v>
      </c>
      <c r="D1562" t="s">
        <v>2857</v>
      </c>
      <c r="E1562" t="str">
        <f>"5400799013096"</f>
        <v>0</v>
      </c>
      <c r="F1562" t="str">
        <f>"000430"</f>
        <v>0</v>
      </c>
      <c r="G1562" t="s">
        <v>21</v>
      </c>
    </row>
    <row r="1563" spans="1:7">
      <c r="A1563">
        <v>1562</v>
      </c>
      <c r="B1563" t="str">
        <f>"008925"</f>
        <v>0</v>
      </c>
      <c r="C1563" t="s">
        <v>2858</v>
      </c>
      <c r="D1563" t="s">
        <v>2859</v>
      </c>
      <c r="E1563" t="str">
        <f>"3410101006650"</f>
        <v>0</v>
      </c>
      <c r="F1563" t="str">
        <f>"000430"</f>
        <v>0</v>
      </c>
      <c r="G1563" t="s">
        <v>21</v>
      </c>
    </row>
    <row r="1564" spans="1:7">
      <c r="A1564">
        <v>1563</v>
      </c>
      <c r="B1564" t="str">
        <f>"008963"</f>
        <v>0</v>
      </c>
      <c r="C1564" t="s">
        <v>2860</v>
      </c>
      <c r="D1564" t="s">
        <v>2861</v>
      </c>
      <c r="E1564" t="str">
        <f>"3420100311165"</f>
        <v>0</v>
      </c>
      <c r="F1564" t="str">
        <f>"000430"</f>
        <v>0</v>
      </c>
      <c r="G1564" t="s">
        <v>21</v>
      </c>
    </row>
    <row r="1565" spans="1:7">
      <c r="A1565">
        <v>1564</v>
      </c>
      <c r="B1565" t="str">
        <f>"009126"</f>
        <v>0</v>
      </c>
      <c r="C1565" t="s">
        <v>2862</v>
      </c>
      <c r="D1565" t="s">
        <v>2863</v>
      </c>
      <c r="E1565" t="str">
        <f>"3340900415179"</f>
        <v>0</v>
      </c>
      <c r="F1565" t="str">
        <f>"000430"</f>
        <v>0</v>
      </c>
      <c r="G1565" t="s">
        <v>21</v>
      </c>
    </row>
    <row r="1566" spans="1:7">
      <c r="A1566">
        <v>1565</v>
      </c>
      <c r="B1566" t="str">
        <f>"009191"</f>
        <v>0</v>
      </c>
      <c r="C1566" t="s">
        <v>1765</v>
      </c>
      <c r="D1566" t="s">
        <v>2864</v>
      </c>
      <c r="E1566" t="str">
        <f>"3360500253066"</f>
        <v>0</v>
      </c>
      <c r="F1566" t="str">
        <f>"000430"</f>
        <v>0</v>
      </c>
      <c r="G1566" t="s">
        <v>21</v>
      </c>
    </row>
    <row r="1567" spans="1:7">
      <c r="A1567">
        <v>1566</v>
      </c>
      <c r="B1567" t="str">
        <f>"009411"</f>
        <v>0</v>
      </c>
      <c r="C1567" t="s">
        <v>953</v>
      </c>
      <c r="D1567" t="s">
        <v>2865</v>
      </c>
      <c r="E1567" t="str">
        <f>"3400500258636"</f>
        <v>0</v>
      </c>
      <c r="F1567" t="str">
        <f>"000430"</f>
        <v>0</v>
      </c>
      <c r="G1567" t="s">
        <v>21</v>
      </c>
    </row>
    <row r="1568" spans="1:7">
      <c r="A1568">
        <v>1567</v>
      </c>
      <c r="B1568" t="str">
        <f>"009420"</f>
        <v>0</v>
      </c>
      <c r="C1568" t="s">
        <v>1506</v>
      </c>
      <c r="D1568" t="s">
        <v>2866</v>
      </c>
      <c r="E1568" t="str">
        <f>"3409900943938"</f>
        <v>0</v>
      </c>
      <c r="F1568" t="str">
        <f>"000430"</f>
        <v>0</v>
      </c>
      <c r="G1568" t="s">
        <v>21</v>
      </c>
    </row>
    <row r="1569" spans="1:7">
      <c r="A1569">
        <v>1568</v>
      </c>
      <c r="B1569" t="str">
        <f>"009497"</f>
        <v>0</v>
      </c>
      <c r="C1569" t="s">
        <v>2867</v>
      </c>
      <c r="D1569" t="s">
        <v>2868</v>
      </c>
      <c r="E1569" t="str">
        <f>"5409699000969"</f>
        <v>0</v>
      </c>
      <c r="F1569" t="str">
        <f>"000430"</f>
        <v>0</v>
      </c>
      <c r="G1569" t="s">
        <v>21</v>
      </c>
    </row>
    <row r="1570" spans="1:7">
      <c r="A1570">
        <v>1569</v>
      </c>
      <c r="B1570" t="str">
        <f>"010114"</f>
        <v>0</v>
      </c>
      <c r="C1570" t="s">
        <v>2869</v>
      </c>
      <c r="D1570" t="s">
        <v>2870</v>
      </c>
      <c r="E1570" t="str">
        <f>"3360101327236"</f>
        <v>0</v>
      </c>
      <c r="F1570" t="str">
        <f>"000430"</f>
        <v>0</v>
      </c>
      <c r="G1570" t="s">
        <v>21</v>
      </c>
    </row>
    <row r="1571" spans="1:7">
      <c r="A1571">
        <v>1570</v>
      </c>
      <c r="B1571" t="str">
        <f>"010116"</f>
        <v>0</v>
      </c>
      <c r="C1571" t="s">
        <v>2260</v>
      </c>
      <c r="D1571" t="s">
        <v>2871</v>
      </c>
      <c r="E1571" t="str">
        <f>"3400101662646"</f>
        <v>0</v>
      </c>
      <c r="F1571" t="str">
        <f>"000430"</f>
        <v>0</v>
      </c>
      <c r="G1571" t="s">
        <v>21</v>
      </c>
    </row>
    <row r="1572" spans="1:7">
      <c r="A1572">
        <v>1571</v>
      </c>
      <c r="B1572" t="str">
        <f>"010344"</f>
        <v>0</v>
      </c>
      <c r="C1572" t="s">
        <v>2872</v>
      </c>
      <c r="D1572" t="s">
        <v>2873</v>
      </c>
      <c r="E1572" t="str">
        <f>"3410100921249"</f>
        <v>0</v>
      </c>
      <c r="F1572" t="str">
        <f>"000430"</f>
        <v>0</v>
      </c>
      <c r="G1572" t="s">
        <v>21</v>
      </c>
    </row>
    <row r="1573" spans="1:7">
      <c r="A1573">
        <v>1572</v>
      </c>
      <c r="B1573" t="str">
        <f>"010456"</f>
        <v>0</v>
      </c>
      <c r="C1573" t="s">
        <v>2874</v>
      </c>
      <c r="D1573" t="s">
        <v>2875</v>
      </c>
      <c r="E1573" t="str">
        <f>"5480100024375"</f>
        <v>0</v>
      </c>
      <c r="F1573" t="str">
        <f>"000430"</f>
        <v>0</v>
      </c>
      <c r="G1573" t="s">
        <v>21</v>
      </c>
    </row>
    <row r="1574" spans="1:7">
      <c r="A1574">
        <v>1573</v>
      </c>
      <c r="B1574" t="str">
        <f>"010466"</f>
        <v>0</v>
      </c>
      <c r="C1574" t="s">
        <v>2876</v>
      </c>
      <c r="D1574" t="s">
        <v>2877</v>
      </c>
      <c r="E1574" t="str">
        <f>"3400300215593"</f>
        <v>0</v>
      </c>
      <c r="F1574" t="str">
        <f>"000430"</f>
        <v>0</v>
      </c>
      <c r="G1574" t="s">
        <v>21</v>
      </c>
    </row>
    <row r="1575" spans="1:7">
      <c r="A1575">
        <v>1574</v>
      </c>
      <c r="B1575" t="str">
        <f>"010798"</f>
        <v>0</v>
      </c>
      <c r="C1575" t="s">
        <v>2878</v>
      </c>
      <c r="D1575" t="s">
        <v>2879</v>
      </c>
      <c r="E1575" t="str">
        <f>"3409700110380"</f>
        <v>0</v>
      </c>
      <c r="F1575" t="str">
        <f>"000430"</f>
        <v>0</v>
      </c>
      <c r="G1575" t="s">
        <v>21</v>
      </c>
    </row>
    <row r="1576" spans="1:7">
      <c r="A1576">
        <v>1575</v>
      </c>
      <c r="B1576" t="str">
        <f>"011169"</f>
        <v>0</v>
      </c>
      <c r="C1576" t="s">
        <v>2880</v>
      </c>
      <c r="D1576" t="s">
        <v>2881</v>
      </c>
      <c r="E1576" t="str">
        <f>"3361001005939"</f>
        <v>0</v>
      </c>
      <c r="F1576" t="str">
        <f>"000430"</f>
        <v>0</v>
      </c>
      <c r="G1576" t="s">
        <v>21</v>
      </c>
    </row>
    <row r="1577" spans="1:7">
      <c r="A1577">
        <v>1576</v>
      </c>
      <c r="B1577" t="str">
        <f>"011341"</f>
        <v>0</v>
      </c>
      <c r="C1577" t="s">
        <v>2882</v>
      </c>
      <c r="D1577" t="s">
        <v>2883</v>
      </c>
      <c r="E1577" t="str">
        <f>"3101801346481"</f>
        <v>0</v>
      </c>
      <c r="F1577" t="str">
        <f>"000430"</f>
        <v>0</v>
      </c>
      <c r="G1577" t="s">
        <v>21</v>
      </c>
    </row>
    <row r="1578" spans="1:7">
      <c r="A1578">
        <v>1577</v>
      </c>
      <c r="B1578" t="str">
        <f>"011488"</f>
        <v>0</v>
      </c>
      <c r="C1578" t="s">
        <v>2884</v>
      </c>
      <c r="D1578" t="s">
        <v>2885</v>
      </c>
      <c r="E1578" t="str">
        <f>"3571100205713"</f>
        <v>0</v>
      </c>
      <c r="F1578" t="str">
        <f>"000430"</f>
        <v>0</v>
      </c>
      <c r="G1578" t="s">
        <v>21</v>
      </c>
    </row>
    <row r="1579" spans="1:7">
      <c r="A1579">
        <v>1578</v>
      </c>
      <c r="B1579" t="str">
        <f>"011805"</f>
        <v>0</v>
      </c>
      <c r="C1579" t="s">
        <v>2886</v>
      </c>
      <c r="D1579" t="s">
        <v>2887</v>
      </c>
      <c r="E1579" t="str">
        <f>"3411900007151"</f>
        <v>0</v>
      </c>
      <c r="F1579" t="str">
        <f>"000430"</f>
        <v>0</v>
      </c>
      <c r="G1579" t="s">
        <v>21</v>
      </c>
    </row>
    <row r="1580" spans="1:7">
      <c r="A1580">
        <v>1579</v>
      </c>
      <c r="B1580" t="str">
        <f>"012355"</f>
        <v>0</v>
      </c>
      <c r="C1580" t="s">
        <v>2888</v>
      </c>
      <c r="D1580" t="s">
        <v>2889</v>
      </c>
      <c r="E1580" t="str">
        <f>"3440900031876"</f>
        <v>0</v>
      </c>
      <c r="F1580" t="str">
        <f>"000430"</f>
        <v>0</v>
      </c>
      <c r="G1580" t="s">
        <v>21</v>
      </c>
    </row>
    <row r="1581" spans="1:7">
      <c r="A1581">
        <v>1580</v>
      </c>
      <c r="B1581" t="str">
        <f>"012401"</f>
        <v>0</v>
      </c>
      <c r="C1581" t="s">
        <v>2890</v>
      </c>
      <c r="D1581" t="s">
        <v>2891</v>
      </c>
      <c r="E1581" t="str">
        <f>"3409900464550"</f>
        <v>0</v>
      </c>
      <c r="F1581" t="str">
        <f>"000430"</f>
        <v>0</v>
      </c>
      <c r="G1581" t="s">
        <v>21</v>
      </c>
    </row>
    <row r="1582" spans="1:7">
      <c r="A1582">
        <v>1581</v>
      </c>
      <c r="B1582" t="str">
        <f>"012402"</f>
        <v>0</v>
      </c>
      <c r="C1582" t="s">
        <v>2892</v>
      </c>
      <c r="D1582" t="s">
        <v>2893</v>
      </c>
      <c r="E1582" t="str">
        <f>"3409900911157"</f>
        <v>0</v>
      </c>
      <c r="F1582" t="str">
        <f>"000430"</f>
        <v>0</v>
      </c>
      <c r="G1582" t="s">
        <v>21</v>
      </c>
    </row>
    <row r="1583" spans="1:7">
      <c r="A1583">
        <v>1582</v>
      </c>
      <c r="B1583" t="str">
        <f>"012659"</f>
        <v>0</v>
      </c>
      <c r="C1583" t="s">
        <v>2894</v>
      </c>
      <c r="D1583" t="s">
        <v>2895</v>
      </c>
      <c r="E1583" t="str">
        <f>"3400700445472"</f>
        <v>0</v>
      </c>
      <c r="F1583" t="str">
        <f>"000430"</f>
        <v>0</v>
      </c>
      <c r="G1583" t="s">
        <v>21</v>
      </c>
    </row>
    <row r="1584" spans="1:7">
      <c r="A1584">
        <v>1583</v>
      </c>
      <c r="B1584" t="str">
        <f>"012753"</f>
        <v>0</v>
      </c>
      <c r="C1584" t="s">
        <v>2896</v>
      </c>
      <c r="D1584" t="s">
        <v>2897</v>
      </c>
      <c r="E1584" t="str">
        <f>"3400700909266"</f>
        <v>0</v>
      </c>
      <c r="F1584" t="str">
        <f>"000430"</f>
        <v>0</v>
      </c>
      <c r="G1584" t="s">
        <v>21</v>
      </c>
    </row>
    <row r="1585" spans="1:7">
      <c r="A1585">
        <v>1584</v>
      </c>
      <c r="B1585" t="str">
        <f>"012781"</f>
        <v>0</v>
      </c>
      <c r="C1585" t="s">
        <v>2898</v>
      </c>
      <c r="D1585" t="s">
        <v>2899</v>
      </c>
      <c r="E1585" t="str">
        <f>"3501200744934"</f>
        <v>0</v>
      </c>
      <c r="F1585" t="str">
        <f>"000430"</f>
        <v>0</v>
      </c>
      <c r="G1585" t="s">
        <v>21</v>
      </c>
    </row>
    <row r="1586" spans="1:7">
      <c r="A1586">
        <v>1585</v>
      </c>
      <c r="B1586" t="str">
        <f>"012825"</f>
        <v>0</v>
      </c>
      <c r="C1586" t="s">
        <v>2900</v>
      </c>
      <c r="D1586" t="s">
        <v>2901</v>
      </c>
      <c r="E1586" t="str">
        <f>"3361200572876"</f>
        <v>0</v>
      </c>
      <c r="F1586" t="str">
        <f>"000430"</f>
        <v>0</v>
      </c>
      <c r="G1586" t="s">
        <v>21</v>
      </c>
    </row>
    <row r="1587" spans="1:7">
      <c r="A1587">
        <v>1586</v>
      </c>
      <c r="B1587" t="str">
        <f>"013258"</f>
        <v>0</v>
      </c>
      <c r="C1587" t="s">
        <v>2902</v>
      </c>
      <c r="D1587" t="s">
        <v>2557</v>
      </c>
      <c r="E1587" t="str">
        <f>"3400101477610"</f>
        <v>0</v>
      </c>
      <c r="F1587" t="str">
        <f>"000430"</f>
        <v>0</v>
      </c>
      <c r="G1587" t="s">
        <v>21</v>
      </c>
    </row>
    <row r="1588" spans="1:7">
      <c r="A1588">
        <v>1587</v>
      </c>
      <c r="B1588" t="str">
        <f>"013423"</f>
        <v>0</v>
      </c>
      <c r="C1588" t="s">
        <v>2903</v>
      </c>
      <c r="D1588" t="s">
        <v>2904</v>
      </c>
      <c r="E1588" t="str">
        <f>"3470100072772"</f>
        <v>0</v>
      </c>
      <c r="F1588" t="str">
        <f>"000430"</f>
        <v>0</v>
      </c>
      <c r="G1588" t="s">
        <v>21</v>
      </c>
    </row>
    <row r="1589" spans="1:7">
      <c r="A1589">
        <v>1588</v>
      </c>
      <c r="B1589" t="str">
        <f>"013627"</f>
        <v>0</v>
      </c>
      <c r="C1589" t="s">
        <v>2905</v>
      </c>
      <c r="D1589" t="s">
        <v>2906</v>
      </c>
      <c r="E1589" t="str">
        <f>"3401600093079"</f>
        <v>0</v>
      </c>
      <c r="F1589" t="str">
        <f>"000430"</f>
        <v>0</v>
      </c>
      <c r="G1589" t="s">
        <v>21</v>
      </c>
    </row>
    <row r="1590" spans="1:7">
      <c r="A1590">
        <v>1589</v>
      </c>
      <c r="B1590" t="str">
        <f>"013698"</f>
        <v>0</v>
      </c>
      <c r="C1590" t="s">
        <v>2907</v>
      </c>
      <c r="D1590" t="s">
        <v>2908</v>
      </c>
      <c r="E1590" t="str">
        <f>"3401600025081"</f>
        <v>0</v>
      </c>
      <c r="F1590" t="str">
        <f>"000430"</f>
        <v>0</v>
      </c>
      <c r="G1590" t="s">
        <v>21</v>
      </c>
    </row>
    <row r="1591" spans="1:7">
      <c r="A1591">
        <v>1590</v>
      </c>
      <c r="B1591" t="str">
        <f>"013745"</f>
        <v>0</v>
      </c>
      <c r="C1591" t="s">
        <v>837</v>
      </c>
      <c r="D1591" t="s">
        <v>2909</v>
      </c>
      <c r="E1591" t="str">
        <f>"3401800044519"</f>
        <v>0</v>
      </c>
      <c r="F1591" t="str">
        <f>"000430"</f>
        <v>0</v>
      </c>
      <c r="G1591" t="s">
        <v>21</v>
      </c>
    </row>
    <row r="1592" spans="1:7">
      <c r="A1592">
        <v>1591</v>
      </c>
      <c r="B1592" t="str">
        <f>"013746"</f>
        <v>0</v>
      </c>
      <c r="C1592" t="s">
        <v>2910</v>
      </c>
      <c r="D1592" t="s">
        <v>2909</v>
      </c>
      <c r="E1592" t="str">
        <f>"3361000145761"</f>
        <v>0</v>
      </c>
      <c r="F1592" t="str">
        <f>"000430"</f>
        <v>0</v>
      </c>
      <c r="G1592" t="s">
        <v>21</v>
      </c>
    </row>
    <row r="1593" spans="1:7">
      <c r="A1593">
        <v>1592</v>
      </c>
      <c r="B1593" t="str">
        <f>"013784"</f>
        <v>0</v>
      </c>
      <c r="C1593" t="s">
        <v>2911</v>
      </c>
      <c r="D1593" t="s">
        <v>2912</v>
      </c>
      <c r="E1593" t="str">
        <f>"3401800043024"</f>
        <v>0</v>
      </c>
      <c r="F1593" t="str">
        <f>"000430"</f>
        <v>0</v>
      </c>
      <c r="G1593" t="s">
        <v>21</v>
      </c>
    </row>
    <row r="1594" spans="1:7">
      <c r="A1594">
        <v>1593</v>
      </c>
      <c r="B1594" t="str">
        <f>"014018"</f>
        <v>0</v>
      </c>
      <c r="C1594" t="s">
        <v>1502</v>
      </c>
      <c r="D1594" t="s">
        <v>2913</v>
      </c>
      <c r="E1594" t="str">
        <f>"3401700446887"</f>
        <v>0</v>
      </c>
      <c r="F1594" t="str">
        <f>"000430"</f>
        <v>0</v>
      </c>
      <c r="G1594" t="s">
        <v>21</v>
      </c>
    </row>
    <row r="1595" spans="1:7">
      <c r="A1595">
        <v>1594</v>
      </c>
      <c r="B1595" t="str">
        <f>"014282"</f>
        <v>0</v>
      </c>
      <c r="C1595" t="s">
        <v>2914</v>
      </c>
      <c r="D1595" t="s">
        <v>2915</v>
      </c>
      <c r="E1595" t="str">
        <f>"3409900410948"</f>
        <v>0</v>
      </c>
      <c r="F1595" t="str">
        <f>"000430"</f>
        <v>0</v>
      </c>
      <c r="G1595" t="s">
        <v>21</v>
      </c>
    </row>
    <row r="1596" spans="1:7">
      <c r="A1596">
        <v>1595</v>
      </c>
      <c r="B1596" t="str">
        <f>"014283"</f>
        <v>0</v>
      </c>
      <c r="C1596" t="s">
        <v>2916</v>
      </c>
      <c r="D1596" t="s">
        <v>2917</v>
      </c>
      <c r="E1596" t="str">
        <f>"3409901156875"</f>
        <v>0</v>
      </c>
      <c r="F1596" t="str">
        <f>"000430"</f>
        <v>0</v>
      </c>
      <c r="G1596" t="s">
        <v>21</v>
      </c>
    </row>
    <row r="1597" spans="1:7">
      <c r="A1597">
        <v>1596</v>
      </c>
      <c r="B1597" t="str">
        <f>"014670"</f>
        <v>0</v>
      </c>
      <c r="C1597" t="s">
        <v>2918</v>
      </c>
      <c r="D1597" t="s">
        <v>2919</v>
      </c>
      <c r="E1597" t="str">
        <f>"3341200023236"</f>
        <v>0</v>
      </c>
      <c r="F1597" t="str">
        <f>"000430"</f>
        <v>0</v>
      </c>
      <c r="G1597" t="s">
        <v>21</v>
      </c>
    </row>
    <row r="1598" spans="1:7">
      <c r="A1598">
        <v>1597</v>
      </c>
      <c r="B1598" t="str">
        <f>"015139"</f>
        <v>0</v>
      </c>
      <c r="C1598" t="s">
        <v>2101</v>
      </c>
      <c r="D1598" t="s">
        <v>2920</v>
      </c>
      <c r="E1598" t="str">
        <f>"3400501098098"</f>
        <v>0</v>
      </c>
      <c r="F1598" t="str">
        <f>"000430"</f>
        <v>0</v>
      </c>
      <c r="G1598" t="s">
        <v>21</v>
      </c>
    </row>
    <row r="1599" spans="1:7">
      <c r="A1599">
        <v>1598</v>
      </c>
      <c r="B1599" t="str">
        <f>"015187"</f>
        <v>0</v>
      </c>
      <c r="C1599" t="s">
        <v>2076</v>
      </c>
      <c r="D1599" t="s">
        <v>2921</v>
      </c>
      <c r="E1599" t="str">
        <f>"3409900877081"</f>
        <v>0</v>
      </c>
      <c r="F1599" t="str">
        <f>"000430"</f>
        <v>0</v>
      </c>
      <c r="G1599" t="s">
        <v>21</v>
      </c>
    </row>
    <row r="1600" spans="1:7">
      <c r="A1600">
        <v>1599</v>
      </c>
      <c r="B1600" t="str">
        <f>"015640"</f>
        <v>0</v>
      </c>
      <c r="C1600" t="s">
        <v>86</v>
      </c>
      <c r="D1600" t="s">
        <v>1533</v>
      </c>
      <c r="E1600" t="str">
        <f>"3401100013106"</f>
        <v>0</v>
      </c>
      <c r="F1600" t="str">
        <f>"000430"</f>
        <v>0</v>
      </c>
      <c r="G1600" t="s">
        <v>21</v>
      </c>
    </row>
    <row r="1601" spans="1:7">
      <c r="A1601">
        <v>1600</v>
      </c>
      <c r="B1601" t="str">
        <f>"015642"</f>
        <v>0</v>
      </c>
      <c r="C1601" t="s">
        <v>2922</v>
      </c>
      <c r="D1601" t="s">
        <v>2923</v>
      </c>
      <c r="E1601" t="str">
        <f>"3400100594566"</f>
        <v>0</v>
      </c>
      <c r="F1601" t="str">
        <f>"000430"</f>
        <v>0</v>
      </c>
      <c r="G1601" t="s">
        <v>21</v>
      </c>
    </row>
    <row r="1602" spans="1:7">
      <c r="A1602">
        <v>1601</v>
      </c>
      <c r="B1602" t="str">
        <f>"015918"</f>
        <v>0</v>
      </c>
      <c r="C1602" t="s">
        <v>311</v>
      </c>
      <c r="D1602" t="s">
        <v>2924</v>
      </c>
      <c r="E1602" t="str">
        <f>"3479900064420"</f>
        <v>0</v>
      </c>
      <c r="F1602" t="str">
        <f>"000430"</f>
        <v>0</v>
      </c>
      <c r="G1602" t="s">
        <v>21</v>
      </c>
    </row>
    <row r="1603" spans="1:7">
      <c r="A1603">
        <v>1602</v>
      </c>
      <c r="B1603" t="str">
        <f>"016501"</f>
        <v>0</v>
      </c>
      <c r="C1603" t="s">
        <v>2925</v>
      </c>
      <c r="D1603" t="s">
        <v>2926</v>
      </c>
      <c r="E1603" t="str">
        <f>"3409901149968"</f>
        <v>0</v>
      </c>
      <c r="F1603" t="str">
        <f>"000430"</f>
        <v>0</v>
      </c>
      <c r="G1603" t="s">
        <v>21</v>
      </c>
    </row>
    <row r="1604" spans="1:7">
      <c r="A1604">
        <v>1603</v>
      </c>
      <c r="B1604" t="str">
        <f>"016957"</f>
        <v>0</v>
      </c>
      <c r="C1604" t="s">
        <v>413</v>
      </c>
      <c r="D1604" t="s">
        <v>2927</v>
      </c>
      <c r="E1604" t="str">
        <f>"3409900931531"</f>
        <v>0</v>
      </c>
      <c r="F1604" t="str">
        <f>"000430"</f>
        <v>0</v>
      </c>
      <c r="G1604" t="s">
        <v>21</v>
      </c>
    </row>
    <row r="1605" spans="1:7">
      <c r="A1605">
        <v>1604</v>
      </c>
      <c r="B1605" t="str">
        <f>"016958"</f>
        <v>0</v>
      </c>
      <c r="C1605" t="s">
        <v>2928</v>
      </c>
      <c r="D1605" t="s">
        <v>2929</v>
      </c>
      <c r="E1605" t="str">
        <f>"3340100145053"</f>
        <v>0</v>
      </c>
      <c r="F1605" t="str">
        <f>"000430"</f>
        <v>0</v>
      </c>
      <c r="G1605" t="s">
        <v>21</v>
      </c>
    </row>
    <row r="1606" spans="1:7">
      <c r="A1606">
        <v>1605</v>
      </c>
      <c r="B1606" t="str">
        <f>"017360"</f>
        <v>0</v>
      </c>
      <c r="C1606" t="s">
        <v>2930</v>
      </c>
      <c r="D1606" t="s">
        <v>2931</v>
      </c>
      <c r="E1606" t="str">
        <f>"3401700454162"</f>
        <v>0</v>
      </c>
      <c r="F1606" t="str">
        <f>"000430"</f>
        <v>0</v>
      </c>
      <c r="G1606" t="s">
        <v>21</v>
      </c>
    </row>
    <row r="1607" spans="1:7">
      <c r="A1607">
        <v>1606</v>
      </c>
      <c r="B1607" t="str">
        <f>"017698"</f>
        <v>0</v>
      </c>
      <c r="C1607" t="s">
        <v>2932</v>
      </c>
      <c r="D1607" t="s">
        <v>2933</v>
      </c>
      <c r="E1607" t="str">
        <f>"3409900931204"</f>
        <v>0</v>
      </c>
      <c r="F1607" t="str">
        <f>"000430"</f>
        <v>0</v>
      </c>
      <c r="G1607" t="s">
        <v>21</v>
      </c>
    </row>
    <row r="1608" spans="1:7">
      <c r="A1608">
        <v>1607</v>
      </c>
      <c r="B1608" t="str">
        <f>"017955"</f>
        <v>0</v>
      </c>
      <c r="C1608" t="s">
        <v>2934</v>
      </c>
      <c r="D1608" t="s">
        <v>2935</v>
      </c>
      <c r="E1608" t="str">
        <f>"3400300011173"</f>
        <v>0</v>
      </c>
      <c r="F1608" t="str">
        <f>"000430"</f>
        <v>0</v>
      </c>
      <c r="G1608" t="s">
        <v>21</v>
      </c>
    </row>
    <row r="1609" spans="1:7">
      <c r="A1609">
        <v>1608</v>
      </c>
      <c r="B1609" t="str">
        <f>"018008"</f>
        <v>0</v>
      </c>
      <c r="C1609" t="s">
        <v>2936</v>
      </c>
      <c r="D1609" t="s">
        <v>2937</v>
      </c>
      <c r="E1609" t="str">
        <f>"3400501098063"</f>
        <v>0</v>
      </c>
      <c r="F1609" t="str">
        <f>"000430"</f>
        <v>0</v>
      </c>
      <c r="G1609" t="s">
        <v>21</v>
      </c>
    </row>
    <row r="1610" spans="1:7">
      <c r="A1610">
        <v>1609</v>
      </c>
      <c r="B1610" t="str">
        <f>"019011"</f>
        <v>0</v>
      </c>
      <c r="C1610" t="s">
        <v>1680</v>
      </c>
      <c r="D1610" t="s">
        <v>2938</v>
      </c>
      <c r="E1610" t="str">
        <f>"3400101466260"</f>
        <v>0</v>
      </c>
      <c r="F1610" t="str">
        <f>"000430"</f>
        <v>0</v>
      </c>
      <c r="G1610" t="s">
        <v>21</v>
      </c>
    </row>
    <row r="1611" spans="1:7">
      <c r="A1611">
        <v>1610</v>
      </c>
      <c r="B1611" t="str">
        <f>"019013"</f>
        <v>0</v>
      </c>
      <c r="C1611" t="s">
        <v>2939</v>
      </c>
      <c r="D1611" t="s">
        <v>2940</v>
      </c>
      <c r="E1611" t="str">
        <f>"3400500258598"</f>
        <v>0</v>
      </c>
      <c r="F1611" t="str">
        <f>"000430"</f>
        <v>0</v>
      </c>
      <c r="G1611" t="s">
        <v>21</v>
      </c>
    </row>
    <row r="1612" spans="1:7">
      <c r="A1612">
        <v>1611</v>
      </c>
      <c r="B1612" t="str">
        <f>"019252"</f>
        <v>0</v>
      </c>
      <c r="C1612" t="s">
        <v>447</v>
      </c>
      <c r="D1612" t="s">
        <v>2941</v>
      </c>
      <c r="E1612" t="str">
        <f>"3401200095457"</f>
        <v>0</v>
      </c>
      <c r="F1612" t="str">
        <f>"000430"</f>
        <v>0</v>
      </c>
      <c r="G1612" t="s">
        <v>21</v>
      </c>
    </row>
    <row r="1613" spans="1:7">
      <c r="A1613">
        <v>1612</v>
      </c>
      <c r="B1613" t="str">
        <f>"020115"</f>
        <v>0</v>
      </c>
      <c r="C1613" t="s">
        <v>2942</v>
      </c>
      <c r="D1613" t="s">
        <v>2943</v>
      </c>
      <c r="E1613" t="str">
        <f>"3409900336799"</f>
        <v>0</v>
      </c>
      <c r="F1613" t="str">
        <f>"000430"</f>
        <v>0</v>
      </c>
      <c r="G1613" t="s">
        <v>21</v>
      </c>
    </row>
    <row r="1614" spans="1:7">
      <c r="A1614">
        <v>1613</v>
      </c>
      <c r="B1614" t="str">
        <f>"020288"</f>
        <v>0</v>
      </c>
      <c r="C1614" t="s">
        <v>2944</v>
      </c>
      <c r="D1614" t="s">
        <v>2945</v>
      </c>
      <c r="E1614" t="str">
        <f>"3520800108949"</f>
        <v>0</v>
      </c>
      <c r="F1614" t="str">
        <f>"000430"</f>
        <v>0</v>
      </c>
      <c r="G1614" t="s">
        <v>21</v>
      </c>
    </row>
    <row r="1615" spans="1:7">
      <c r="A1615">
        <v>1614</v>
      </c>
      <c r="B1615" t="str">
        <f>"020656"</f>
        <v>0</v>
      </c>
      <c r="C1615" t="s">
        <v>2946</v>
      </c>
      <c r="D1615" t="s">
        <v>2947</v>
      </c>
      <c r="E1615" t="str">
        <f>"3400900609126"</f>
        <v>0</v>
      </c>
      <c r="F1615" t="str">
        <f>"000430"</f>
        <v>0</v>
      </c>
      <c r="G1615" t="s">
        <v>21</v>
      </c>
    </row>
    <row r="1616" spans="1:7">
      <c r="A1616">
        <v>1615</v>
      </c>
      <c r="B1616" t="str">
        <f>"020797"</f>
        <v>0</v>
      </c>
      <c r="C1616" t="s">
        <v>2948</v>
      </c>
      <c r="D1616" t="s">
        <v>2949</v>
      </c>
      <c r="E1616" t="str">
        <f>"3479900110669"</f>
        <v>0</v>
      </c>
      <c r="F1616" t="str">
        <f>"000430"</f>
        <v>0</v>
      </c>
      <c r="G1616" t="s">
        <v>21</v>
      </c>
    </row>
    <row r="1617" spans="1:7">
      <c r="A1617">
        <v>1616</v>
      </c>
      <c r="B1617" t="str">
        <f>"020809"</f>
        <v>0</v>
      </c>
      <c r="C1617" t="s">
        <v>1356</v>
      </c>
      <c r="D1617" t="s">
        <v>2950</v>
      </c>
      <c r="E1617" t="str">
        <f>"3401500390161"</f>
        <v>0</v>
      </c>
      <c r="F1617" t="str">
        <f>"000430"</f>
        <v>0</v>
      </c>
      <c r="G1617" t="s">
        <v>21</v>
      </c>
    </row>
    <row r="1618" spans="1:7">
      <c r="A1618">
        <v>1617</v>
      </c>
      <c r="B1618" t="str">
        <f>"020927"</f>
        <v>0</v>
      </c>
      <c r="C1618" t="s">
        <v>2951</v>
      </c>
      <c r="D1618" t="s">
        <v>2952</v>
      </c>
      <c r="E1618" t="str">
        <f>"3401700293746"</f>
        <v>0</v>
      </c>
      <c r="F1618" t="str">
        <f>"000430"</f>
        <v>0</v>
      </c>
      <c r="G1618" t="s">
        <v>21</v>
      </c>
    </row>
    <row r="1619" spans="1:7">
      <c r="A1619">
        <v>1618</v>
      </c>
      <c r="B1619" t="str">
        <f>"021102"</f>
        <v>0</v>
      </c>
      <c r="C1619" t="s">
        <v>2953</v>
      </c>
      <c r="D1619" t="s">
        <v>2954</v>
      </c>
      <c r="E1619" t="str">
        <f>"3409900027125"</f>
        <v>0</v>
      </c>
      <c r="F1619" t="str">
        <f>"000430"</f>
        <v>0</v>
      </c>
      <c r="G1619" t="s">
        <v>21</v>
      </c>
    </row>
    <row r="1620" spans="1:7">
      <c r="A1620">
        <v>1619</v>
      </c>
      <c r="B1620" t="str">
        <f>"022033"</f>
        <v>0</v>
      </c>
      <c r="C1620" t="s">
        <v>2955</v>
      </c>
      <c r="D1620" t="s">
        <v>2956</v>
      </c>
      <c r="E1620" t="str">
        <f>"3400600016685"</f>
        <v>0</v>
      </c>
      <c r="F1620" t="str">
        <f>"000430"</f>
        <v>0</v>
      </c>
      <c r="G1620" t="s">
        <v>21</v>
      </c>
    </row>
    <row r="1621" spans="1:7">
      <c r="A1621">
        <v>1620</v>
      </c>
      <c r="B1621" t="str">
        <f>"027470"</f>
        <v>0</v>
      </c>
      <c r="C1621" t="s">
        <v>126</v>
      </c>
      <c r="D1621" t="s">
        <v>2957</v>
      </c>
      <c r="E1621" t="str">
        <f>"3300700496302"</f>
        <v>0</v>
      </c>
      <c r="F1621" t="str">
        <f>"000430"</f>
        <v>0</v>
      </c>
      <c r="G1621" t="s">
        <v>21</v>
      </c>
    </row>
    <row r="1622" spans="1:7">
      <c r="A1622">
        <v>1621</v>
      </c>
      <c r="B1622" t="str">
        <f>"004161"</f>
        <v>0</v>
      </c>
      <c r="C1622" t="s">
        <v>352</v>
      </c>
      <c r="D1622" t="s">
        <v>2958</v>
      </c>
      <c r="E1622" t="str">
        <f>"3400100978658"</f>
        <v>0</v>
      </c>
      <c r="F1622" t="str">
        <f>"000430"</f>
        <v>0</v>
      </c>
      <c r="G1622" t="s">
        <v>21</v>
      </c>
    </row>
    <row r="1623" spans="1:7">
      <c r="A1623">
        <v>1622</v>
      </c>
      <c r="B1623" t="str">
        <f>"006287"</f>
        <v>0</v>
      </c>
      <c r="C1623" t="s">
        <v>2959</v>
      </c>
      <c r="D1623" t="s">
        <v>2960</v>
      </c>
      <c r="E1623" t="str">
        <f>"3301500049249"</f>
        <v>0</v>
      </c>
      <c r="F1623" t="str">
        <f>"000430"</f>
        <v>0</v>
      </c>
      <c r="G1623" t="s">
        <v>21</v>
      </c>
    </row>
    <row r="1624" spans="1:7">
      <c r="A1624">
        <v>1623</v>
      </c>
      <c r="B1624" t="str">
        <f>"009086"</f>
        <v>0</v>
      </c>
      <c r="C1624" t="s">
        <v>2961</v>
      </c>
      <c r="D1624" t="s">
        <v>2962</v>
      </c>
      <c r="E1624" t="str">
        <f>"5409999024880"</f>
        <v>0</v>
      </c>
      <c r="F1624" t="str">
        <f>"000430"</f>
        <v>0</v>
      </c>
      <c r="G1624" t="s">
        <v>21</v>
      </c>
    </row>
    <row r="1625" spans="1:7">
      <c r="A1625">
        <v>1624</v>
      </c>
      <c r="B1625" t="str">
        <f>"014819"</f>
        <v>0</v>
      </c>
      <c r="C1625" t="s">
        <v>442</v>
      </c>
      <c r="D1625" t="s">
        <v>2963</v>
      </c>
      <c r="E1625" t="str">
        <f>"3440700458647"</f>
        <v>0</v>
      </c>
      <c r="F1625" t="str">
        <f>"000430"</f>
        <v>0</v>
      </c>
      <c r="G1625" t="s">
        <v>21</v>
      </c>
    </row>
    <row r="1626" spans="1:7">
      <c r="A1626">
        <v>1625</v>
      </c>
      <c r="B1626" t="str">
        <f>"016552"</f>
        <v>0</v>
      </c>
      <c r="C1626" t="s">
        <v>2964</v>
      </c>
      <c r="D1626" t="s">
        <v>2965</v>
      </c>
      <c r="E1626" t="str">
        <f>"3400900333775"</f>
        <v>0</v>
      </c>
      <c r="F1626" t="str">
        <f>"000430"</f>
        <v>0</v>
      </c>
      <c r="G1626" t="s">
        <v>21</v>
      </c>
    </row>
    <row r="1627" spans="1:7">
      <c r="A1627">
        <v>1626</v>
      </c>
      <c r="B1627" t="str">
        <f>"016575"</f>
        <v>0</v>
      </c>
      <c r="C1627" t="s">
        <v>2966</v>
      </c>
      <c r="D1627" t="s">
        <v>2967</v>
      </c>
      <c r="E1627" t="str">
        <f>"3400500799432"</f>
        <v>0</v>
      </c>
      <c r="F1627" t="str">
        <f>"000430"</f>
        <v>0</v>
      </c>
      <c r="G1627" t="s">
        <v>21</v>
      </c>
    </row>
    <row r="1628" spans="1:7">
      <c r="A1628">
        <v>1627</v>
      </c>
      <c r="B1628" t="str">
        <f>"017295"</f>
        <v>0</v>
      </c>
      <c r="C1628" t="s">
        <v>1369</v>
      </c>
      <c r="D1628" t="s">
        <v>2968</v>
      </c>
      <c r="E1628" t="str">
        <f>"3409900909845"</f>
        <v>0</v>
      </c>
      <c r="F1628" t="str">
        <f>"000430"</f>
        <v>0</v>
      </c>
      <c r="G1628" t="s">
        <v>21</v>
      </c>
    </row>
    <row r="1629" spans="1:7">
      <c r="A1629">
        <v>1628</v>
      </c>
      <c r="B1629" t="str">
        <f>"022945"</f>
        <v>0</v>
      </c>
      <c r="C1629" t="s">
        <v>2969</v>
      </c>
      <c r="D1629" t="s">
        <v>2970</v>
      </c>
      <c r="E1629" t="str">
        <f>"3409800060988"</f>
        <v>0</v>
      </c>
      <c r="F1629" t="str">
        <f>"000430"</f>
        <v>0</v>
      </c>
      <c r="G1629" t="s">
        <v>21</v>
      </c>
    </row>
    <row r="1630" spans="1:7">
      <c r="A1630">
        <v>1629</v>
      </c>
      <c r="B1630" t="str">
        <f>"014709"</f>
        <v>0</v>
      </c>
      <c r="C1630" t="s">
        <v>887</v>
      </c>
      <c r="D1630" t="s">
        <v>2971</v>
      </c>
      <c r="E1630" t="str">
        <f>"3400100375210"</f>
        <v>0</v>
      </c>
      <c r="F1630" t="str">
        <f>"000430"</f>
        <v>0</v>
      </c>
      <c r="G1630" t="s">
        <v>21</v>
      </c>
    </row>
    <row r="1631" spans="1:7">
      <c r="A1631">
        <v>1630</v>
      </c>
      <c r="B1631" t="str">
        <f>"025443"</f>
        <v>0</v>
      </c>
      <c r="C1631" t="s">
        <v>2972</v>
      </c>
      <c r="D1631" t="s">
        <v>2973</v>
      </c>
      <c r="E1631" t="str">
        <f>"3409900259549"</f>
        <v>0</v>
      </c>
      <c r="F1631" t="str">
        <f>"000430"</f>
        <v>0</v>
      </c>
      <c r="G1631" t="s">
        <v>21</v>
      </c>
    </row>
    <row r="1632" spans="1:7">
      <c r="A1632">
        <v>1631</v>
      </c>
      <c r="B1632" t="str">
        <f>"020271"</f>
        <v>0</v>
      </c>
      <c r="C1632" t="s">
        <v>2974</v>
      </c>
      <c r="D1632" t="s">
        <v>2975</v>
      </c>
      <c r="E1632" t="str">
        <f>"3120101425302"</f>
        <v>0</v>
      </c>
      <c r="F1632" t="str">
        <f>"000430"</f>
        <v>0</v>
      </c>
      <c r="G1632" t="s">
        <v>21</v>
      </c>
    </row>
    <row r="1633" spans="1:7">
      <c r="A1633">
        <v>1632</v>
      </c>
      <c r="B1633" t="str">
        <f>"015764"</f>
        <v>0</v>
      </c>
      <c r="C1633" t="s">
        <v>181</v>
      </c>
      <c r="D1633" t="s">
        <v>2976</v>
      </c>
      <c r="E1633" t="str">
        <f>"3130600185056"</f>
        <v>0</v>
      </c>
      <c r="F1633" t="str">
        <f>"000430"</f>
        <v>0</v>
      </c>
      <c r="G1633" t="s">
        <v>21</v>
      </c>
    </row>
    <row r="1634" spans="1:7">
      <c r="A1634">
        <v>1633</v>
      </c>
      <c r="B1634" t="str">
        <f>"025840"</f>
        <v>0</v>
      </c>
      <c r="C1634" t="s">
        <v>2977</v>
      </c>
      <c r="D1634" t="s">
        <v>2978</v>
      </c>
      <c r="E1634" t="str">
        <f>"1309700110112"</f>
        <v>0</v>
      </c>
      <c r="F1634" t="str">
        <f>"000430"</f>
        <v>0</v>
      </c>
      <c r="G1634" t="s">
        <v>21</v>
      </c>
    </row>
    <row r="1635" spans="1:7">
      <c r="A1635">
        <v>1634</v>
      </c>
      <c r="B1635" t="str">
        <f>"019570"</f>
        <v>0</v>
      </c>
      <c r="C1635" t="s">
        <v>2193</v>
      </c>
      <c r="D1635" t="s">
        <v>2979</v>
      </c>
      <c r="E1635" t="str">
        <f>"3160400140831"</f>
        <v>0</v>
      </c>
      <c r="F1635" t="str">
        <f>"000430"</f>
        <v>0</v>
      </c>
      <c r="G1635" t="s">
        <v>21</v>
      </c>
    </row>
    <row r="1636" spans="1:7">
      <c r="A1636">
        <v>1635</v>
      </c>
      <c r="B1636" t="str">
        <f>"021155"</f>
        <v>0</v>
      </c>
      <c r="C1636" t="s">
        <v>2980</v>
      </c>
      <c r="D1636" t="s">
        <v>2981</v>
      </c>
      <c r="E1636" t="str">
        <f>"3401200124244"</f>
        <v>0</v>
      </c>
      <c r="F1636" t="str">
        <f>"000430"</f>
        <v>0</v>
      </c>
      <c r="G1636" t="s">
        <v>21</v>
      </c>
    </row>
    <row r="1637" spans="1:7">
      <c r="A1637">
        <v>1636</v>
      </c>
      <c r="B1637" t="str">
        <f>"017033"</f>
        <v>0</v>
      </c>
      <c r="C1637" t="s">
        <v>173</v>
      </c>
      <c r="D1637" t="s">
        <v>2982</v>
      </c>
      <c r="E1637" t="str">
        <f>"3251100262566"</f>
        <v>0</v>
      </c>
      <c r="F1637" t="str">
        <f>"000430"</f>
        <v>0</v>
      </c>
      <c r="G1637" t="s">
        <v>21</v>
      </c>
    </row>
    <row r="1638" spans="1:7">
      <c r="A1638">
        <v>1637</v>
      </c>
      <c r="B1638" t="str">
        <f>"020007"</f>
        <v>0</v>
      </c>
      <c r="C1638" t="s">
        <v>2983</v>
      </c>
      <c r="D1638" t="s">
        <v>2984</v>
      </c>
      <c r="E1638" t="str">
        <f>"3409900246587"</f>
        <v>0</v>
      </c>
      <c r="F1638" t="str">
        <f>"000430"</f>
        <v>0</v>
      </c>
      <c r="G1638" t="s">
        <v>21</v>
      </c>
    </row>
    <row r="1639" spans="1:7">
      <c r="A1639">
        <v>1638</v>
      </c>
      <c r="B1639" t="str">
        <f>"027089"</f>
        <v>0</v>
      </c>
      <c r="C1639" t="s">
        <v>2985</v>
      </c>
      <c r="D1639" t="s">
        <v>2986</v>
      </c>
      <c r="E1639" t="str">
        <f>"3330501152646"</f>
        <v>0</v>
      </c>
      <c r="F1639" t="str">
        <f>"000430"</f>
        <v>0</v>
      </c>
      <c r="G1639" t="s">
        <v>21</v>
      </c>
    </row>
    <row r="1640" spans="1:7">
      <c r="A1640">
        <v>1639</v>
      </c>
      <c r="B1640" t="str">
        <f>"018642"</f>
        <v>0</v>
      </c>
      <c r="C1640" t="s">
        <v>2987</v>
      </c>
      <c r="D1640" t="s">
        <v>2988</v>
      </c>
      <c r="E1640" t="str">
        <f>"3401000573789"</f>
        <v>0</v>
      </c>
      <c r="F1640" t="str">
        <f>"000430"</f>
        <v>0</v>
      </c>
      <c r="G1640" t="s">
        <v>21</v>
      </c>
    </row>
    <row r="1641" spans="1:7">
      <c r="A1641">
        <v>1640</v>
      </c>
      <c r="B1641" t="str">
        <f>"023310"</f>
        <v>0</v>
      </c>
      <c r="C1641" t="s">
        <v>197</v>
      </c>
      <c r="D1641" t="s">
        <v>2989</v>
      </c>
      <c r="E1641" t="str">
        <f>"3310101590417"</f>
        <v>0</v>
      </c>
      <c r="F1641" t="str">
        <f>"000430"</f>
        <v>0</v>
      </c>
      <c r="G1641" t="s">
        <v>21</v>
      </c>
    </row>
    <row r="1642" spans="1:7">
      <c r="A1642">
        <v>1641</v>
      </c>
      <c r="B1642" t="str">
        <f>"022102"</f>
        <v>0</v>
      </c>
      <c r="C1642" t="s">
        <v>2990</v>
      </c>
      <c r="D1642" t="s">
        <v>2991</v>
      </c>
      <c r="E1642" t="str">
        <f>"3320500036677"</f>
        <v>0</v>
      </c>
      <c r="F1642" t="str">
        <f>"000430"</f>
        <v>0</v>
      </c>
      <c r="G1642" t="s">
        <v>21</v>
      </c>
    </row>
    <row r="1643" spans="1:7">
      <c r="A1643">
        <v>1642</v>
      </c>
      <c r="B1643" t="str">
        <f>"023448"</f>
        <v>0</v>
      </c>
      <c r="C1643" t="s">
        <v>2992</v>
      </c>
      <c r="D1643" t="s">
        <v>2993</v>
      </c>
      <c r="E1643" t="str">
        <f>"1330400030361"</f>
        <v>0</v>
      </c>
      <c r="F1643" t="str">
        <f>"000430"</f>
        <v>0</v>
      </c>
      <c r="G1643" t="s">
        <v>21</v>
      </c>
    </row>
    <row r="1644" spans="1:7">
      <c r="A1644">
        <v>1643</v>
      </c>
      <c r="B1644" t="str">
        <f>"020636"</f>
        <v>0</v>
      </c>
      <c r="C1644" t="s">
        <v>2994</v>
      </c>
      <c r="D1644" t="s">
        <v>2995</v>
      </c>
      <c r="E1644" t="str">
        <f>"3411100484451"</f>
        <v>0</v>
      </c>
      <c r="F1644" t="str">
        <f>"000430"</f>
        <v>0</v>
      </c>
      <c r="G1644" t="s">
        <v>21</v>
      </c>
    </row>
    <row r="1645" spans="1:7">
      <c r="A1645">
        <v>1644</v>
      </c>
      <c r="B1645" t="str">
        <f>"022331"</f>
        <v>0</v>
      </c>
      <c r="C1645" t="s">
        <v>2996</v>
      </c>
      <c r="D1645" t="s">
        <v>2997</v>
      </c>
      <c r="E1645" t="str">
        <f>"1360400062092"</f>
        <v>0</v>
      </c>
      <c r="F1645" t="str">
        <f>"000430"</f>
        <v>0</v>
      </c>
      <c r="G1645" t="s">
        <v>21</v>
      </c>
    </row>
    <row r="1646" spans="1:7">
      <c r="A1646">
        <v>1645</v>
      </c>
      <c r="B1646" t="str">
        <f>"023009"</f>
        <v>0</v>
      </c>
      <c r="C1646" t="s">
        <v>2998</v>
      </c>
      <c r="D1646" t="s">
        <v>2999</v>
      </c>
      <c r="E1646" t="str">
        <f>"3361300178053"</f>
        <v>0</v>
      </c>
      <c r="F1646" t="str">
        <f>"000430"</f>
        <v>0</v>
      </c>
      <c r="G1646" t="s">
        <v>21</v>
      </c>
    </row>
    <row r="1647" spans="1:7">
      <c r="A1647">
        <v>1646</v>
      </c>
      <c r="B1647" t="str">
        <f>"025400"</f>
        <v>0</v>
      </c>
      <c r="C1647" t="s">
        <v>3000</v>
      </c>
      <c r="D1647" t="s">
        <v>3001</v>
      </c>
      <c r="E1647" t="str">
        <f>"1360400001875"</f>
        <v>0</v>
      </c>
      <c r="F1647" t="str">
        <f>"000430"</f>
        <v>0</v>
      </c>
      <c r="G1647" t="s">
        <v>21</v>
      </c>
    </row>
    <row r="1648" spans="1:7">
      <c r="A1648">
        <v>1647</v>
      </c>
      <c r="B1648" t="str">
        <f>"026679"</f>
        <v>0</v>
      </c>
      <c r="C1648" t="s">
        <v>1315</v>
      </c>
      <c r="D1648" t="s">
        <v>3002</v>
      </c>
      <c r="E1648" t="str">
        <f>"1361300095992"</f>
        <v>0</v>
      </c>
      <c r="F1648" t="str">
        <f>"000430"</f>
        <v>0</v>
      </c>
      <c r="G1648" t="s">
        <v>21</v>
      </c>
    </row>
    <row r="1649" spans="1:7">
      <c r="A1649">
        <v>1648</v>
      </c>
      <c r="B1649" t="str">
        <f>"017438"</f>
        <v>0</v>
      </c>
      <c r="C1649" t="s">
        <v>3003</v>
      </c>
      <c r="D1649" t="s">
        <v>3004</v>
      </c>
      <c r="E1649" t="str">
        <f>"3341700217871"</f>
        <v>0</v>
      </c>
      <c r="F1649" t="str">
        <f>"000430"</f>
        <v>0</v>
      </c>
      <c r="G1649" t="s">
        <v>21</v>
      </c>
    </row>
    <row r="1650" spans="1:7">
      <c r="A1650">
        <v>1649</v>
      </c>
      <c r="B1650" t="str">
        <f>"026469"</f>
        <v>0</v>
      </c>
      <c r="C1650" t="s">
        <v>3005</v>
      </c>
      <c r="D1650" t="s">
        <v>3006</v>
      </c>
      <c r="E1650" t="str">
        <f>"1341700033340"</f>
        <v>0</v>
      </c>
      <c r="F1650" t="str">
        <f>"000430"</f>
        <v>0</v>
      </c>
      <c r="G1650" t="s">
        <v>21</v>
      </c>
    </row>
    <row r="1651" spans="1:7">
      <c r="A1651">
        <v>1650</v>
      </c>
      <c r="B1651" t="str">
        <f>"016651"</f>
        <v>0</v>
      </c>
      <c r="C1651" t="s">
        <v>130</v>
      </c>
      <c r="D1651" t="s">
        <v>3007</v>
      </c>
      <c r="E1651" t="str">
        <f>"3411700577787"</f>
        <v>0</v>
      </c>
      <c r="F1651" t="str">
        <f>"000430"</f>
        <v>0</v>
      </c>
      <c r="G1651" t="s">
        <v>21</v>
      </c>
    </row>
    <row r="1652" spans="1:7">
      <c r="A1652">
        <v>1651</v>
      </c>
      <c r="B1652" t="str">
        <f>"022460"</f>
        <v>0</v>
      </c>
      <c r="C1652" t="s">
        <v>3008</v>
      </c>
      <c r="D1652" t="s">
        <v>3009</v>
      </c>
      <c r="E1652" t="str">
        <f>"3450900205351"</f>
        <v>0</v>
      </c>
      <c r="F1652" t="str">
        <f>"000430"</f>
        <v>0</v>
      </c>
      <c r="G1652" t="s">
        <v>21</v>
      </c>
    </row>
    <row r="1653" spans="1:7">
      <c r="A1653">
        <v>1652</v>
      </c>
      <c r="B1653" t="str">
        <f>"024420"</f>
        <v>0</v>
      </c>
      <c r="C1653" t="s">
        <v>3010</v>
      </c>
      <c r="D1653" t="s">
        <v>3011</v>
      </c>
      <c r="E1653" t="str">
        <f>"1411600012781"</f>
        <v>0</v>
      </c>
      <c r="F1653" t="str">
        <f>"000430"</f>
        <v>0</v>
      </c>
      <c r="G1653" t="s">
        <v>21</v>
      </c>
    </row>
    <row r="1654" spans="1:7">
      <c r="A1654">
        <v>1653</v>
      </c>
      <c r="B1654" t="str">
        <f>"025842"</f>
        <v>0</v>
      </c>
      <c r="C1654" t="s">
        <v>3012</v>
      </c>
      <c r="D1654" t="s">
        <v>3013</v>
      </c>
      <c r="E1654" t="str">
        <f>"3411300124751"</f>
        <v>0</v>
      </c>
      <c r="F1654" t="str">
        <f>"000430"</f>
        <v>0</v>
      </c>
      <c r="G1654" t="s">
        <v>21</v>
      </c>
    </row>
    <row r="1655" spans="1:7">
      <c r="A1655">
        <v>1654</v>
      </c>
      <c r="B1655" t="str">
        <f>"006942"</f>
        <v>0</v>
      </c>
      <c r="C1655" t="s">
        <v>3014</v>
      </c>
      <c r="D1655" t="s">
        <v>2823</v>
      </c>
      <c r="E1655" t="str">
        <f>"3470200001761"</f>
        <v>0</v>
      </c>
      <c r="F1655" t="str">
        <f>"000430"</f>
        <v>0</v>
      </c>
      <c r="G1655" t="s">
        <v>21</v>
      </c>
    </row>
    <row r="1656" spans="1:7">
      <c r="A1656">
        <v>1655</v>
      </c>
      <c r="B1656" t="str">
        <f>"007824"</f>
        <v>0</v>
      </c>
      <c r="C1656" t="s">
        <v>3015</v>
      </c>
      <c r="D1656" t="s">
        <v>2853</v>
      </c>
      <c r="E1656" t="str">
        <f>"3400100472631"</f>
        <v>0</v>
      </c>
      <c r="F1656" t="str">
        <f>"000430"</f>
        <v>0</v>
      </c>
      <c r="G1656" t="s">
        <v>21</v>
      </c>
    </row>
    <row r="1657" spans="1:7">
      <c r="A1657">
        <v>1656</v>
      </c>
      <c r="B1657" t="str">
        <f>"009621"</f>
        <v>0</v>
      </c>
      <c r="C1657" t="s">
        <v>520</v>
      </c>
      <c r="D1657" t="s">
        <v>3016</v>
      </c>
      <c r="E1657" t="str">
        <f>"3409700311245"</f>
        <v>0</v>
      </c>
      <c r="F1657" t="str">
        <f>"000430"</f>
        <v>0</v>
      </c>
      <c r="G1657" t="s">
        <v>21</v>
      </c>
    </row>
    <row r="1658" spans="1:7">
      <c r="A1658">
        <v>1657</v>
      </c>
      <c r="B1658" t="str">
        <f>"009630"</f>
        <v>0</v>
      </c>
      <c r="C1658" t="s">
        <v>403</v>
      </c>
      <c r="D1658" t="s">
        <v>3017</v>
      </c>
      <c r="E1658" t="str">
        <f>"3409900206691"</f>
        <v>0</v>
      </c>
      <c r="F1658" t="str">
        <f>"000430"</f>
        <v>0</v>
      </c>
      <c r="G1658" t="s">
        <v>21</v>
      </c>
    </row>
    <row r="1659" spans="1:7">
      <c r="A1659">
        <v>1658</v>
      </c>
      <c r="B1659" t="str">
        <f>"009686"</f>
        <v>0</v>
      </c>
      <c r="C1659" t="s">
        <v>3018</v>
      </c>
      <c r="D1659" t="s">
        <v>3019</v>
      </c>
      <c r="E1659" t="str">
        <f>"3440500093416"</f>
        <v>0</v>
      </c>
      <c r="F1659" t="str">
        <f>"000430"</f>
        <v>0</v>
      </c>
      <c r="G1659" t="s">
        <v>21</v>
      </c>
    </row>
    <row r="1660" spans="1:7">
      <c r="A1660">
        <v>1659</v>
      </c>
      <c r="B1660" t="str">
        <f>"009807"</f>
        <v>0</v>
      </c>
      <c r="C1660" t="s">
        <v>3020</v>
      </c>
      <c r="D1660" t="s">
        <v>3021</v>
      </c>
      <c r="E1660" t="str">
        <f>"3400700870939"</f>
        <v>0</v>
      </c>
      <c r="F1660" t="str">
        <f>"000430"</f>
        <v>0</v>
      </c>
      <c r="G1660" t="s">
        <v>21</v>
      </c>
    </row>
    <row r="1661" spans="1:7">
      <c r="A1661">
        <v>1660</v>
      </c>
      <c r="B1661" t="str">
        <f>"010406"</f>
        <v>0</v>
      </c>
      <c r="C1661" t="s">
        <v>1001</v>
      </c>
      <c r="D1661" t="s">
        <v>3022</v>
      </c>
      <c r="E1661" t="str">
        <f>"3400200021967"</f>
        <v>0</v>
      </c>
      <c r="F1661" t="str">
        <f>"000430"</f>
        <v>0</v>
      </c>
      <c r="G1661" t="s">
        <v>21</v>
      </c>
    </row>
    <row r="1662" spans="1:7">
      <c r="A1662">
        <v>1661</v>
      </c>
      <c r="B1662" t="str">
        <f>"010698"</f>
        <v>0</v>
      </c>
      <c r="C1662" t="s">
        <v>3023</v>
      </c>
      <c r="D1662" t="s">
        <v>3024</v>
      </c>
      <c r="E1662" t="str">
        <f>"3412000136177"</f>
        <v>0</v>
      </c>
      <c r="F1662" t="str">
        <f>"000430"</f>
        <v>0</v>
      </c>
      <c r="G1662" t="s">
        <v>21</v>
      </c>
    </row>
    <row r="1663" spans="1:7">
      <c r="A1663">
        <v>1662</v>
      </c>
      <c r="B1663" t="str">
        <f>"010866"</f>
        <v>0</v>
      </c>
      <c r="C1663" t="s">
        <v>798</v>
      </c>
      <c r="D1663" t="s">
        <v>3025</v>
      </c>
      <c r="E1663" t="str">
        <f>"3400800289537"</f>
        <v>0</v>
      </c>
      <c r="F1663" t="str">
        <f>"000430"</f>
        <v>0</v>
      </c>
      <c r="G1663" t="s">
        <v>21</v>
      </c>
    </row>
    <row r="1664" spans="1:7">
      <c r="A1664">
        <v>1663</v>
      </c>
      <c r="B1664" t="str">
        <f>"010916"</f>
        <v>0</v>
      </c>
      <c r="C1664" t="s">
        <v>3026</v>
      </c>
      <c r="D1664" t="s">
        <v>3027</v>
      </c>
      <c r="E1664" t="str">
        <f>"3401600058044"</f>
        <v>0</v>
      </c>
      <c r="F1664" t="str">
        <f>"000430"</f>
        <v>0</v>
      </c>
      <c r="G1664" t="s">
        <v>21</v>
      </c>
    </row>
    <row r="1665" spans="1:7">
      <c r="A1665">
        <v>1664</v>
      </c>
      <c r="B1665" t="str">
        <f>"011120"</f>
        <v>0</v>
      </c>
      <c r="C1665" t="s">
        <v>3028</v>
      </c>
      <c r="D1665" t="s">
        <v>3029</v>
      </c>
      <c r="E1665" t="str">
        <f>"3401700442075"</f>
        <v>0</v>
      </c>
      <c r="F1665" t="str">
        <f>"000430"</f>
        <v>0</v>
      </c>
      <c r="G1665" t="s">
        <v>21</v>
      </c>
    </row>
    <row r="1666" spans="1:7">
      <c r="A1666">
        <v>1665</v>
      </c>
      <c r="B1666" t="str">
        <f>"011365"</f>
        <v>0</v>
      </c>
      <c r="C1666" t="s">
        <v>197</v>
      </c>
      <c r="D1666" t="s">
        <v>3030</v>
      </c>
      <c r="E1666" t="str">
        <f>"3909800358478"</f>
        <v>0</v>
      </c>
      <c r="F1666" t="str">
        <f>"000430"</f>
        <v>0</v>
      </c>
      <c r="G1666" t="s">
        <v>21</v>
      </c>
    </row>
    <row r="1667" spans="1:7">
      <c r="A1667">
        <v>1666</v>
      </c>
      <c r="B1667" t="str">
        <f>"011654"</f>
        <v>0</v>
      </c>
      <c r="C1667" t="s">
        <v>98</v>
      </c>
      <c r="D1667" t="s">
        <v>2514</v>
      </c>
      <c r="E1667" t="str">
        <f>"3301300853354"</f>
        <v>0</v>
      </c>
      <c r="F1667" t="str">
        <f>"000430"</f>
        <v>0</v>
      </c>
      <c r="G1667" t="s">
        <v>21</v>
      </c>
    </row>
    <row r="1668" spans="1:7">
      <c r="A1668">
        <v>1667</v>
      </c>
      <c r="B1668" t="str">
        <f>"011804"</f>
        <v>0</v>
      </c>
      <c r="C1668" t="s">
        <v>887</v>
      </c>
      <c r="D1668" t="s">
        <v>3031</v>
      </c>
      <c r="E1668" t="str">
        <f>"3360101356635"</f>
        <v>0</v>
      </c>
      <c r="F1668" t="str">
        <f>"000430"</f>
        <v>0</v>
      </c>
      <c r="G1668" t="s">
        <v>21</v>
      </c>
    </row>
    <row r="1669" spans="1:7">
      <c r="A1669">
        <v>1668</v>
      </c>
      <c r="B1669" t="str">
        <f>"011980"</f>
        <v>0</v>
      </c>
      <c r="C1669" t="s">
        <v>3032</v>
      </c>
      <c r="D1669" t="s">
        <v>3033</v>
      </c>
      <c r="E1669" t="str">
        <f>"3410600680933"</f>
        <v>0</v>
      </c>
      <c r="F1669" t="str">
        <f>"000430"</f>
        <v>0</v>
      </c>
      <c r="G1669" t="s">
        <v>21</v>
      </c>
    </row>
    <row r="1670" spans="1:7">
      <c r="A1670">
        <v>1669</v>
      </c>
      <c r="B1670" t="str">
        <f>"012312"</f>
        <v>0</v>
      </c>
      <c r="C1670" t="s">
        <v>3034</v>
      </c>
      <c r="D1670" t="s">
        <v>3035</v>
      </c>
      <c r="E1670" t="str">
        <f>"3440100747036"</f>
        <v>0</v>
      </c>
      <c r="F1670" t="str">
        <f>"000430"</f>
        <v>0</v>
      </c>
      <c r="G1670" t="s">
        <v>21</v>
      </c>
    </row>
    <row r="1671" spans="1:7">
      <c r="A1671">
        <v>1670</v>
      </c>
      <c r="B1671" t="str">
        <f>"012435"</f>
        <v>0</v>
      </c>
      <c r="C1671" t="s">
        <v>3036</v>
      </c>
      <c r="D1671" t="s">
        <v>3037</v>
      </c>
      <c r="E1671" t="str">
        <f>"3401700446143"</f>
        <v>0</v>
      </c>
      <c r="F1671" t="str">
        <f>"000430"</f>
        <v>0</v>
      </c>
      <c r="G1671" t="s">
        <v>21</v>
      </c>
    </row>
    <row r="1672" spans="1:7">
      <c r="A1672">
        <v>1671</v>
      </c>
      <c r="B1672" t="str">
        <f>"012891"</f>
        <v>0</v>
      </c>
      <c r="C1672" t="s">
        <v>3038</v>
      </c>
      <c r="D1672" t="s">
        <v>3039</v>
      </c>
      <c r="E1672" t="str">
        <f>"3400800156103"</f>
        <v>0</v>
      </c>
      <c r="F1672" t="str">
        <f>"000430"</f>
        <v>0</v>
      </c>
      <c r="G1672" t="s">
        <v>21</v>
      </c>
    </row>
    <row r="1673" spans="1:7">
      <c r="A1673">
        <v>1672</v>
      </c>
      <c r="B1673" t="str">
        <f>"013306"</f>
        <v>0</v>
      </c>
      <c r="C1673" t="s">
        <v>3040</v>
      </c>
      <c r="D1673" t="s">
        <v>3041</v>
      </c>
      <c r="E1673" t="str">
        <f>"3409900601743"</f>
        <v>0</v>
      </c>
      <c r="F1673" t="str">
        <f>"000430"</f>
        <v>0</v>
      </c>
      <c r="G1673" t="s">
        <v>21</v>
      </c>
    </row>
    <row r="1674" spans="1:7">
      <c r="A1674">
        <v>1673</v>
      </c>
      <c r="B1674" t="str">
        <f>"013307"</f>
        <v>0</v>
      </c>
      <c r="C1674" t="s">
        <v>3042</v>
      </c>
      <c r="D1674" t="s">
        <v>3043</v>
      </c>
      <c r="E1674" t="str">
        <f>"3440500264288"</f>
        <v>0</v>
      </c>
      <c r="F1674" t="str">
        <f>"000430"</f>
        <v>0</v>
      </c>
      <c r="G1674" t="s">
        <v>21</v>
      </c>
    </row>
    <row r="1675" spans="1:7">
      <c r="A1675">
        <v>1674</v>
      </c>
      <c r="B1675" t="str">
        <f>"013896"</f>
        <v>0</v>
      </c>
      <c r="C1675" t="s">
        <v>68</v>
      </c>
      <c r="D1675" t="s">
        <v>3044</v>
      </c>
      <c r="E1675" t="str">
        <f>"3401800043377"</f>
        <v>0</v>
      </c>
      <c r="F1675" t="str">
        <f>"000430"</f>
        <v>0</v>
      </c>
      <c r="G1675" t="s">
        <v>21</v>
      </c>
    </row>
    <row r="1676" spans="1:7">
      <c r="A1676">
        <v>1675</v>
      </c>
      <c r="B1676" t="str">
        <f>"014071"</f>
        <v>0</v>
      </c>
      <c r="C1676" t="s">
        <v>3045</v>
      </c>
      <c r="D1676" t="s">
        <v>3046</v>
      </c>
      <c r="E1676" t="str">
        <f>"5409999037825"</f>
        <v>0</v>
      </c>
      <c r="F1676" t="str">
        <f>"000430"</f>
        <v>0</v>
      </c>
      <c r="G1676" t="s">
        <v>21</v>
      </c>
    </row>
    <row r="1677" spans="1:7">
      <c r="A1677">
        <v>1676</v>
      </c>
      <c r="B1677" t="str">
        <f>"014439"</f>
        <v>0</v>
      </c>
      <c r="C1677" t="s">
        <v>3047</v>
      </c>
      <c r="D1677" t="s">
        <v>3048</v>
      </c>
      <c r="E1677" t="str">
        <f>"3409900362650"</f>
        <v>0</v>
      </c>
      <c r="F1677" t="str">
        <f>"000430"</f>
        <v>0</v>
      </c>
      <c r="G1677" t="s">
        <v>21</v>
      </c>
    </row>
    <row r="1678" spans="1:7">
      <c r="A1678">
        <v>1677</v>
      </c>
      <c r="B1678" t="str">
        <f>"014542"</f>
        <v>0</v>
      </c>
      <c r="C1678" t="s">
        <v>2463</v>
      </c>
      <c r="D1678" t="s">
        <v>3049</v>
      </c>
      <c r="E1678" t="str">
        <f>"3720100254428"</f>
        <v>0</v>
      </c>
      <c r="F1678" t="str">
        <f>"000430"</f>
        <v>0</v>
      </c>
      <c r="G1678" t="s">
        <v>21</v>
      </c>
    </row>
    <row r="1679" spans="1:7">
      <c r="A1679">
        <v>1678</v>
      </c>
      <c r="B1679" t="str">
        <f>"015423"</f>
        <v>0</v>
      </c>
      <c r="C1679" t="s">
        <v>3050</v>
      </c>
      <c r="D1679" t="s">
        <v>3051</v>
      </c>
      <c r="E1679" t="str">
        <f>"3401300278219"</f>
        <v>0</v>
      </c>
      <c r="F1679" t="str">
        <f>"000430"</f>
        <v>0</v>
      </c>
      <c r="G1679" t="s">
        <v>21</v>
      </c>
    </row>
    <row r="1680" spans="1:7">
      <c r="A1680">
        <v>1679</v>
      </c>
      <c r="B1680" t="str">
        <f>"015519"</f>
        <v>0</v>
      </c>
      <c r="C1680" t="s">
        <v>3052</v>
      </c>
      <c r="D1680" t="s">
        <v>3053</v>
      </c>
      <c r="E1680" t="str">
        <f>"3471201534616"</f>
        <v>0</v>
      </c>
      <c r="F1680" t="str">
        <f>"000430"</f>
        <v>0</v>
      </c>
      <c r="G1680" t="s">
        <v>21</v>
      </c>
    </row>
    <row r="1681" spans="1:7">
      <c r="A1681">
        <v>1680</v>
      </c>
      <c r="B1681" t="str">
        <f>"015525"</f>
        <v>0</v>
      </c>
      <c r="C1681" t="s">
        <v>3054</v>
      </c>
      <c r="D1681" t="s">
        <v>3055</v>
      </c>
      <c r="E1681" t="str">
        <f>"3401700587014"</f>
        <v>0</v>
      </c>
      <c r="F1681" t="str">
        <f>"000430"</f>
        <v>0</v>
      </c>
      <c r="G1681" t="s">
        <v>21</v>
      </c>
    </row>
    <row r="1682" spans="1:7">
      <c r="A1682">
        <v>1681</v>
      </c>
      <c r="B1682" t="str">
        <f>"015770"</f>
        <v>0</v>
      </c>
      <c r="C1682" t="s">
        <v>2094</v>
      </c>
      <c r="D1682" t="s">
        <v>3056</v>
      </c>
      <c r="E1682" t="str">
        <f>"3401200308531"</f>
        <v>0</v>
      </c>
      <c r="F1682" t="str">
        <f>"000430"</f>
        <v>0</v>
      </c>
      <c r="G1682" t="s">
        <v>21</v>
      </c>
    </row>
    <row r="1683" spans="1:7">
      <c r="A1683">
        <v>1682</v>
      </c>
      <c r="B1683" t="str">
        <f>"016001"</f>
        <v>0</v>
      </c>
      <c r="C1683" t="s">
        <v>3057</v>
      </c>
      <c r="D1683" t="s">
        <v>3058</v>
      </c>
      <c r="E1683" t="str">
        <f>"3440300442786"</f>
        <v>0</v>
      </c>
      <c r="F1683" t="str">
        <f>"000430"</f>
        <v>0</v>
      </c>
      <c r="G1683" t="s">
        <v>21</v>
      </c>
    </row>
    <row r="1684" spans="1:7">
      <c r="A1684">
        <v>1683</v>
      </c>
      <c r="B1684" t="str">
        <f>"016016"</f>
        <v>0</v>
      </c>
      <c r="C1684" t="s">
        <v>140</v>
      </c>
      <c r="D1684" t="s">
        <v>3059</v>
      </c>
      <c r="E1684" t="str">
        <f>"3860100765880"</f>
        <v>0</v>
      </c>
      <c r="F1684" t="str">
        <f>"000430"</f>
        <v>0</v>
      </c>
      <c r="G1684" t="s">
        <v>21</v>
      </c>
    </row>
    <row r="1685" spans="1:7">
      <c r="A1685">
        <v>1684</v>
      </c>
      <c r="B1685" t="str">
        <f>"016085"</f>
        <v>0</v>
      </c>
      <c r="C1685" t="s">
        <v>3060</v>
      </c>
      <c r="D1685" t="s">
        <v>3061</v>
      </c>
      <c r="E1685" t="str">
        <f>"3460700627601"</f>
        <v>0</v>
      </c>
      <c r="F1685" t="str">
        <f>"000430"</f>
        <v>0</v>
      </c>
      <c r="G1685" t="s">
        <v>21</v>
      </c>
    </row>
    <row r="1686" spans="1:7">
      <c r="A1686">
        <v>1685</v>
      </c>
      <c r="B1686" t="str">
        <f>"016123"</f>
        <v>0</v>
      </c>
      <c r="C1686" t="s">
        <v>3062</v>
      </c>
      <c r="D1686" t="s">
        <v>3063</v>
      </c>
      <c r="E1686" t="str">
        <f>"3411300830841"</f>
        <v>0</v>
      </c>
      <c r="F1686" t="str">
        <f>"000430"</f>
        <v>0</v>
      </c>
      <c r="G1686" t="s">
        <v>21</v>
      </c>
    </row>
    <row r="1687" spans="1:7">
      <c r="A1687">
        <v>1686</v>
      </c>
      <c r="B1687" t="str">
        <f>"016173"</f>
        <v>0</v>
      </c>
      <c r="C1687" t="s">
        <v>624</v>
      </c>
      <c r="D1687" t="s">
        <v>3064</v>
      </c>
      <c r="E1687" t="str">
        <f>"3400100220071"</f>
        <v>0</v>
      </c>
      <c r="F1687" t="str">
        <f>"000430"</f>
        <v>0</v>
      </c>
      <c r="G1687" t="s">
        <v>21</v>
      </c>
    </row>
    <row r="1688" spans="1:7">
      <c r="A1688">
        <v>1687</v>
      </c>
      <c r="B1688" t="str">
        <f>"016220"</f>
        <v>0</v>
      </c>
      <c r="C1688" t="s">
        <v>3065</v>
      </c>
      <c r="D1688" t="s">
        <v>3066</v>
      </c>
      <c r="E1688" t="str">
        <f>"3401000491863"</f>
        <v>0</v>
      </c>
      <c r="F1688" t="str">
        <f>"000430"</f>
        <v>0</v>
      </c>
      <c r="G1688" t="s">
        <v>21</v>
      </c>
    </row>
    <row r="1689" spans="1:7">
      <c r="A1689">
        <v>1688</v>
      </c>
      <c r="B1689" t="str">
        <f>"016450"</f>
        <v>0</v>
      </c>
      <c r="C1689" t="s">
        <v>655</v>
      </c>
      <c r="D1689" t="s">
        <v>3067</v>
      </c>
      <c r="E1689" t="str">
        <f>"3401400056048"</f>
        <v>0</v>
      </c>
      <c r="F1689" t="str">
        <f>"000430"</f>
        <v>0</v>
      </c>
      <c r="G1689" t="s">
        <v>21</v>
      </c>
    </row>
    <row r="1690" spans="1:7">
      <c r="A1690">
        <v>1689</v>
      </c>
      <c r="B1690" t="str">
        <f>"016674"</f>
        <v>0</v>
      </c>
      <c r="C1690" t="s">
        <v>1988</v>
      </c>
      <c r="D1690" t="s">
        <v>3068</v>
      </c>
      <c r="E1690" t="str">
        <f>"3401600460870"</f>
        <v>0</v>
      </c>
      <c r="F1690" t="str">
        <f>"000430"</f>
        <v>0</v>
      </c>
      <c r="G1690" t="s">
        <v>21</v>
      </c>
    </row>
    <row r="1691" spans="1:7">
      <c r="A1691">
        <v>1690</v>
      </c>
      <c r="B1691" t="str">
        <f>"016796"</f>
        <v>0</v>
      </c>
      <c r="C1691" t="s">
        <v>2335</v>
      </c>
      <c r="D1691" t="s">
        <v>3069</v>
      </c>
      <c r="E1691" t="str">
        <f>"3400100332995"</f>
        <v>0</v>
      </c>
      <c r="F1691" t="str">
        <f>"000430"</f>
        <v>0</v>
      </c>
      <c r="G1691" t="s">
        <v>21</v>
      </c>
    </row>
    <row r="1692" spans="1:7">
      <c r="A1692">
        <v>1691</v>
      </c>
      <c r="B1692" t="str">
        <f>"016898"</f>
        <v>0</v>
      </c>
      <c r="C1692" t="s">
        <v>3070</v>
      </c>
      <c r="D1692" t="s">
        <v>3071</v>
      </c>
      <c r="E1692" t="str">
        <f>"3102001783055"</f>
        <v>0</v>
      </c>
      <c r="F1692" t="str">
        <f>"000430"</f>
        <v>0</v>
      </c>
      <c r="G1692" t="s">
        <v>21</v>
      </c>
    </row>
    <row r="1693" spans="1:7">
      <c r="A1693">
        <v>1692</v>
      </c>
      <c r="B1693" t="str">
        <f>"016899"</f>
        <v>0</v>
      </c>
      <c r="C1693" t="s">
        <v>160</v>
      </c>
      <c r="D1693" t="s">
        <v>3072</v>
      </c>
      <c r="E1693" t="str">
        <f>"3401700819659"</f>
        <v>0</v>
      </c>
      <c r="F1693" t="str">
        <f>"000430"</f>
        <v>0</v>
      </c>
      <c r="G1693" t="s">
        <v>21</v>
      </c>
    </row>
    <row r="1694" spans="1:7">
      <c r="A1694">
        <v>1693</v>
      </c>
      <c r="B1694" t="str">
        <f>"017564"</f>
        <v>0</v>
      </c>
      <c r="C1694" t="s">
        <v>3073</v>
      </c>
      <c r="D1694" t="s">
        <v>3074</v>
      </c>
      <c r="E1694" t="str">
        <f>"3400100615776"</f>
        <v>0</v>
      </c>
      <c r="F1694" t="str">
        <f>"000430"</f>
        <v>0</v>
      </c>
      <c r="G1694" t="s">
        <v>21</v>
      </c>
    </row>
    <row r="1695" spans="1:7">
      <c r="A1695">
        <v>1694</v>
      </c>
      <c r="B1695" t="str">
        <f>"017604"</f>
        <v>0</v>
      </c>
      <c r="C1695" t="s">
        <v>837</v>
      </c>
      <c r="D1695" t="s">
        <v>3075</v>
      </c>
      <c r="E1695" t="str">
        <f>"3401400051283"</f>
        <v>0</v>
      </c>
      <c r="F1695" t="str">
        <f>"000430"</f>
        <v>0</v>
      </c>
      <c r="G1695" t="s">
        <v>21</v>
      </c>
    </row>
    <row r="1696" spans="1:7">
      <c r="A1696">
        <v>1695</v>
      </c>
      <c r="B1696" t="str">
        <f>"017748"</f>
        <v>0</v>
      </c>
      <c r="C1696" t="s">
        <v>352</v>
      </c>
      <c r="D1696" t="s">
        <v>3076</v>
      </c>
      <c r="E1696" t="str">
        <f>"3409900315180"</f>
        <v>0</v>
      </c>
      <c r="F1696" t="str">
        <f>"000430"</f>
        <v>0</v>
      </c>
      <c r="G1696" t="s">
        <v>21</v>
      </c>
    </row>
    <row r="1697" spans="1:7">
      <c r="A1697">
        <v>1696</v>
      </c>
      <c r="B1697" t="str">
        <f>"018248"</f>
        <v>0</v>
      </c>
      <c r="C1697" t="s">
        <v>215</v>
      </c>
      <c r="D1697" t="s">
        <v>3077</v>
      </c>
      <c r="E1697" t="str">
        <f>"3400101523077"</f>
        <v>0</v>
      </c>
      <c r="F1697" t="str">
        <f>"000430"</f>
        <v>0</v>
      </c>
      <c r="G1697" t="s">
        <v>21</v>
      </c>
    </row>
    <row r="1698" spans="1:7">
      <c r="A1698">
        <v>1697</v>
      </c>
      <c r="B1698" t="str">
        <f>"018441"</f>
        <v>0</v>
      </c>
      <c r="C1698" t="s">
        <v>3078</v>
      </c>
      <c r="D1698" t="s">
        <v>3079</v>
      </c>
      <c r="E1698" t="str">
        <f>"3300400669236"</f>
        <v>0</v>
      </c>
      <c r="F1698" t="str">
        <f>"000430"</f>
        <v>0</v>
      </c>
      <c r="G1698" t="s">
        <v>21</v>
      </c>
    </row>
    <row r="1699" spans="1:7">
      <c r="A1699">
        <v>1698</v>
      </c>
      <c r="B1699" t="str">
        <f>"018485"</f>
        <v>0</v>
      </c>
      <c r="C1699" t="s">
        <v>3080</v>
      </c>
      <c r="D1699" t="s">
        <v>3081</v>
      </c>
      <c r="E1699" t="str">
        <f>"3401700293894"</f>
        <v>0</v>
      </c>
      <c r="F1699" t="str">
        <f>"000430"</f>
        <v>0</v>
      </c>
      <c r="G1699" t="s">
        <v>21</v>
      </c>
    </row>
    <row r="1700" spans="1:7">
      <c r="A1700">
        <v>1699</v>
      </c>
      <c r="B1700" t="str">
        <f>"018888"</f>
        <v>0</v>
      </c>
      <c r="C1700" t="s">
        <v>3082</v>
      </c>
      <c r="D1700" t="s">
        <v>3083</v>
      </c>
      <c r="E1700" t="str">
        <f>"3450101632631"</f>
        <v>0</v>
      </c>
      <c r="F1700" t="str">
        <f>"000430"</f>
        <v>0</v>
      </c>
      <c r="G1700" t="s">
        <v>21</v>
      </c>
    </row>
    <row r="1701" spans="1:7">
      <c r="A1701">
        <v>1700</v>
      </c>
      <c r="B1701" t="str">
        <f>"019222"</f>
        <v>0</v>
      </c>
      <c r="C1701" t="s">
        <v>3084</v>
      </c>
      <c r="D1701" t="s">
        <v>3085</v>
      </c>
      <c r="E1701" t="str">
        <f>"3199900363918"</f>
        <v>0</v>
      </c>
      <c r="F1701" t="str">
        <f>"000430"</f>
        <v>0</v>
      </c>
      <c r="G1701" t="s">
        <v>21</v>
      </c>
    </row>
    <row r="1702" spans="1:7">
      <c r="A1702">
        <v>1701</v>
      </c>
      <c r="B1702" t="str">
        <f>"019499"</f>
        <v>0</v>
      </c>
      <c r="C1702" t="s">
        <v>3086</v>
      </c>
      <c r="D1702" t="s">
        <v>3087</v>
      </c>
      <c r="E1702" t="str">
        <f>"3400101247614"</f>
        <v>0</v>
      </c>
      <c r="F1702" t="str">
        <f>"000430"</f>
        <v>0</v>
      </c>
      <c r="G1702" t="s">
        <v>21</v>
      </c>
    </row>
    <row r="1703" spans="1:7">
      <c r="A1703">
        <v>1702</v>
      </c>
      <c r="B1703" t="str">
        <f>"020148"</f>
        <v>0</v>
      </c>
      <c r="C1703" t="s">
        <v>3088</v>
      </c>
      <c r="D1703" t="s">
        <v>3089</v>
      </c>
      <c r="E1703" t="str">
        <f>"3400700181793"</f>
        <v>0</v>
      </c>
      <c r="F1703" t="str">
        <f>"000430"</f>
        <v>0</v>
      </c>
      <c r="G1703" t="s">
        <v>21</v>
      </c>
    </row>
    <row r="1704" spans="1:7">
      <c r="A1704">
        <v>1703</v>
      </c>
      <c r="B1704" t="str">
        <f>"020270"</f>
        <v>0</v>
      </c>
      <c r="C1704" t="s">
        <v>3090</v>
      </c>
      <c r="D1704" t="s">
        <v>3066</v>
      </c>
      <c r="E1704" t="str">
        <f>"3400700146297"</f>
        <v>0</v>
      </c>
      <c r="F1704" t="str">
        <f>"000430"</f>
        <v>0</v>
      </c>
      <c r="G1704" t="s">
        <v>21</v>
      </c>
    </row>
    <row r="1705" spans="1:7">
      <c r="A1705">
        <v>1704</v>
      </c>
      <c r="B1705" t="str">
        <f>"020272"</f>
        <v>0</v>
      </c>
      <c r="C1705" t="s">
        <v>3091</v>
      </c>
      <c r="D1705" t="s">
        <v>3092</v>
      </c>
      <c r="E1705" t="str">
        <f>"3409900511400"</f>
        <v>0</v>
      </c>
      <c r="F1705" t="str">
        <f>"000430"</f>
        <v>0</v>
      </c>
      <c r="G1705" t="s">
        <v>21</v>
      </c>
    </row>
    <row r="1706" spans="1:7">
      <c r="A1706">
        <v>1705</v>
      </c>
      <c r="B1706" t="str">
        <f>"020337"</f>
        <v>0</v>
      </c>
      <c r="C1706" t="s">
        <v>3093</v>
      </c>
      <c r="D1706" t="s">
        <v>3094</v>
      </c>
      <c r="E1706" t="str">
        <f>"3400100405631"</f>
        <v>0</v>
      </c>
      <c r="F1706" t="str">
        <f>"000430"</f>
        <v>0</v>
      </c>
      <c r="G1706" t="s">
        <v>21</v>
      </c>
    </row>
    <row r="1707" spans="1:7">
      <c r="A1707">
        <v>1706</v>
      </c>
      <c r="B1707" t="str">
        <f>"020409"</f>
        <v>0</v>
      </c>
      <c r="C1707" t="s">
        <v>3095</v>
      </c>
      <c r="D1707" t="s">
        <v>3096</v>
      </c>
      <c r="E1707" t="str">
        <f>"3400500351776"</f>
        <v>0</v>
      </c>
      <c r="F1707" t="str">
        <f>"000430"</f>
        <v>0</v>
      </c>
      <c r="G1707" t="s">
        <v>21</v>
      </c>
    </row>
    <row r="1708" spans="1:7">
      <c r="A1708">
        <v>1707</v>
      </c>
      <c r="B1708" t="str">
        <f>"020471"</f>
        <v>0</v>
      </c>
      <c r="C1708" t="s">
        <v>3097</v>
      </c>
      <c r="D1708" t="s">
        <v>3098</v>
      </c>
      <c r="E1708" t="str">
        <f>"3400100457569"</f>
        <v>0</v>
      </c>
      <c r="F1708" t="str">
        <f>"000430"</f>
        <v>0</v>
      </c>
      <c r="G1708" t="s">
        <v>21</v>
      </c>
    </row>
    <row r="1709" spans="1:7">
      <c r="A1709">
        <v>1708</v>
      </c>
      <c r="B1709" t="str">
        <f>"020563"</f>
        <v>0</v>
      </c>
      <c r="C1709" t="s">
        <v>3099</v>
      </c>
      <c r="D1709" t="s">
        <v>3100</v>
      </c>
      <c r="E1709" t="str">
        <f>"3401400192057"</f>
        <v>0</v>
      </c>
      <c r="F1709" t="str">
        <f>"000430"</f>
        <v>0</v>
      </c>
      <c r="G1709" t="s">
        <v>21</v>
      </c>
    </row>
    <row r="1710" spans="1:7">
      <c r="A1710">
        <v>1709</v>
      </c>
      <c r="B1710" t="str">
        <f>"020810"</f>
        <v>0</v>
      </c>
      <c r="C1710" t="s">
        <v>3101</v>
      </c>
      <c r="D1710" t="s">
        <v>3102</v>
      </c>
      <c r="E1710" t="str">
        <f>"3400100377646"</f>
        <v>0</v>
      </c>
      <c r="F1710" t="str">
        <f>"000430"</f>
        <v>0</v>
      </c>
      <c r="G1710" t="s">
        <v>21</v>
      </c>
    </row>
    <row r="1711" spans="1:7">
      <c r="A1711">
        <v>1710</v>
      </c>
      <c r="B1711" t="str">
        <f>"020978"</f>
        <v>0</v>
      </c>
      <c r="C1711" t="s">
        <v>3103</v>
      </c>
      <c r="D1711" t="s">
        <v>3104</v>
      </c>
      <c r="E1711" t="str">
        <f>"3409800026372"</f>
        <v>0</v>
      </c>
      <c r="F1711" t="str">
        <f>"000430"</f>
        <v>0</v>
      </c>
      <c r="G1711" t="s">
        <v>21</v>
      </c>
    </row>
    <row r="1712" spans="1:7">
      <c r="A1712">
        <v>1711</v>
      </c>
      <c r="B1712" t="str">
        <f>"021115"</f>
        <v>0</v>
      </c>
      <c r="C1712" t="s">
        <v>3105</v>
      </c>
      <c r="D1712" t="s">
        <v>3106</v>
      </c>
      <c r="E1712" t="str">
        <f>"3409900073011"</f>
        <v>0</v>
      </c>
      <c r="F1712" t="str">
        <f>"000430"</f>
        <v>0</v>
      </c>
      <c r="G1712" t="s">
        <v>21</v>
      </c>
    </row>
    <row r="1713" spans="1:7">
      <c r="A1713">
        <v>1712</v>
      </c>
      <c r="B1713" t="str">
        <f>"021185"</f>
        <v>0</v>
      </c>
      <c r="C1713" t="s">
        <v>2987</v>
      </c>
      <c r="D1713" t="s">
        <v>3107</v>
      </c>
      <c r="E1713" t="str">
        <f>"5700600003790"</f>
        <v>0</v>
      </c>
      <c r="F1713" t="str">
        <f>"000430"</f>
        <v>0</v>
      </c>
      <c r="G1713" t="s">
        <v>21</v>
      </c>
    </row>
    <row r="1714" spans="1:7">
      <c r="A1714">
        <v>1713</v>
      </c>
      <c r="B1714" t="str">
        <f>"021272"</f>
        <v>0</v>
      </c>
      <c r="C1714" t="s">
        <v>3108</v>
      </c>
      <c r="D1714" t="s">
        <v>3109</v>
      </c>
      <c r="E1714" t="str">
        <f>"3400100552243"</f>
        <v>0</v>
      </c>
      <c r="F1714" t="str">
        <f>"000430"</f>
        <v>0</v>
      </c>
      <c r="G1714" t="s">
        <v>21</v>
      </c>
    </row>
    <row r="1715" spans="1:7">
      <c r="A1715">
        <v>1714</v>
      </c>
      <c r="B1715" t="str">
        <f>"021378"</f>
        <v>0</v>
      </c>
      <c r="C1715" t="s">
        <v>3110</v>
      </c>
      <c r="D1715" t="s">
        <v>3111</v>
      </c>
      <c r="E1715" t="str">
        <f>"3401400335885"</f>
        <v>0</v>
      </c>
      <c r="F1715" t="str">
        <f>"000430"</f>
        <v>0</v>
      </c>
      <c r="G1715" t="s">
        <v>21</v>
      </c>
    </row>
    <row r="1716" spans="1:7">
      <c r="A1716">
        <v>1715</v>
      </c>
      <c r="B1716" t="str">
        <f>"021445"</f>
        <v>0</v>
      </c>
      <c r="C1716" t="s">
        <v>3112</v>
      </c>
      <c r="D1716" t="s">
        <v>3113</v>
      </c>
      <c r="E1716" t="str">
        <f>"3100200813572"</f>
        <v>0</v>
      </c>
      <c r="F1716" t="str">
        <f>"000430"</f>
        <v>0</v>
      </c>
      <c r="G1716" t="s">
        <v>21</v>
      </c>
    </row>
    <row r="1717" spans="1:7">
      <c r="A1717">
        <v>1716</v>
      </c>
      <c r="B1717" t="str">
        <f>"021485"</f>
        <v>0</v>
      </c>
      <c r="C1717" t="s">
        <v>3114</v>
      </c>
      <c r="D1717" t="s">
        <v>3115</v>
      </c>
      <c r="E1717" t="str">
        <f>"3401000667341"</f>
        <v>0</v>
      </c>
      <c r="F1717" t="str">
        <f>"000430"</f>
        <v>0</v>
      </c>
      <c r="G1717" t="s">
        <v>21</v>
      </c>
    </row>
    <row r="1718" spans="1:7">
      <c r="A1718">
        <v>1717</v>
      </c>
      <c r="B1718" t="str">
        <f>"021627"</f>
        <v>0</v>
      </c>
      <c r="C1718" t="s">
        <v>3116</v>
      </c>
      <c r="D1718" t="s">
        <v>3117</v>
      </c>
      <c r="E1718" t="str">
        <f>"3450900292491"</f>
        <v>0</v>
      </c>
      <c r="F1718" t="str">
        <f>"000430"</f>
        <v>0</v>
      </c>
      <c r="G1718" t="s">
        <v>21</v>
      </c>
    </row>
    <row r="1719" spans="1:7">
      <c r="A1719">
        <v>1718</v>
      </c>
      <c r="B1719" t="str">
        <f>"021845"</f>
        <v>0</v>
      </c>
      <c r="C1719" t="s">
        <v>3118</v>
      </c>
      <c r="D1719" t="s">
        <v>3119</v>
      </c>
      <c r="E1719" t="str">
        <f>"3459900154275"</f>
        <v>0</v>
      </c>
      <c r="F1719" t="str">
        <f>"000430"</f>
        <v>0</v>
      </c>
      <c r="G1719" t="s">
        <v>21</v>
      </c>
    </row>
    <row r="1720" spans="1:7">
      <c r="A1720">
        <v>1719</v>
      </c>
      <c r="B1720" t="str">
        <f>"021851"</f>
        <v>0</v>
      </c>
      <c r="C1720" t="s">
        <v>3120</v>
      </c>
      <c r="D1720" t="s">
        <v>3121</v>
      </c>
      <c r="E1720" t="str">
        <f>"3401700003501"</f>
        <v>0</v>
      </c>
      <c r="F1720" t="str">
        <f>"000430"</f>
        <v>0</v>
      </c>
      <c r="G1720" t="s">
        <v>21</v>
      </c>
    </row>
    <row r="1721" spans="1:7">
      <c r="A1721">
        <v>1720</v>
      </c>
      <c r="B1721" t="str">
        <f>"021879"</f>
        <v>0</v>
      </c>
      <c r="C1721" t="s">
        <v>3122</v>
      </c>
      <c r="D1721" t="s">
        <v>3123</v>
      </c>
      <c r="E1721" t="str">
        <f>"3409900345259"</f>
        <v>0</v>
      </c>
      <c r="F1721" t="str">
        <f>"000430"</f>
        <v>0</v>
      </c>
      <c r="G1721" t="s">
        <v>21</v>
      </c>
    </row>
    <row r="1722" spans="1:7">
      <c r="A1722">
        <v>1721</v>
      </c>
      <c r="B1722" t="str">
        <f>"021908"</f>
        <v>0</v>
      </c>
      <c r="C1722" t="s">
        <v>1265</v>
      </c>
      <c r="D1722" t="s">
        <v>3124</v>
      </c>
      <c r="E1722" t="str">
        <f>"3401100041410"</f>
        <v>0</v>
      </c>
      <c r="F1722" t="str">
        <f>"000430"</f>
        <v>0</v>
      </c>
      <c r="G1722" t="s">
        <v>21</v>
      </c>
    </row>
    <row r="1723" spans="1:7">
      <c r="A1723">
        <v>1722</v>
      </c>
      <c r="B1723" t="str">
        <f>"021909"</f>
        <v>0</v>
      </c>
      <c r="C1723" t="s">
        <v>3125</v>
      </c>
      <c r="D1723" t="s">
        <v>3126</v>
      </c>
      <c r="E1723" t="str">
        <f>"3401500288951"</f>
        <v>0</v>
      </c>
      <c r="F1723" t="str">
        <f>"000430"</f>
        <v>0</v>
      </c>
      <c r="G1723" t="s">
        <v>21</v>
      </c>
    </row>
    <row r="1724" spans="1:7">
      <c r="A1724">
        <v>1723</v>
      </c>
      <c r="B1724" t="str">
        <f>"022212"</f>
        <v>0</v>
      </c>
      <c r="C1724" t="s">
        <v>3127</v>
      </c>
      <c r="D1724" t="s">
        <v>3128</v>
      </c>
      <c r="E1724" t="str">
        <f>"3400101498897"</f>
        <v>0</v>
      </c>
      <c r="F1724" t="str">
        <f>"000430"</f>
        <v>0</v>
      </c>
      <c r="G1724" t="s">
        <v>21</v>
      </c>
    </row>
    <row r="1725" spans="1:7">
      <c r="A1725">
        <v>1724</v>
      </c>
      <c r="B1725" t="str">
        <f>"022240"</f>
        <v>0</v>
      </c>
      <c r="C1725" t="s">
        <v>3129</v>
      </c>
      <c r="D1725" t="s">
        <v>3130</v>
      </c>
      <c r="E1725" t="str">
        <f>"3400101200871"</f>
        <v>0</v>
      </c>
      <c r="F1725" t="str">
        <f>"000430"</f>
        <v>0</v>
      </c>
      <c r="G1725" t="s">
        <v>21</v>
      </c>
    </row>
    <row r="1726" spans="1:7">
      <c r="A1726">
        <v>1725</v>
      </c>
      <c r="B1726" t="str">
        <f>"022321"</f>
        <v>0</v>
      </c>
      <c r="C1726" t="s">
        <v>3131</v>
      </c>
      <c r="D1726" t="s">
        <v>3132</v>
      </c>
      <c r="E1726" t="str">
        <f>"3401400195714"</f>
        <v>0</v>
      </c>
      <c r="F1726" t="str">
        <f>"000430"</f>
        <v>0</v>
      </c>
      <c r="G1726" t="s">
        <v>21</v>
      </c>
    </row>
    <row r="1727" spans="1:7">
      <c r="A1727">
        <v>1726</v>
      </c>
      <c r="B1727" t="str">
        <f>"022514"</f>
        <v>0</v>
      </c>
      <c r="C1727" t="s">
        <v>3133</v>
      </c>
      <c r="D1727" t="s">
        <v>3134</v>
      </c>
      <c r="E1727" t="str">
        <f>"5400700036935"</f>
        <v>0</v>
      </c>
      <c r="F1727" t="str">
        <f>"000430"</f>
        <v>0</v>
      </c>
      <c r="G1727" t="s">
        <v>21</v>
      </c>
    </row>
    <row r="1728" spans="1:7">
      <c r="A1728">
        <v>1727</v>
      </c>
      <c r="B1728" t="str">
        <f>"022723"</f>
        <v>0</v>
      </c>
      <c r="C1728" t="s">
        <v>3135</v>
      </c>
      <c r="D1728" t="s">
        <v>3136</v>
      </c>
      <c r="E1728" t="str">
        <f>"3400600047068"</f>
        <v>0</v>
      </c>
      <c r="F1728" t="str">
        <f>"000430"</f>
        <v>0</v>
      </c>
      <c r="G1728" t="s">
        <v>21</v>
      </c>
    </row>
    <row r="1729" spans="1:7">
      <c r="A1729">
        <v>1728</v>
      </c>
      <c r="B1729" t="str">
        <f>"022928"</f>
        <v>0</v>
      </c>
      <c r="C1729" t="s">
        <v>3137</v>
      </c>
      <c r="D1729" t="s">
        <v>3138</v>
      </c>
      <c r="E1729" t="str">
        <f>"3401500210073"</f>
        <v>0</v>
      </c>
      <c r="F1729" t="str">
        <f>"000430"</f>
        <v>0</v>
      </c>
      <c r="G1729" t="s">
        <v>21</v>
      </c>
    </row>
    <row r="1730" spans="1:7">
      <c r="A1730">
        <v>1729</v>
      </c>
      <c r="B1730" t="str">
        <f>"023019"</f>
        <v>0</v>
      </c>
      <c r="C1730" t="s">
        <v>3139</v>
      </c>
      <c r="D1730" t="s">
        <v>3140</v>
      </c>
      <c r="E1730" t="str">
        <f>"3401500473431"</f>
        <v>0</v>
      </c>
      <c r="F1730" t="str">
        <f>"000430"</f>
        <v>0</v>
      </c>
      <c r="G1730" t="s">
        <v>21</v>
      </c>
    </row>
    <row r="1731" spans="1:7">
      <c r="A1731">
        <v>1730</v>
      </c>
      <c r="B1731" t="str">
        <f>"023107"</f>
        <v>0</v>
      </c>
      <c r="C1731" t="s">
        <v>3141</v>
      </c>
      <c r="D1731" t="s">
        <v>3142</v>
      </c>
      <c r="E1731" t="str">
        <f>"1600100034210"</f>
        <v>0</v>
      </c>
      <c r="F1731" t="str">
        <f>"000430"</f>
        <v>0</v>
      </c>
      <c r="G1731" t="s">
        <v>21</v>
      </c>
    </row>
    <row r="1732" spans="1:7">
      <c r="A1732">
        <v>1731</v>
      </c>
      <c r="B1732" t="str">
        <f>"023749"</f>
        <v>0</v>
      </c>
      <c r="C1732" t="s">
        <v>460</v>
      </c>
      <c r="D1732" t="s">
        <v>3143</v>
      </c>
      <c r="E1732" t="str">
        <f>"3470101175176"</f>
        <v>0</v>
      </c>
      <c r="F1732" t="str">
        <f>"000430"</f>
        <v>0</v>
      </c>
      <c r="G1732" t="s">
        <v>21</v>
      </c>
    </row>
    <row r="1733" spans="1:7">
      <c r="A1733">
        <v>1732</v>
      </c>
      <c r="B1733" t="str">
        <f>"023792"</f>
        <v>0</v>
      </c>
      <c r="C1733" t="s">
        <v>250</v>
      </c>
      <c r="D1733" t="s">
        <v>3144</v>
      </c>
      <c r="E1733" t="str">
        <f>"3400100778713"</f>
        <v>0</v>
      </c>
      <c r="F1733" t="str">
        <f>"000430"</f>
        <v>0</v>
      </c>
      <c r="G1733" t="s">
        <v>21</v>
      </c>
    </row>
    <row r="1734" spans="1:7">
      <c r="A1734">
        <v>1733</v>
      </c>
      <c r="B1734" t="str">
        <f>"023812"</f>
        <v>0</v>
      </c>
      <c r="C1734" t="s">
        <v>3145</v>
      </c>
      <c r="D1734" t="s">
        <v>3146</v>
      </c>
      <c r="E1734" t="str">
        <f>"3409900105011"</f>
        <v>0</v>
      </c>
      <c r="F1734" t="str">
        <f>"000430"</f>
        <v>0</v>
      </c>
      <c r="G1734" t="s">
        <v>21</v>
      </c>
    </row>
    <row r="1735" spans="1:7">
      <c r="A1735">
        <v>1734</v>
      </c>
      <c r="B1735" t="str">
        <f>"023861"</f>
        <v>0</v>
      </c>
      <c r="C1735" t="s">
        <v>3147</v>
      </c>
      <c r="D1735" t="s">
        <v>3148</v>
      </c>
      <c r="E1735" t="str">
        <f>"3330401629505"</f>
        <v>0</v>
      </c>
      <c r="F1735" t="str">
        <f>"000430"</f>
        <v>0</v>
      </c>
      <c r="G1735" t="s">
        <v>21</v>
      </c>
    </row>
    <row r="1736" spans="1:7">
      <c r="A1736">
        <v>1735</v>
      </c>
      <c r="B1736" t="str">
        <f>"024041"</f>
        <v>0</v>
      </c>
      <c r="C1736" t="s">
        <v>1903</v>
      </c>
      <c r="D1736" t="s">
        <v>3149</v>
      </c>
      <c r="E1736" t="str">
        <f>"1101500136279"</f>
        <v>0</v>
      </c>
      <c r="F1736" t="str">
        <f>"000430"</f>
        <v>0</v>
      </c>
      <c r="G1736" t="s">
        <v>21</v>
      </c>
    </row>
    <row r="1737" spans="1:7">
      <c r="A1737">
        <v>1736</v>
      </c>
      <c r="B1737" t="str">
        <f>"024105"</f>
        <v>0</v>
      </c>
      <c r="C1737" t="s">
        <v>3150</v>
      </c>
      <c r="D1737" t="s">
        <v>3151</v>
      </c>
      <c r="E1737" t="str">
        <f>"3409900306687"</f>
        <v>0</v>
      </c>
      <c r="F1737" t="str">
        <f>"000430"</f>
        <v>0</v>
      </c>
      <c r="G1737" t="s">
        <v>21</v>
      </c>
    </row>
    <row r="1738" spans="1:7">
      <c r="A1738">
        <v>1737</v>
      </c>
      <c r="B1738" t="str">
        <f>"024170"</f>
        <v>0</v>
      </c>
      <c r="C1738" t="s">
        <v>2204</v>
      </c>
      <c r="D1738" t="s">
        <v>3152</v>
      </c>
      <c r="E1738" t="str">
        <f>"1409900390011"</f>
        <v>0</v>
      </c>
      <c r="F1738" t="str">
        <f>"000430"</f>
        <v>0</v>
      </c>
      <c r="G1738" t="s">
        <v>21</v>
      </c>
    </row>
    <row r="1739" spans="1:7">
      <c r="A1739">
        <v>1738</v>
      </c>
      <c r="B1739" t="str">
        <f>"024321"</f>
        <v>0</v>
      </c>
      <c r="C1739" t="s">
        <v>3153</v>
      </c>
      <c r="D1739" t="s">
        <v>3154</v>
      </c>
      <c r="E1739" t="str">
        <f>"1450200096791"</f>
        <v>0</v>
      </c>
      <c r="F1739" t="str">
        <f>"000430"</f>
        <v>0</v>
      </c>
      <c r="G1739" t="s">
        <v>21</v>
      </c>
    </row>
    <row r="1740" spans="1:7">
      <c r="A1740">
        <v>1739</v>
      </c>
      <c r="B1740" t="str">
        <f>"024325"</f>
        <v>0</v>
      </c>
      <c r="C1740" t="s">
        <v>3155</v>
      </c>
      <c r="D1740" t="s">
        <v>3156</v>
      </c>
      <c r="E1740" t="str">
        <f>"2401800019176"</f>
        <v>0</v>
      </c>
      <c r="F1740" t="str">
        <f>"000430"</f>
        <v>0</v>
      </c>
      <c r="G1740" t="s">
        <v>21</v>
      </c>
    </row>
    <row r="1741" spans="1:7">
      <c r="A1741">
        <v>1740</v>
      </c>
      <c r="B1741" t="str">
        <f>"024592"</f>
        <v>0</v>
      </c>
      <c r="C1741" t="s">
        <v>3157</v>
      </c>
      <c r="D1741" t="s">
        <v>3158</v>
      </c>
      <c r="E1741" t="str">
        <f>"3460800136234"</f>
        <v>0</v>
      </c>
      <c r="F1741" t="str">
        <f>"000430"</f>
        <v>0</v>
      </c>
      <c r="G1741" t="s">
        <v>21</v>
      </c>
    </row>
    <row r="1742" spans="1:7">
      <c r="A1742">
        <v>1741</v>
      </c>
      <c r="B1742" t="str">
        <f>"024895"</f>
        <v>0</v>
      </c>
      <c r="C1742" t="s">
        <v>2702</v>
      </c>
      <c r="D1742" t="s">
        <v>3159</v>
      </c>
      <c r="E1742" t="str">
        <f>"3401300214733"</f>
        <v>0</v>
      </c>
      <c r="F1742" t="str">
        <f>"000430"</f>
        <v>0</v>
      </c>
      <c r="G1742" t="s">
        <v>21</v>
      </c>
    </row>
    <row r="1743" spans="1:7">
      <c r="A1743">
        <v>1742</v>
      </c>
      <c r="B1743" t="str">
        <f>"024923"</f>
        <v>0</v>
      </c>
      <c r="C1743" t="s">
        <v>3160</v>
      </c>
      <c r="D1743" t="s">
        <v>3161</v>
      </c>
      <c r="E1743" t="str">
        <f>"1409999008857"</f>
        <v>0</v>
      </c>
      <c r="F1743" t="str">
        <f>"000430"</f>
        <v>0</v>
      </c>
      <c r="G1743" t="s">
        <v>21</v>
      </c>
    </row>
    <row r="1744" spans="1:7">
      <c r="A1744">
        <v>1743</v>
      </c>
      <c r="B1744" t="str">
        <f>"025030"</f>
        <v>0</v>
      </c>
      <c r="C1744" t="s">
        <v>3162</v>
      </c>
      <c r="D1744" t="s">
        <v>3163</v>
      </c>
      <c r="E1744" t="str">
        <f>"1409900697141"</f>
        <v>0</v>
      </c>
      <c r="F1744" t="str">
        <f>"000430"</f>
        <v>0</v>
      </c>
      <c r="G1744" t="s">
        <v>21</v>
      </c>
    </row>
    <row r="1745" spans="1:7">
      <c r="A1745">
        <v>1744</v>
      </c>
      <c r="B1745" t="str">
        <f>"025088"</f>
        <v>0</v>
      </c>
      <c r="C1745" t="s">
        <v>3164</v>
      </c>
      <c r="D1745" t="s">
        <v>3165</v>
      </c>
      <c r="E1745" t="str">
        <f>"3410400634407"</f>
        <v>0</v>
      </c>
      <c r="F1745" t="str">
        <f>"000430"</f>
        <v>0</v>
      </c>
      <c r="G1745" t="s">
        <v>21</v>
      </c>
    </row>
    <row r="1746" spans="1:7">
      <c r="A1746">
        <v>1745</v>
      </c>
      <c r="B1746" t="str">
        <f>"025232"</f>
        <v>0</v>
      </c>
      <c r="C1746" t="s">
        <v>2517</v>
      </c>
      <c r="D1746" t="s">
        <v>3166</v>
      </c>
      <c r="E1746" t="str">
        <f>"3400100568042"</f>
        <v>0</v>
      </c>
      <c r="F1746" t="str">
        <f>"000430"</f>
        <v>0</v>
      </c>
      <c r="G1746" t="s">
        <v>21</v>
      </c>
    </row>
    <row r="1747" spans="1:7">
      <c r="A1747">
        <v>1746</v>
      </c>
      <c r="B1747" t="str">
        <f>"025233"</f>
        <v>0</v>
      </c>
      <c r="C1747" t="s">
        <v>3167</v>
      </c>
      <c r="D1747" t="s">
        <v>3168</v>
      </c>
      <c r="E1747" t="str">
        <f>"3400100634851"</f>
        <v>0</v>
      </c>
      <c r="F1747" t="str">
        <f>"000430"</f>
        <v>0</v>
      </c>
      <c r="G1747" t="s">
        <v>21</v>
      </c>
    </row>
    <row r="1748" spans="1:7">
      <c r="A1748">
        <v>1747</v>
      </c>
      <c r="B1748" t="str">
        <f>"025235"</f>
        <v>0</v>
      </c>
      <c r="C1748" t="s">
        <v>3169</v>
      </c>
      <c r="D1748" t="s">
        <v>3170</v>
      </c>
      <c r="E1748" t="str">
        <f>"3400600268552"</f>
        <v>0</v>
      </c>
      <c r="F1748" t="str">
        <f>"000430"</f>
        <v>0</v>
      </c>
      <c r="G1748" t="s">
        <v>21</v>
      </c>
    </row>
    <row r="1749" spans="1:7">
      <c r="A1749">
        <v>1748</v>
      </c>
      <c r="B1749" t="str">
        <f>"025453"</f>
        <v>0</v>
      </c>
      <c r="C1749" t="s">
        <v>3171</v>
      </c>
      <c r="D1749" t="s">
        <v>3172</v>
      </c>
      <c r="E1749" t="str">
        <f>"3300400716293"</f>
        <v>0</v>
      </c>
      <c r="F1749" t="str">
        <f>"000430"</f>
        <v>0</v>
      </c>
      <c r="G1749" t="s">
        <v>21</v>
      </c>
    </row>
    <row r="1750" spans="1:7">
      <c r="A1750">
        <v>1749</v>
      </c>
      <c r="B1750" t="str">
        <f>"025529"</f>
        <v>0</v>
      </c>
      <c r="C1750" t="s">
        <v>3173</v>
      </c>
      <c r="D1750" t="s">
        <v>3174</v>
      </c>
      <c r="E1750" t="str">
        <f>"1409800241137"</f>
        <v>0</v>
      </c>
      <c r="F1750" t="str">
        <f>"000430"</f>
        <v>0</v>
      </c>
      <c r="G1750" t="s">
        <v>21</v>
      </c>
    </row>
    <row r="1751" spans="1:7">
      <c r="A1751">
        <v>1750</v>
      </c>
      <c r="B1751" t="str">
        <f>"025577"</f>
        <v>0</v>
      </c>
      <c r="C1751" t="s">
        <v>1896</v>
      </c>
      <c r="D1751" t="s">
        <v>3175</v>
      </c>
      <c r="E1751" t="str">
        <f>"3400500492205"</f>
        <v>0</v>
      </c>
      <c r="F1751" t="str">
        <f>"000430"</f>
        <v>0</v>
      </c>
      <c r="G1751" t="s">
        <v>21</v>
      </c>
    </row>
    <row r="1752" spans="1:7">
      <c r="A1752">
        <v>1751</v>
      </c>
      <c r="B1752" t="str">
        <f>"025681"</f>
        <v>0</v>
      </c>
      <c r="C1752" t="s">
        <v>3176</v>
      </c>
      <c r="D1752" t="s">
        <v>3177</v>
      </c>
      <c r="E1752" t="str">
        <f>"1409800114500"</f>
        <v>0</v>
      </c>
      <c r="F1752" t="str">
        <f>"000430"</f>
        <v>0</v>
      </c>
      <c r="G1752" t="s">
        <v>21</v>
      </c>
    </row>
    <row r="1753" spans="1:7">
      <c r="A1753">
        <v>1752</v>
      </c>
      <c r="B1753" t="str">
        <f>"025684"</f>
        <v>0</v>
      </c>
      <c r="C1753" t="s">
        <v>3178</v>
      </c>
      <c r="D1753" t="s">
        <v>3179</v>
      </c>
      <c r="E1753" t="str">
        <f>"1361000086734"</f>
        <v>0</v>
      </c>
      <c r="F1753" t="str">
        <f>"000430"</f>
        <v>0</v>
      </c>
      <c r="G1753" t="s">
        <v>21</v>
      </c>
    </row>
    <row r="1754" spans="1:7">
      <c r="A1754">
        <v>1753</v>
      </c>
      <c r="B1754" t="str">
        <f>"025807"</f>
        <v>0</v>
      </c>
      <c r="C1754" t="s">
        <v>3180</v>
      </c>
      <c r="D1754" t="s">
        <v>3181</v>
      </c>
      <c r="E1754" t="str">
        <f>"1321000048514"</f>
        <v>0</v>
      </c>
      <c r="F1754" t="str">
        <f>"000430"</f>
        <v>0</v>
      </c>
      <c r="G1754" t="s">
        <v>21</v>
      </c>
    </row>
    <row r="1755" spans="1:7">
      <c r="A1755">
        <v>1754</v>
      </c>
      <c r="B1755" t="str">
        <f>"025838"</f>
        <v>0</v>
      </c>
      <c r="C1755" t="s">
        <v>3182</v>
      </c>
      <c r="D1755" t="s">
        <v>398</v>
      </c>
      <c r="E1755" t="str">
        <f>"1331000016604"</f>
        <v>0</v>
      </c>
      <c r="F1755" t="str">
        <f>"000430"</f>
        <v>0</v>
      </c>
      <c r="G1755" t="s">
        <v>21</v>
      </c>
    </row>
    <row r="1756" spans="1:7">
      <c r="A1756">
        <v>1755</v>
      </c>
      <c r="B1756" t="str">
        <f>"025841"</f>
        <v>0</v>
      </c>
      <c r="C1756" t="s">
        <v>3183</v>
      </c>
      <c r="D1756" t="s">
        <v>3184</v>
      </c>
      <c r="E1756" t="str">
        <f>"3400700320408"</f>
        <v>0</v>
      </c>
      <c r="F1756" t="str">
        <f>"000430"</f>
        <v>0</v>
      </c>
      <c r="G1756" t="s">
        <v>21</v>
      </c>
    </row>
    <row r="1757" spans="1:7">
      <c r="A1757">
        <v>1756</v>
      </c>
      <c r="B1757" t="str">
        <f>"025891"</f>
        <v>0</v>
      </c>
      <c r="C1757" t="s">
        <v>606</v>
      </c>
      <c r="D1757" t="s">
        <v>3185</v>
      </c>
      <c r="E1757" t="str">
        <f>"1400700108577"</f>
        <v>0</v>
      </c>
      <c r="F1757" t="str">
        <f>"000430"</f>
        <v>0</v>
      </c>
      <c r="G1757" t="s">
        <v>21</v>
      </c>
    </row>
    <row r="1758" spans="1:7">
      <c r="A1758">
        <v>1757</v>
      </c>
      <c r="B1758" t="str">
        <f>"026015"</f>
        <v>0</v>
      </c>
      <c r="C1758" t="s">
        <v>3186</v>
      </c>
      <c r="D1758" t="s">
        <v>3187</v>
      </c>
      <c r="E1758" t="str">
        <f>"1400500086685"</f>
        <v>0</v>
      </c>
      <c r="F1758" t="str">
        <f>"000430"</f>
        <v>0</v>
      </c>
      <c r="G1758" t="s">
        <v>21</v>
      </c>
    </row>
    <row r="1759" spans="1:7">
      <c r="A1759">
        <v>1758</v>
      </c>
      <c r="B1759" t="str">
        <f>"026017"</f>
        <v>0</v>
      </c>
      <c r="C1759" t="s">
        <v>3188</v>
      </c>
      <c r="D1759" t="s">
        <v>3189</v>
      </c>
      <c r="E1759" t="str">
        <f>"1401700166985"</f>
        <v>0</v>
      </c>
      <c r="F1759" t="str">
        <f>"000430"</f>
        <v>0</v>
      </c>
      <c r="G1759" t="s">
        <v>21</v>
      </c>
    </row>
    <row r="1760" spans="1:7">
      <c r="A1760">
        <v>1759</v>
      </c>
      <c r="B1760" t="str">
        <f>"026091"</f>
        <v>0</v>
      </c>
      <c r="C1760" t="s">
        <v>3190</v>
      </c>
      <c r="D1760" t="s">
        <v>3191</v>
      </c>
      <c r="E1760" t="str">
        <f>"1400500106686"</f>
        <v>0</v>
      </c>
      <c r="F1760" t="str">
        <f>"000430"</f>
        <v>0</v>
      </c>
      <c r="G1760" t="s">
        <v>21</v>
      </c>
    </row>
    <row r="1761" spans="1:7">
      <c r="A1761">
        <v>1760</v>
      </c>
      <c r="B1761" t="str">
        <f>"026092"</f>
        <v>0</v>
      </c>
      <c r="C1761" t="s">
        <v>3192</v>
      </c>
      <c r="D1761" t="s">
        <v>3193</v>
      </c>
      <c r="E1761" t="str">
        <f>"1350800099767"</f>
        <v>0</v>
      </c>
      <c r="F1761" t="str">
        <f>"000430"</f>
        <v>0</v>
      </c>
      <c r="G1761" t="s">
        <v>21</v>
      </c>
    </row>
    <row r="1762" spans="1:7">
      <c r="A1762">
        <v>1761</v>
      </c>
      <c r="B1762" t="str">
        <f>"026301"</f>
        <v>0</v>
      </c>
      <c r="C1762" t="s">
        <v>3194</v>
      </c>
      <c r="D1762" t="s">
        <v>3195</v>
      </c>
      <c r="E1762" t="str">
        <f>"1400400104266"</f>
        <v>0</v>
      </c>
      <c r="F1762" t="str">
        <f>"000430"</f>
        <v>0</v>
      </c>
      <c r="G1762" t="s">
        <v>21</v>
      </c>
    </row>
    <row r="1763" spans="1:7">
      <c r="A1763">
        <v>1762</v>
      </c>
      <c r="B1763" t="str">
        <f>"026335"</f>
        <v>0</v>
      </c>
      <c r="C1763" t="s">
        <v>3196</v>
      </c>
      <c r="D1763" t="s">
        <v>3197</v>
      </c>
      <c r="E1763" t="str">
        <f>"1409900067066"</f>
        <v>0</v>
      </c>
      <c r="F1763" t="str">
        <f>"000430"</f>
        <v>0</v>
      </c>
      <c r="G1763" t="s">
        <v>21</v>
      </c>
    </row>
    <row r="1764" spans="1:7">
      <c r="A1764">
        <v>1763</v>
      </c>
      <c r="B1764" t="str">
        <f>"026468"</f>
        <v>0</v>
      </c>
      <c r="C1764" t="s">
        <v>3198</v>
      </c>
      <c r="D1764" t="s">
        <v>3199</v>
      </c>
      <c r="E1764" t="str">
        <f>"1321100031214"</f>
        <v>0</v>
      </c>
      <c r="F1764" t="str">
        <f>"000430"</f>
        <v>0</v>
      </c>
      <c r="G1764" t="s">
        <v>21</v>
      </c>
    </row>
    <row r="1765" spans="1:7">
      <c r="A1765">
        <v>1764</v>
      </c>
      <c r="B1765" t="str">
        <f>"026470"</f>
        <v>0</v>
      </c>
      <c r="C1765" t="s">
        <v>3200</v>
      </c>
      <c r="D1765" t="s">
        <v>3201</v>
      </c>
      <c r="E1765" t="str">
        <f>"1409900303886"</f>
        <v>0</v>
      </c>
      <c r="F1765" t="str">
        <f>"000430"</f>
        <v>0</v>
      </c>
      <c r="G1765" t="s">
        <v>21</v>
      </c>
    </row>
    <row r="1766" spans="1:7">
      <c r="A1766">
        <v>1765</v>
      </c>
      <c r="B1766" t="str">
        <f>"026678"</f>
        <v>0</v>
      </c>
      <c r="C1766" t="s">
        <v>3202</v>
      </c>
      <c r="D1766" t="s">
        <v>3203</v>
      </c>
      <c r="E1766" t="str">
        <f>"3400400424160"</f>
        <v>0</v>
      </c>
      <c r="F1766" t="str">
        <f>"000430"</f>
        <v>0</v>
      </c>
      <c r="G1766" t="s">
        <v>21</v>
      </c>
    </row>
    <row r="1767" spans="1:7">
      <c r="A1767">
        <v>1766</v>
      </c>
      <c r="B1767" t="str">
        <f>"027329"</f>
        <v>0</v>
      </c>
      <c r="C1767" t="s">
        <v>3204</v>
      </c>
      <c r="D1767" t="s">
        <v>3205</v>
      </c>
      <c r="E1767" t="str">
        <f>"1409900670692"</f>
        <v>0</v>
      </c>
      <c r="F1767" t="str">
        <f>"000430"</f>
        <v>0</v>
      </c>
      <c r="G1767" t="s">
        <v>21</v>
      </c>
    </row>
    <row r="1768" spans="1:7">
      <c r="A1768">
        <v>1767</v>
      </c>
      <c r="B1768" t="str">
        <f>"027331"</f>
        <v>0</v>
      </c>
      <c r="C1768" t="s">
        <v>3206</v>
      </c>
      <c r="D1768" t="s">
        <v>3207</v>
      </c>
      <c r="E1768" t="str">
        <f>"1330600019158"</f>
        <v>0</v>
      </c>
      <c r="F1768" t="str">
        <f>"000430"</f>
        <v>0</v>
      </c>
      <c r="G1768" t="s">
        <v>21</v>
      </c>
    </row>
    <row r="1769" spans="1:7">
      <c r="A1769">
        <v>1768</v>
      </c>
      <c r="B1769" t="str">
        <f>"022006"</f>
        <v>0</v>
      </c>
      <c r="C1769" t="s">
        <v>3208</v>
      </c>
      <c r="D1769" t="s">
        <v>3209</v>
      </c>
      <c r="E1769" t="str">
        <f>"3400600018173"</f>
        <v>0</v>
      </c>
      <c r="F1769" t="str">
        <f>"000430"</f>
        <v>0</v>
      </c>
      <c r="G1769" t="s">
        <v>21</v>
      </c>
    </row>
    <row r="1770" spans="1:7">
      <c r="A1770">
        <v>1769</v>
      </c>
      <c r="B1770" t="str">
        <f>"027332"</f>
        <v>0</v>
      </c>
      <c r="C1770" t="s">
        <v>3210</v>
      </c>
      <c r="D1770" t="s">
        <v>3211</v>
      </c>
      <c r="E1770" t="str">
        <f>"1419900459061"</f>
        <v>0</v>
      </c>
      <c r="F1770" t="str">
        <f>"000430"</f>
        <v>0</v>
      </c>
      <c r="G1770" t="s">
        <v>21</v>
      </c>
    </row>
    <row r="1771" spans="1:7">
      <c r="A1771">
        <v>1770</v>
      </c>
      <c r="B1771" t="str">
        <f>"018241"</f>
        <v>0</v>
      </c>
      <c r="C1771" t="s">
        <v>3212</v>
      </c>
      <c r="D1771" t="s">
        <v>3213</v>
      </c>
      <c r="E1771" t="str">
        <f>"3400100836870"</f>
        <v>0</v>
      </c>
      <c r="F1771" t="str">
        <f>"000430"</f>
        <v>0</v>
      </c>
      <c r="G1771" t="s">
        <v>21</v>
      </c>
    </row>
    <row r="1772" spans="1:7">
      <c r="A1772">
        <v>1771</v>
      </c>
      <c r="B1772" t="str">
        <f>"018581"</f>
        <v>0</v>
      </c>
      <c r="C1772" t="s">
        <v>3214</v>
      </c>
      <c r="D1772" t="s">
        <v>3215</v>
      </c>
      <c r="E1772" t="str">
        <f>"3301000802827"</f>
        <v>0</v>
      </c>
      <c r="F1772" t="str">
        <f>"000430"</f>
        <v>0</v>
      </c>
      <c r="G1772" t="s">
        <v>21</v>
      </c>
    </row>
    <row r="1773" spans="1:7">
      <c r="A1773">
        <v>1772</v>
      </c>
      <c r="B1773" t="str">
        <f>"019243"</f>
        <v>0</v>
      </c>
      <c r="C1773" t="s">
        <v>3216</v>
      </c>
      <c r="D1773" t="s">
        <v>3217</v>
      </c>
      <c r="E1773" t="str">
        <f>"3410400410941"</f>
        <v>0</v>
      </c>
      <c r="F1773" t="str">
        <f>"000430"</f>
        <v>0</v>
      </c>
      <c r="G1773" t="s">
        <v>21</v>
      </c>
    </row>
    <row r="1774" spans="1:7">
      <c r="A1774">
        <v>1773</v>
      </c>
      <c r="B1774" t="str">
        <f>"015511"</f>
        <v>0</v>
      </c>
      <c r="C1774" t="s">
        <v>1093</v>
      </c>
      <c r="D1774" t="s">
        <v>2956</v>
      </c>
      <c r="E1774" t="str">
        <f>"3550600132978"</f>
        <v>0</v>
      </c>
      <c r="F1774" t="str">
        <f>"000430"</f>
        <v>0</v>
      </c>
      <c r="G1774" t="s">
        <v>21</v>
      </c>
    </row>
    <row r="1775" spans="1:7">
      <c r="A1775">
        <v>1774</v>
      </c>
      <c r="B1775" t="str">
        <f>"018781"</f>
        <v>0</v>
      </c>
      <c r="C1775" t="s">
        <v>2331</v>
      </c>
      <c r="D1775" t="s">
        <v>3218</v>
      </c>
      <c r="E1775" t="str">
        <f>"3400100592482"</f>
        <v>0</v>
      </c>
      <c r="F1775" t="str">
        <f>"000430"</f>
        <v>0</v>
      </c>
      <c r="G1775" t="s">
        <v>21</v>
      </c>
    </row>
    <row r="1776" spans="1:7">
      <c r="A1776">
        <v>1775</v>
      </c>
      <c r="B1776" t="str">
        <f>"024784"</f>
        <v>0</v>
      </c>
      <c r="C1776" t="s">
        <v>3219</v>
      </c>
      <c r="D1776" t="s">
        <v>3220</v>
      </c>
      <c r="E1776" t="str">
        <f>"3440300052457"</f>
        <v>0</v>
      </c>
      <c r="F1776" t="str">
        <f>"000430"</f>
        <v>0</v>
      </c>
      <c r="G1776" t="s">
        <v>21</v>
      </c>
    </row>
    <row r="1777" spans="1:7">
      <c r="A1777">
        <v>1776</v>
      </c>
      <c r="B1777" t="str">
        <f>"024871"</f>
        <v>0</v>
      </c>
      <c r="C1777" t="s">
        <v>3221</v>
      </c>
      <c r="D1777" t="s">
        <v>3222</v>
      </c>
      <c r="E1777" t="str">
        <f>"3440500764370"</f>
        <v>0</v>
      </c>
      <c r="F1777" t="str">
        <f>"000430"</f>
        <v>0</v>
      </c>
      <c r="G1777" t="s">
        <v>21</v>
      </c>
    </row>
    <row r="1778" spans="1:7">
      <c r="A1778">
        <v>1777</v>
      </c>
      <c r="B1778" t="str">
        <f>"025530"</f>
        <v>0</v>
      </c>
      <c r="C1778" t="s">
        <v>2702</v>
      </c>
      <c r="D1778" t="s">
        <v>3223</v>
      </c>
      <c r="E1778" t="str">
        <f>"3440300901438"</f>
        <v>0</v>
      </c>
      <c r="F1778" t="str">
        <f>"000430"</f>
        <v>0</v>
      </c>
      <c r="G1778" t="s">
        <v>21</v>
      </c>
    </row>
    <row r="1779" spans="1:7">
      <c r="A1779">
        <v>1778</v>
      </c>
      <c r="B1779" t="str">
        <f>"027330"</f>
        <v>0</v>
      </c>
      <c r="C1779" t="s">
        <v>993</v>
      </c>
      <c r="D1779" t="s">
        <v>3224</v>
      </c>
      <c r="E1779" t="str">
        <f>"1440700060485"</f>
        <v>0</v>
      </c>
      <c r="F1779" t="str">
        <f>"000430"</f>
        <v>0</v>
      </c>
      <c r="G1779" t="s">
        <v>21</v>
      </c>
    </row>
    <row r="1780" spans="1:7">
      <c r="A1780">
        <v>1779</v>
      </c>
      <c r="B1780" t="str">
        <f>"024235"</f>
        <v>0</v>
      </c>
      <c r="C1780" t="s">
        <v>3225</v>
      </c>
      <c r="D1780" t="s">
        <v>3226</v>
      </c>
      <c r="E1780" t="str">
        <f>"1459900023662"</f>
        <v>0</v>
      </c>
      <c r="F1780" t="str">
        <f>"000430"</f>
        <v>0</v>
      </c>
      <c r="G1780" t="s">
        <v>21</v>
      </c>
    </row>
    <row r="1781" spans="1:7">
      <c r="A1781">
        <v>1780</v>
      </c>
      <c r="B1781" t="str">
        <f>"023322"</f>
        <v>0</v>
      </c>
      <c r="C1781" t="s">
        <v>3227</v>
      </c>
      <c r="D1781" t="s">
        <v>3228</v>
      </c>
      <c r="E1781" t="str">
        <f>"3460300118661"</f>
        <v>0</v>
      </c>
      <c r="F1781" t="str">
        <f>"000430"</f>
        <v>0</v>
      </c>
      <c r="G1781" t="s">
        <v>21</v>
      </c>
    </row>
    <row r="1782" spans="1:7">
      <c r="A1782">
        <v>1781</v>
      </c>
      <c r="B1782" t="str">
        <f>"024943"</f>
        <v>0</v>
      </c>
      <c r="C1782" t="s">
        <v>3229</v>
      </c>
      <c r="D1782" t="s">
        <v>3230</v>
      </c>
      <c r="E1782" t="str">
        <f>"1461400032452"</f>
        <v>0</v>
      </c>
      <c r="F1782" t="str">
        <f>"000430"</f>
        <v>0</v>
      </c>
      <c r="G1782" t="s">
        <v>21</v>
      </c>
    </row>
    <row r="1783" spans="1:7">
      <c r="A1783">
        <v>1782</v>
      </c>
      <c r="B1783" t="str">
        <f>"027088"</f>
        <v>0</v>
      </c>
      <c r="C1783" t="s">
        <v>3231</v>
      </c>
      <c r="D1783" t="s">
        <v>3232</v>
      </c>
      <c r="E1783" t="str">
        <f>"1460800018961"</f>
        <v>0</v>
      </c>
      <c r="F1783" t="str">
        <f>"000430"</f>
        <v>0</v>
      </c>
      <c r="G1783" t="s">
        <v>21</v>
      </c>
    </row>
    <row r="1784" spans="1:7">
      <c r="A1784">
        <v>1783</v>
      </c>
      <c r="B1784" t="str">
        <f>"018817"</f>
        <v>0</v>
      </c>
      <c r="C1784" t="s">
        <v>474</v>
      </c>
      <c r="D1784" t="s">
        <v>3233</v>
      </c>
      <c r="E1784" t="str">
        <f>"3400100297707"</f>
        <v>0</v>
      </c>
      <c r="F1784" t="str">
        <f>"000430"</f>
        <v>0</v>
      </c>
      <c r="G1784" t="s">
        <v>21</v>
      </c>
    </row>
    <row r="1785" spans="1:7">
      <c r="A1785">
        <v>1784</v>
      </c>
      <c r="B1785" t="str">
        <f>"021534"</f>
        <v>0</v>
      </c>
      <c r="C1785" t="s">
        <v>3234</v>
      </c>
      <c r="D1785" t="s">
        <v>3235</v>
      </c>
      <c r="E1785" t="str">
        <f>"1110100001120"</f>
        <v>0</v>
      </c>
      <c r="F1785" t="str">
        <f>"000430"</f>
        <v>0</v>
      </c>
      <c r="G1785" t="s">
        <v>21</v>
      </c>
    </row>
    <row r="1786" spans="1:7">
      <c r="A1786">
        <v>1785</v>
      </c>
      <c r="B1786" t="str">
        <f>"024593"</f>
        <v>0</v>
      </c>
      <c r="C1786" t="s">
        <v>3236</v>
      </c>
      <c r="D1786" t="s">
        <v>3237</v>
      </c>
      <c r="E1786" t="str">
        <f>"3509901168597"</f>
        <v>0</v>
      </c>
      <c r="F1786" t="str">
        <f>"000430"</f>
        <v>0</v>
      </c>
      <c r="G1786" t="s">
        <v>21</v>
      </c>
    </row>
    <row r="1787" spans="1:7">
      <c r="A1787">
        <v>1786</v>
      </c>
      <c r="B1787" t="str">
        <f>"018063"</f>
        <v>0</v>
      </c>
      <c r="C1787" t="s">
        <v>352</v>
      </c>
      <c r="D1787" t="s">
        <v>3238</v>
      </c>
      <c r="E1787" t="str">
        <f>"3650800261037"</f>
        <v>0</v>
      </c>
      <c r="F1787" t="str">
        <f>"000430"</f>
        <v>0</v>
      </c>
      <c r="G1787" t="s">
        <v>21</v>
      </c>
    </row>
    <row r="1788" spans="1:7">
      <c r="A1788">
        <v>1787</v>
      </c>
      <c r="B1788" t="str">
        <f>"018404"</f>
        <v>0</v>
      </c>
      <c r="C1788" t="s">
        <v>48</v>
      </c>
      <c r="D1788" t="s">
        <v>3239</v>
      </c>
      <c r="E1788" t="str">
        <f>"3160600097319"</f>
        <v>0</v>
      </c>
      <c r="F1788" t="str">
        <f>"000430"</f>
        <v>0</v>
      </c>
      <c r="G1788" t="s">
        <v>21</v>
      </c>
    </row>
    <row r="1789" spans="1:7">
      <c r="A1789">
        <v>1788</v>
      </c>
      <c r="B1789" t="str">
        <f>"025843"</f>
        <v>0</v>
      </c>
      <c r="C1789" t="s">
        <v>3240</v>
      </c>
      <c r="D1789" t="s">
        <v>3241</v>
      </c>
      <c r="E1789" t="str">
        <f>"3759900166297"</f>
        <v>0</v>
      </c>
      <c r="F1789" t="str">
        <f>"000430"</f>
        <v>0</v>
      </c>
      <c r="G1789" t="s">
        <v>21</v>
      </c>
    </row>
    <row r="1790" spans="1:7">
      <c r="A1790">
        <v>1789</v>
      </c>
      <c r="B1790" t="str">
        <f>"021667"</f>
        <v>0</v>
      </c>
      <c r="C1790" t="s">
        <v>3038</v>
      </c>
      <c r="D1790" t="s">
        <v>3242</v>
      </c>
      <c r="E1790" t="str">
        <f>"3401700145909"</f>
        <v>0</v>
      </c>
      <c r="F1790" t="str">
        <f>"000430"</f>
        <v>0</v>
      </c>
      <c r="G1790" t="s">
        <v>21</v>
      </c>
    </row>
    <row r="1791" spans="1:7">
      <c r="A1791">
        <v>1790</v>
      </c>
      <c r="B1791" t="str">
        <f>"010014"</f>
        <v>0</v>
      </c>
      <c r="C1791" t="s">
        <v>1951</v>
      </c>
      <c r="D1791" t="s">
        <v>3243</v>
      </c>
      <c r="E1791" t="str">
        <f>"3300400093911"</f>
        <v>0</v>
      </c>
      <c r="F1791" t="str">
        <f>"000430"</f>
        <v>0</v>
      </c>
      <c r="G1791" t="s">
        <v>21</v>
      </c>
    </row>
    <row r="1792" spans="1:7">
      <c r="A1792">
        <v>1791</v>
      </c>
      <c r="B1792" t="str">
        <f>"024192"</f>
        <v>0</v>
      </c>
      <c r="C1792" t="s">
        <v>3244</v>
      </c>
      <c r="D1792" t="s">
        <v>3245</v>
      </c>
      <c r="E1792" t="str">
        <f>"1330900026435"</f>
        <v>0</v>
      </c>
      <c r="F1792" t="str">
        <f>"000430"</f>
        <v>0</v>
      </c>
      <c r="G1792" t="s">
        <v>21</v>
      </c>
    </row>
    <row r="1793" spans="1:7">
      <c r="A1793">
        <v>1792</v>
      </c>
      <c r="B1793" t="str">
        <f>"025319"</f>
        <v>0</v>
      </c>
      <c r="C1793" t="s">
        <v>3246</v>
      </c>
      <c r="D1793" t="s">
        <v>3247</v>
      </c>
      <c r="E1793" t="str">
        <f>"1300800112101"</f>
        <v>0</v>
      </c>
      <c r="F1793" t="str">
        <f>"000430"</f>
        <v>0</v>
      </c>
      <c r="G1793" t="s">
        <v>21</v>
      </c>
    </row>
    <row r="1794" spans="1:7">
      <c r="A1794">
        <v>1793</v>
      </c>
      <c r="B1794" t="str">
        <f>"019434"</f>
        <v>0</v>
      </c>
      <c r="C1794" t="s">
        <v>3248</v>
      </c>
      <c r="D1794" t="s">
        <v>3249</v>
      </c>
      <c r="E1794" t="str">
        <f>"3361000061398"</f>
        <v>0</v>
      </c>
      <c r="F1794" t="str">
        <f>"000430"</f>
        <v>0</v>
      </c>
      <c r="G1794" t="s">
        <v>21</v>
      </c>
    </row>
    <row r="1795" spans="1:7">
      <c r="A1795">
        <v>1794</v>
      </c>
      <c r="B1795" t="str">
        <f>"015082"</f>
        <v>0</v>
      </c>
      <c r="C1795" t="s">
        <v>3250</v>
      </c>
      <c r="D1795" t="s">
        <v>2875</v>
      </c>
      <c r="E1795" t="str">
        <f>"3409900932219"</f>
        <v>0</v>
      </c>
      <c r="F1795" t="str">
        <f>"000430"</f>
        <v>0</v>
      </c>
      <c r="G1795" t="s">
        <v>21</v>
      </c>
    </row>
    <row r="1796" spans="1:7">
      <c r="A1796">
        <v>1795</v>
      </c>
      <c r="B1796" t="str">
        <f>"015162"</f>
        <v>0</v>
      </c>
      <c r="C1796" t="s">
        <v>130</v>
      </c>
      <c r="D1796" t="s">
        <v>3251</v>
      </c>
      <c r="E1796" t="str">
        <f>"3361200201533"</f>
        <v>0</v>
      </c>
      <c r="F1796" t="str">
        <f>"000430"</f>
        <v>0</v>
      </c>
      <c r="G1796" t="s">
        <v>21</v>
      </c>
    </row>
    <row r="1797" spans="1:7">
      <c r="A1797">
        <v>1796</v>
      </c>
      <c r="B1797" t="str">
        <f>"015352"</f>
        <v>0</v>
      </c>
      <c r="C1797" t="s">
        <v>2742</v>
      </c>
      <c r="D1797" t="s">
        <v>3252</v>
      </c>
      <c r="E1797" t="str">
        <f>"3369900150254"</f>
        <v>0</v>
      </c>
      <c r="F1797" t="str">
        <f>"000430"</f>
        <v>0</v>
      </c>
      <c r="G1797" t="s">
        <v>21</v>
      </c>
    </row>
    <row r="1798" spans="1:7">
      <c r="A1798">
        <v>1797</v>
      </c>
      <c r="B1798" t="str">
        <f>"015414"</f>
        <v>0</v>
      </c>
      <c r="C1798" t="s">
        <v>3253</v>
      </c>
      <c r="D1798" t="s">
        <v>3254</v>
      </c>
      <c r="E1798" t="str">
        <f>"3440700223739"</f>
        <v>0</v>
      </c>
      <c r="F1798" t="str">
        <f>"000430"</f>
        <v>0</v>
      </c>
      <c r="G1798" t="s">
        <v>21</v>
      </c>
    </row>
    <row r="1799" spans="1:7">
      <c r="A1799">
        <v>1798</v>
      </c>
      <c r="B1799" t="str">
        <f>"017342"</f>
        <v>0</v>
      </c>
      <c r="C1799" t="s">
        <v>470</v>
      </c>
      <c r="D1799" t="s">
        <v>3255</v>
      </c>
      <c r="E1799" t="str">
        <f>"3400100993550"</f>
        <v>0</v>
      </c>
      <c r="F1799" t="str">
        <f>"000430"</f>
        <v>0</v>
      </c>
      <c r="G1799" t="s">
        <v>21</v>
      </c>
    </row>
    <row r="1800" spans="1:7">
      <c r="A1800">
        <v>1799</v>
      </c>
      <c r="B1800" t="str">
        <f>"017453"</f>
        <v>0</v>
      </c>
      <c r="C1800" t="s">
        <v>3256</v>
      </c>
      <c r="D1800" t="s">
        <v>3257</v>
      </c>
      <c r="E1800" t="str">
        <f>"3440300277513"</f>
        <v>0</v>
      </c>
      <c r="F1800" t="str">
        <f>"000430"</f>
        <v>0</v>
      </c>
      <c r="G1800" t="s">
        <v>21</v>
      </c>
    </row>
    <row r="1801" spans="1:7">
      <c r="A1801">
        <v>1800</v>
      </c>
      <c r="B1801" t="str">
        <f>"018146"</f>
        <v>0</v>
      </c>
      <c r="C1801" t="s">
        <v>3258</v>
      </c>
      <c r="D1801" t="s">
        <v>3259</v>
      </c>
      <c r="E1801" t="str">
        <f>"3409900765223"</f>
        <v>0</v>
      </c>
      <c r="F1801" t="str">
        <f>"000430"</f>
        <v>0</v>
      </c>
      <c r="G1801" t="s">
        <v>21</v>
      </c>
    </row>
    <row r="1802" spans="1:7">
      <c r="A1802">
        <v>1801</v>
      </c>
      <c r="B1802" t="str">
        <f>"018390"</f>
        <v>0</v>
      </c>
      <c r="C1802" t="s">
        <v>2441</v>
      </c>
      <c r="D1802" t="s">
        <v>3260</v>
      </c>
      <c r="E1802" t="str">
        <f>"3360400449767"</f>
        <v>0</v>
      </c>
      <c r="F1802" t="str">
        <f>"000430"</f>
        <v>0</v>
      </c>
      <c r="G1802" t="s">
        <v>21</v>
      </c>
    </row>
    <row r="1803" spans="1:7">
      <c r="A1803">
        <v>1802</v>
      </c>
      <c r="B1803" t="str">
        <f>"018871"</f>
        <v>0</v>
      </c>
      <c r="C1803" t="s">
        <v>3261</v>
      </c>
      <c r="D1803" t="s">
        <v>3262</v>
      </c>
      <c r="E1803" t="str">
        <f>"3401000388540"</f>
        <v>0</v>
      </c>
      <c r="F1803" t="str">
        <f>"000430"</f>
        <v>0</v>
      </c>
      <c r="G1803" t="s">
        <v>21</v>
      </c>
    </row>
    <row r="1804" spans="1:7">
      <c r="A1804">
        <v>1803</v>
      </c>
      <c r="B1804" t="str">
        <f>"018960"</f>
        <v>0</v>
      </c>
      <c r="C1804" t="s">
        <v>3263</v>
      </c>
      <c r="D1804" t="s">
        <v>3264</v>
      </c>
      <c r="E1804" t="str">
        <f>"3460600348696"</f>
        <v>0</v>
      </c>
      <c r="F1804" t="str">
        <f>"000430"</f>
        <v>0</v>
      </c>
      <c r="G1804" t="s">
        <v>21</v>
      </c>
    </row>
    <row r="1805" spans="1:7">
      <c r="A1805">
        <v>1804</v>
      </c>
      <c r="B1805" t="str">
        <f>"019719"</f>
        <v>0</v>
      </c>
      <c r="C1805" t="s">
        <v>3265</v>
      </c>
      <c r="D1805" t="s">
        <v>3266</v>
      </c>
      <c r="E1805" t="str">
        <f>"3450100648470"</f>
        <v>0</v>
      </c>
      <c r="F1805" t="str">
        <f>"000430"</f>
        <v>0</v>
      </c>
      <c r="G1805" t="s">
        <v>21</v>
      </c>
    </row>
    <row r="1806" spans="1:7">
      <c r="A1806">
        <v>1805</v>
      </c>
      <c r="B1806" t="str">
        <f>"020539"</f>
        <v>0</v>
      </c>
      <c r="C1806" t="s">
        <v>3267</v>
      </c>
      <c r="D1806" t="s">
        <v>3268</v>
      </c>
      <c r="E1806" t="str">
        <f>"3400101304880"</f>
        <v>0</v>
      </c>
      <c r="F1806" t="str">
        <f>"000430"</f>
        <v>0</v>
      </c>
      <c r="G1806" t="s">
        <v>21</v>
      </c>
    </row>
    <row r="1807" spans="1:7">
      <c r="A1807">
        <v>1806</v>
      </c>
      <c r="B1807" t="str">
        <f>"020592"</f>
        <v>0</v>
      </c>
      <c r="C1807" t="s">
        <v>3269</v>
      </c>
      <c r="D1807" t="s">
        <v>3270</v>
      </c>
      <c r="E1807" t="str">
        <f>"3301600020366"</f>
        <v>0</v>
      </c>
      <c r="F1807" t="str">
        <f>"000430"</f>
        <v>0</v>
      </c>
      <c r="G1807" t="s">
        <v>21</v>
      </c>
    </row>
    <row r="1808" spans="1:7">
      <c r="A1808">
        <v>1807</v>
      </c>
      <c r="B1808" t="str">
        <f>"021175"</f>
        <v>0</v>
      </c>
      <c r="C1808" t="s">
        <v>3271</v>
      </c>
      <c r="D1808" t="s">
        <v>3272</v>
      </c>
      <c r="E1808" t="str">
        <f>"3360500887618"</f>
        <v>0</v>
      </c>
      <c r="F1808" t="str">
        <f>"000430"</f>
        <v>0</v>
      </c>
      <c r="G1808" t="s">
        <v>21</v>
      </c>
    </row>
    <row r="1809" spans="1:7">
      <c r="A1809">
        <v>1808</v>
      </c>
      <c r="B1809" t="str">
        <f>"021412"</f>
        <v>0</v>
      </c>
      <c r="C1809" t="s">
        <v>3273</v>
      </c>
      <c r="D1809" t="s">
        <v>3274</v>
      </c>
      <c r="E1809" t="str">
        <f>"3400101461349"</f>
        <v>0</v>
      </c>
      <c r="F1809" t="str">
        <f>"000430"</f>
        <v>0</v>
      </c>
      <c r="G1809" t="s">
        <v>21</v>
      </c>
    </row>
    <row r="1810" spans="1:7">
      <c r="A1810">
        <v>1809</v>
      </c>
      <c r="B1810" t="str">
        <f>"021645"</f>
        <v>0</v>
      </c>
      <c r="C1810" t="s">
        <v>3275</v>
      </c>
      <c r="D1810" t="s">
        <v>3276</v>
      </c>
      <c r="E1810" t="str">
        <f>"3400100836896"</f>
        <v>0</v>
      </c>
      <c r="F1810" t="str">
        <f>"000430"</f>
        <v>0</v>
      </c>
      <c r="G1810" t="s">
        <v>21</v>
      </c>
    </row>
    <row r="1811" spans="1:7">
      <c r="A1811">
        <v>1810</v>
      </c>
      <c r="B1811" t="str">
        <f>"023432"</f>
        <v>0</v>
      </c>
      <c r="C1811" t="s">
        <v>3277</v>
      </c>
      <c r="D1811" t="s">
        <v>3278</v>
      </c>
      <c r="E1811" t="str">
        <f>"3300101814803"</f>
        <v>0</v>
      </c>
      <c r="F1811" t="str">
        <f>"000430"</f>
        <v>0</v>
      </c>
      <c r="G1811" t="s">
        <v>21</v>
      </c>
    </row>
    <row r="1812" spans="1:7">
      <c r="A1812">
        <v>1811</v>
      </c>
      <c r="B1812" t="str">
        <f>"026605"</f>
        <v>0</v>
      </c>
      <c r="C1812" t="s">
        <v>3279</v>
      </c>
      <c r="D1812" t="s">
        <v>3280</v>
      </c>
      <c r="E1812" t="str">
        <f>"3401400309060"</f>
        <v>0</v>
      </c>
      <c r="F1812" t="str">
        <f>"000430"</f>
        <v>0</v>
      </c>
      <c r="G1812" t="s">
        <v>21</v>
      </c>
    </row>
    <row r="1813" spans="1:7">
      <c r="A1813">
        <v>1812</v>
      </c>
      <c r="B1813" t="str">
        <f>"027055"</f>
        <v>0</v>
      </c>
      <c r="C1813" t="s">
        <v>3281</v>
      </c>
      <c r="D1813" t="s">
        <v>3282</v>
      </c>
      <c r="E1813" t="str">
        <f>"1409900565937"</f>
        <v>0</v>
      </c>
      <c r="F1813" t="str">
        <f>"000430"</f>
        <v>0</v>
      </c>
      <c r="G1813" t="s">
        <v>21</v>
      </c>
    </row>
    <row r="1814" spans="1:7">
      <c r="A1814">
        <v>1813</v>
      </c>
      <c r="B1814" t="str">
        <f>"027091"</f>
        <v>0</v>
      </c>
      <c r="C1814" t="s">
        <v>3283</v>
      </c>
      <c r="D1814" t="s">
        <v>3284</v>
      </c>
      <c r="E1814" t="str">
        <f>"3401500008193"</f>
        <v>0</v>
      </c>
      <c r="F1814" t="str">
        <f>"000430"</f>
        <v>0</v>
      </c>
      <c r="G1814" t="s">
        <v>21</v>
      </c>
    </row>
    <row r="1815" spans="1:7">
      <c r="A1815">
        <v>1814</v>
      </c>
      <c r="B1815" t="str">
        <f>"019976"</f>
        <v>0</v>
      </c>
      <c r="C1815" t="s">
        <v>162</v>
      </c>
      <c r="D1815" t="s">
        <v>3285</v>
      </c>
      <c r="E1815" t="str">
        <f>"3419900394969"</f>
        <v>0</v>
      </c>
      <c r="F1815" t="str">
        <f>"000430"</f>
        <v>0</v>
      </c>
      <c r="G1815" t="s">
        <v>21</v>
      </c>
    </row>
    <row r="1816" spans="1:7">
      <c r="A1816">
        <v>1815</v>
      </c>
      <c r="B1816" t="str">
        <f>"022883"</f>
        <v>0</v>
      </c>
      <c r="C1816" t="s">
        <v>3286</v>
      </c>
      <c r="D1816" t="s">
        <v>3287</v>
      </c>
      <c r="E1816" t="str">
        <f>"1419900024154"</f>
        <v>0</v>
      </c>
      <c r="F1816" t="str">
        <f>"000430"</f>
        <v>0</v>
      </c>
      <c r="G1816" t="s">
        <v>21</v>
      </c>
    </row>
    <row r="1817" spans="1:7">
      <c r="A1817">
        <v>1816</v>
      </c>
      <c r="B1817" t="str">
        <f>"015983"</f>
        <v>0</v>
      </c>
      <c r="C1817" t="s">
        <v>2193</v>
      </c>
      <c r="D1817" t="s">
        <v>380</v>
      </c>
      <c r="E1817" t="str">
        <f>"3400700655523"</f>
        <v>0</v>
      </c>
      <c r="F1817" t="str">
        <f>"000430"</f>
        <v>0</v>
      </c>
      <c r="G1817" t="s">
        <v>21</v>
      </c>
    </row>
    <row r="1818" spans="1:7">
      <c r="A1818">
        <v>1817</v>
      </c>
      <c r="B1818" t="str">
        <f>"019460"</f>
        <v>0</v>
      </c>
      <c r="C1818" t="s">
        <v>3288</v>
      </c>
      <c r="D1818" t="s">
        <v>3289</v>
      </c>
      <c r="E1818" t="str">
        <f>"3101400615694"</f>
        <v>0</v>
      </c>
      <c r="F1818" t="str">
        <f>"000430"</f>
        <v>0</v>
      </c>
      <c r="G1818" t="s">
        <v>21</v>
      </c>
    </row>
    <row r="1819" spans="1:7">
      <c r="A1819">
        <v>1818</v>
      </c>
      <c r="B1819" t="str">
        <f>"020073"</f>
        <v>0</v>
      </c>
      <c r="C1819" t="s">
        <v>3290</v>
      </c>
      <c r="D1819" t="s">
        <v>3291</v>
      </c>
      <c r="E1819" t="str">
        <f>"5400900004247"</f>
        <v>0</v>
      </c>
      <c r="F1819" t="str">
        <f>"000430"</f>
        <v>0</v>
      </c>
      <c r="G1819" t="s">
        <v>21</v>
      </c>
    </row>
    <row r="1820" spans="1:7">
      <c r="A1820">
        <v>1819</v>
      </c>
      <c r="B1820" t="str">
        <f>"025234"</f>
        <v>0</v>
      </c>
      <c r="C1820" t="s">
        <v>3292</v>
      </c>
      <c r="D1820" t="s">
        <v>3293</v>
      </c>
      <c r="E1820" t="str">
        <f>"1560600048776"</f>
        <v>0</v>
      </c>
      <c r="F1820" t="str">
        <f>"000430"</f>
        <v>0</v>
      </c>
      <c r="G1820" t="s">
        <v>21</v>
      </c>
    </row>
    <row r="1821" spans="1:7">
      <c r="A1821">
        <v>1820</v>
      </c>
      <c r="B1821" t="str">
        <f>"017329"</f>
        <v>0</v>
      </c>
      <c r="C1821" t="s">
        <v>3294</v>
      </c>
      <c r="D1821" t="s">
        <v>3295</v>
      </c>
      <c r="E1821" t="str">
        <f>"3160300257655"</f>
        <v>0</v>
      </c>
      <c r="F1821" t="str">
        <f>"000430"</f>
        <v>0</v>
      </c>
      <c r="G1821" t="s">
        <v>21</v>
      </c>
    </row>
    <row r="1822" spans="1:7">
      <c r="A1822">
        <v>1821</v>
      </c>
      <c r="B1822" t="str">
        <f>"021649"</f>
        <v>0</v>
      </c>
      <c r="C1822" t="s">
        <v>1027</v>
      </c>
      <c r="D1822" t="s">
        <v>3296</v>
      </c>
      <c r="E1822" t="str">
        <f>"5401000046149"</f>
        <v>0</v>
      </c>
      <c r="F1822" t="str">
        <f>"000430"</f>
        <v>0</v>
      </c>
      <c r="G1822" t="s">
        <v>21</v>
      </c>
    </row>
    <row r="1823" spans="1:7">
      <c r="A1823">
        <v>1822</v>
      </c>
      <c r="B1823" t="str">
        <f>"024682"</f>
        <v>0</v>
      </c>
      <c r="C1823" t="s">
        <v>3297</v>
      </c>
      <c r="D1823" t="s">
        <v>3298</v>
      </c>
      <c r="E1823" t="str">
        <f>"3730101450123"</f>
        <v>0</v>
      </c>
      <c r="F1823" t="str">
        <f>"000430"</f>
        <v>0</v>
      </c>
      <c r="G1823" t="s">
        <v>21</v>
      </c>
    </row>
    <row r="1824" spans="1:7">
      <c r="A1824">
        <v>1823</v>
      </c>
      <c r="B1824" t="str">
        <f>"021636"</f>
        <v>0</v>
      </c>
      <c r="C1824" t="s">
        <v>2349</v>
      </c>
      <c r="D1824" t="s">
        <v>3299</v>
      </c>
      <c r="E1824" t="str">
        <f>"3440300504455"</f>
        <v>0</v>
      </c>
      <c r="F1824" t="str">
        <f>"000430"</f>
        <v>0</v>
      </c>
      <c r="G1824" t="s">
        <v>21</v>
      </c>
    </row>
    <row r="1825" spans="1:7">
      <c r="A1825">
        <v>1824</v>
      </c>
      <c r="B1825" t="str">
        <f>"022084"</f>
        <v>0</v>
      </c>
      <c r="C1825" t="s">
        <v>973</v>
      </c>
      <c r="D1825" t="s">
        <v>3300</v>
      </c>
      <c r="E1825" t="str">
        <f>"3401800091258"</f>
        <v>0</v>
      </c>
      <c r="F1825" t="str">
        <f>"000430"</f>
        <v>0</v>
      </c>
      <c r="G1825" t="s">
        <v>21</v>
      </c>
    </row>
    <row r="1826" spans="1:7">
      <c r="A1826">
        <v>1825</v>
      </c>
      <c r="B1826" t="str">
        <f>"015019"</f>
        <v>0</v>
      </c>
      <c r="C1826" t="s">
        <v>3301</v>
      </c>
      <c r="D1826" t="s">
        <v>3302</v>
      </c>
      <c r="E1826" t="str">
        <f>"3240800003104"</f>
        <v>0</v>
      </c>
      <c r="F1826" t="str">
        <f>"000430"</f>
        <v>0</v>
      </c>
      <c r="G1826" t="s">
        <v>21</v>
      </c>
    </row>
    <row r="1827" spans="1:7">
      <c r="A1827">
        <v>1826</v>
      </c>
      <c r="B1827" t="str">
        <f>"014699"</f>
        <v>0</v>
      </c>
      <c r="C1827" t="s">
        <v>3303</v>
      </c>
      <c r="D1827" t="s">
        <v>3304</v>
      </c>
      <c r="E1827" t="str">
        <f>"3311300246636"</f>
        <v>0</v>
      </c>
      <c r="F1827" t="str">
        <f>"000430"</f>
        <v>0</v>
      </c>
      <c r="G1827" t="s">
        <v>21</v>
      </c>
    </row>
    <row r="1828" spans="1:7">
      <c r="A1828">
        <v>1827</v>
      </c>
      <c r="B1828" t="str">
        <f>"022484"</f>
        <v>0</v>
      </c>
      <c r="C1828" t="s">
        <v>2206</v>
      </c>
      <c r="D1828" t="s">
        <v>3305</v>
      </c>
      <c r="E1828" t="str">
        <f>"1430200007747"</f>
        <v>0</v>
      </c>
      <c r="F1828" t="str">
        <f>"000430"</f>
        <v>0</v>
      </c>
      <c r="G1828" t="s">
        <v>21</v>
      </c>
    </row>
    <row r="1829" spans="1:7">
      <c r="A1829">
        <v>1828</v>
      </c>
      <c r="B1829" t="str">
        <f>"024468"</f>
        <v>0</v>
      </c>
      <c r="C1829" t="s">
        <v>3306</v>
      </c>
      <c r="D1829" t="s">
        <v>3307</v>
      </c>
      <c r="E1829" t="str">
        <f>"2411600003489"</f>
        <v>0</v>
      </c>
      <c r="F1829" t="str">
        <f>"000430"</f>
        <v>0</v>
      </c>
      <c r="G1829" t="s">
        <v>21</v>
      </c>
    </row>
    <row r="1830" spans="1:7">
      <c r="A1830">
        <v>1829</v>
      </c>
      <c r="B1830" t="str">
        <f>"014266"</f>
        <v>0</v>
      </c>
      <c r="C1830" t="s">
        <v>3014</v>
      </c>
      <c r="D1830" t="s">
        <v>3308</v>
      </c>
      <c r="E1830" t="str">
        <f>"3411900003164"</f>
        <v>0</v>
      </c>
      <c r="F1830" t="str">
        <f>"000430"</f>
        <v>0</v>
      </c>
      <c r="G1830" t="s">
        <v>21</v>
      </c>
    </row>
    <row r="1831" spans="1:7">
      <c r="A1831">
        <v>1830</v>
      </c>
      <c r="B1831" t="str">
        <f>"021795"</f>
        <v>0</v>
      </c>
      <c r="C1831" t="s">
        <v>3309</v>
      </c>
      <c r="D1831" t="s">
        <v>3310</v>
      </c>
      <c r="E1831" t="str">
        <f>"3409900579021"</f>
        <v>0</v>
      </c>
      <c r="F1831" t="str">
        <f>"000430"</f>
        <v>0</v>
      </c>
      <c r="G1831" t="s">
        <v>21</v>
      </c>
    </row>
    <row r="1832" spans="1:7">
      <c r="A1832">
        <v>1831</v>
      </c>
      <c r="B1832" t="str">
        <f>"023010"</f>
        <v>0</v>
      </c>
      <c r="C1832" t="s">
        <v>3311</v>
      </c>
      <c r="D1832" t="s">
        <v>3312</v>
      </c>
      <c r="E1832" t="str">
        <f>"3100201800806"</f>
        <v>0</v>
      </c>
      <c r="F1832" t="str">
        <f>"000430"</f>
        <v>0</v>
      </c>
      <c r="G1832" t="s">
        <v>21</v>
      </c>
    </row>
    <row r="1833" spans="1:7">
      <c r="A1833">
        <v>1832</v>
      </c>
      <c r="B1833" t="str">
        <f>"012620"</f>
        <v>0</v>
      </c>
      <c r="C1833" t="s">
        <v>1837</v>
      </c>
      <c r="D1833" t="s">
        <v>3313</v>
      </c>
      <c r="E1833" t="str">
        <f>"3410400477441"</f>
        <v>0</v>
      </c>
      <c r="F1833" t="str">
        <f>"000430"</f>
        <v>0</v>
      </c>
      <c r="G1833" t="s">
        <v>21</v>
      </c>
    </row>
    <row r="1834" spans="1:7">
      <c r="A1834">
        <v>1833</v>
      </c>
      <c r="B1834" t="str">
        <f>"017192"</f>
        <v>0</v>
      </c>
      <c r="C1834" t="s">
        <v>3314</v>
      </c>
      <c r="D1834" t="s">
        <v>3315</v>
      </c>
      <c r="E1834" t="str">
        <f>"3410100019316"</f>
        <v>0</v>
      </c>
      <c r="F1834" t="str">
        <f>"000430"</f>
        <v>0</v>
      </c>
      <c r="G1834" t="s">
        <v>21</v>
      </c>
    </row>
    <row r="1835" spans="1:7">
      <c r="A1835">
        <v>1834</v>
      </c>
      <c r="B1835" t="str">
        <f>"017491"</f>
        <v>0</v>
      </c>
      <c r="C1835" t="s">
        <v>3316</v>
      </c>
      <c r="D1835" t="s">
        <v>3317</v>
      </c>
      <c r="E1835" t="str">
        <f>"3410401304869"</f>
        <v>0</v>
      </c>
      <c r="F1835" t="str">
        <f>"000430"</f>
        <v>0</v>
      </c>
      <c r="G1835" t="s">
        <v>21</v>
      </c>
    </row>
    <row r="1836" spans="1:7">
      <c r="A1836">
        <v>1835</v>
      </c>
      <c r="B1836" t="str">
        <f>"019084"</f>
        <v>0</v>
      </c>
      <c r="C1836" t="s">
        <v>1543</v>
      </c>
      <c r="D1836" t="s">
        <v>3318</v>
      </c>
      <c r="E1836" t="str">
        <f>"3170600317637"</f>
        <v>0</v>
      </c>
      <c r="F1836" t="str">
        <f>"000430"</f>
        <v>0</v>
      </c>
      <c r="G1836" t="s">
        <v>21</v>
      </c>
    </row>
    <row r="1837" spans="1:7">
      <c r="A1837">
        <v>1836</v>
      </c>
      <c r="B1837" t="str">
        <f>"026302"</f>
        <v>0</v>
      </c>
      <c r="C1837" t="s">
        <v>3319</v>
      </c>
      <c r="D1837" t="s">
        <v>3320</v>
      </c>
      <c r="E1837" t="str">
        <f>"3499900175655"</f>
        <v>0</v>
      </c>
      <c r="F1837" t="str">
        <f>"000430"</f>
        <v>0</v>
      </c>
      <c r="G1837" t="s">
        <v>21</v>
      </c>
    </row>
    <row r="1838" spans="1:7">
      <c r="A1838">
        <v>1837</v>
      </c>
      <c r="B1838" t="str">
        <f>"021635"</f>
        <v>0</v>
      </c>
      <c r="C1838" t="s">
        <v>3321</v>
      </c>
      <c r="D1838" t="s">
        <v>3322</v>
      </c>
      <c r="E1838" t="str">
        <f>"3720701050274"</f>
        <v>0</v>
      </c>
      <c r="F1838" t="str">
        <f>"000430"</f>
        <v>0</v>
      </c>
      <c r="G1838" t="s">
        <v>21</v>
      </c>
    </row>
    <row r="1839" spans="1:7">
      <c r="A1839">
        <v>1838</v>
      </c>
      <c r="B1839" t="str">
        <f>"021503"</f>
        <v>0</v>
      </c>
      <c r="C1839" t="s">
        <v>3323</v>
      </c>
      <c r="D1839" t="s">
        <v>3324</v>
      </c>
      <c r="E1839" t="str">
        <f>"5400199007885"</f>
        <v>0</v>
      </c>
      <c r="F1839" t="str">
        <f>"000430"</f>
        <v>0</v>
      </c>
      <c r="G1839" t="s">
        <v>21</v>
      </c>
    </row>
    <row r="1840" spans="1:7">
      <c r="A1840">
        <v>1839</v>
      </c>
      <c r="B1840" t="str">
        <f>"027505"</f>
        <v>0</v>
      </c>
      <c r="C1840" t="s">
        <v>3325</v>
      </c>
      <c r="D1840" t="s">
        <v>3326</v>
      </c>
      <c r="E1840" t="str">
        <f>"1409900925208"</f>
        <v>0</v>
      </c>
      <c r="F1840" t="str">
        <f>"000430"</f>
        <v>0</v>
      </c>
      <c r="G1840" t="s">
        <v>21</v>
      </c>
    </row>
    <row r="1841" spans="1:7">
      <c r="A1841">
        <v>1840</v>
      </c>
      <c r="B1841" t="str">
        <f>"027506"</f>
        <v>0</v>
      </c>
      <c r="C1841" t="s">
        <v>3327</v>
      </c>
      <c r="D1841" t="s">
        <v>3328</v>
      </c>
      <c r="E1841" t="str">
        <f>"1349900231738"</f>
        <v>0</v>
      </c>
      <c r="F1841" t="str">
        <f>"000430"</f>
        <v>0</v>
      </c>
      <c r="G1841" t="s">
        <v>21</v>
      </c>
    </row>
    <row r="1842" spans="1:7">
      <c r="A1842">
        <v>1841</v>
      </c>
      <c r="B1842" t="str">
        <f>"027507"</f>
        <v>0</v>
      </c>
      <c r="C1842" t="s">
        <v>3329</v>
      </c>
      <c r="D1842" t="s">
        <v>3330</v>
      </c>
      <c r="E1842" t="str">
        <f>"1509970009803"</f>
        <v>0</v>
      </c>
      <c r="F1842" t="str">
        <f>"000430"</f>
        <v>0</v>
      </c>
      <c r="G1842" t="s">
        <v>21</v>
      </c>
    </row>
    <row r="1843" spans="1:7">
      <c r="A1843">
        <v>1842</v>
      </c>
      <c r="B1843" t="str">
        <f>"027588"</f>
        <v>0</v>
      </c>
      <c r="C1843" t="s">
        <v>3331</v>
      </c>
      <c r="D1843" t="s">
        <v>3332</v>
      </c>
      <c r="E1843" t="str">
        <f>"1101400921713"</f>
        <v>0</v>
      </c>
      <c r="F1843" t="str">
        <f>"000430"</f>
        <v>0</v>
      </c>
      <c r="G1843" t="s">
        <v>21</v>
      </c>
    </row>
    <row r="1844" spans="1:7">
      <c r="A1844">
        <v>1843</v>
      </c>
      <c r="B1844" t="str">
        <f>"000290"</f>
        <v>0</v>
      </c>
      <c r="C1844" t="s">
        <v>3333</v>
      </c>
      <c r="D1844" t="s">
        <v>3334</v>
      </c>
      <c r="E1844" t="str">
        <f>"3220100424301"</f>
        <v>0</v>
      </c>
      <c r="F1844" t="str">
        <f>"000480"</f>
        <v>0</v>
      </c>
      <c r="G1844" t="s">
        <v>21</v>
      </c>
    </row>
    <row r="1845" spans="1:7">
      <c r="A1845">
        <v>1844</v>
      </c>
      <c r="B1845" t="str">
        <f>"000926"</f>
        <v>0</v>
      </c>
      <c r="C1845" t="s">
        <v>837</v>
      </c>
      <c r="D1845" t="s">
        <v>3335</v>
      </c>
      <c r="E1845" t="str">
        <f>"3150600477057"</f>
        <v>0</v>
      </c>
      <c r="F1845" t="str">
        <f>"000480"</f>
        <v>0</v>
      </c>
      <c r="G1845" t="s">
        <v>21</v>
      </c>
    </row>
    <row r="1846" spans="1:7">
      <c r="A1846">
        <v>1845</v>
      </c>
      <c r="B1846" t="str">
        <f>"002190"</f>
        <v>0</v>
      </c>
      <c r="C1846" t="s">
        <v>435</v>
      </c>
      <c r="D1846" t="s">
        <v>3336</v>
      </c>
      <c r="E1846" t="str">
        <f>"3220100041062"</f>
        <v>0</v>
      </c>
      <c r="F1846" t="str">
        <f>"000480"</f>
        <v>0</v>
      </c>
      <c r="G1846" t="s">
        <v>21</v>
      </c>
    </row>
    <row r="1847" spans="1:7">
      <c r="A1847">
        <v>1846</v>
      </c>
      <c r="B1847" t="str">
        <f>"002902"</f>
        <v>0</v>
      </c>
      <c r="C1847" t="s">
        <v>3337</v>
      </c>
      <c r="D1847" t="s">
        <v>3338</v>
      </c>
      <c r="E1847" t="str">
        <f>"3220200296429"</f>
        <v>0</v>
      </c>
      <c r="F1847" t="str">
        <f>"000480"</f>
        <v>0</v>
      </c>
      <c r="G1847" t="s">
        <v>21</v>
      </c>
    </row>
    <row r="1848" spans="1:7">
      <c r="A1848">
        <v>1847</v>
      </c>
      <c r="B1848" t="str">
        <f>"003070"</f>
        <v>0</v>
      </c>
      <c r="C1848" t="s">
        <v>3339</v>
      </c>
      <c r="D1848" t="s">
        <v>3340</v>
      </c>
      <c r="E1848" t="str">
        <f>"3220500010938"</f>
        <v>0</v>
      </c>
      <c r="F1848" t="str">
        <f>"000480"</f>
        <v>0</v>
      </c>
      <c r="G1848" t="s">
        <v>21</v>
      </c>
    </row>
    <row r="1849" spans="1:7">
      <c r="A1849">
        <v>1848</v>
      </c>
      <c r="B1849" t="str">
        <f>"003171"</f>
        <v>0</v>
      </c>
      <c r="C1849" t="s">
        <v>3341</v>
      </c>
      <c r="D1849" t="s">
        <v>3342</v>
      </c>
      <c r="E1849" t="str">
        <f>"3250300066603"</f>
        <v>0</v>
      </c>
      <c r="F1849" t="str">
        <f>"000480"</f>
        <v>0</v>
      </c>
      <c r="G1849" t="s">
        <v>21</v>
      </c>
    </row>
    <row r="1850" spans="1:7">
      <c r="A1850">
        <v>1849</v>
      </c>
      <c r="B1850" t="str">
        <f>"003277"</f>
        <v>0</v>
      </c>
      <c r="C1850" t="s">
        <v>3343</v>
      </c>
      <c r="D1850" t="s">
        <v>3344</v>
      </c>
      <c r="E1850" t="str">
        <f>"3249900201585"</f>
        <v>0</v>
      </c>
      <c r="F1850" t="str">
        <f>"000480"</f>
        <v>0</v>
      </c>
      <c r="G1850" t="s">
        <v>21</v>
      </c>
    </row>
    <row r="1851" spans="1:7">
      <c r="A1851">
        <v>1850</v>
      </c>
      <c r="B1851" t="str">
        <f>"003819"</f>
        <v>0</v>
      </c>
      <c r="C1851" t="s">
        <v>98</v>
      </c>
      <c r="D1851" t="s">
        <v>3345</v>
      </c>
      <c r="E1851" t="str">
        <f>"3100500661476"</f>
        <v>0</v>
      </c>
      <c r="F1851" t="str">
        <f>"000480"</f>
        <v>0</v>
      </c>
      <c r="G1851" t="s">
        <v>21</v>
      </c>
    </row>
    <row r="1852" spans="1:7">
      <c r="A1852">
        <v>1851</v>
      </c>
      <c r="B1852" t="str">
        <f>"004595"</f>
        <v>0</v>
      </c>
      <c r="C1852" t="s">
        <v>3346</v>
      </c>
      <c r="D1852" t="s">
        <v>3347</v>
      </c>
      <c r="E1852" t="str">
        <f>"3230400221741"</f>
        <v>0</v>
      </c>
      <c r="F1852" t="str">
        <f>"000480"</f>
        <v>0</v>
      </c>
      <c r="G1852" t="s">
        <v>21</v>
      </c>
    </row>
    <row r="1853" spans="1:7">
      <c r="A1853">
        <v>1852</v>
      </c>
      <c r="B1853" t="str">
        <f>"005388"</f>
        <v>0</v>
      </c>
      <c r="C1853" t="s">
        <v>1355</v>
      </c>
      <c r="D1853" t="s">
        <v>3348</v>
      </c>
      <c r="E1853" t="str">
        <f>"3220300767245"</f>
        <v>0</v>
      </c>
      <c r="F1853" t="str">
        <f>"000480"</f>
        <v>0</v>
      </c>
      <c r="G1853" t="s">
        <v>21</v>
      </c>
    </row>
    <row r="1854" spans="1:7">
      <c r="A1854">
        <v>1853</v>
      </c>
      <c r="B1854" t="str">
        <f>"005650"</f>
        <v>0</v>
      </c>
      <c r="C1854" t="s">
        <v>1773</v>
      </c>
      <c r="D1854" t="s">
        <v>3349</v>
      </c>
      <c r="E1854" t="str">
        <f>"3650800816578"</f>
        <v>0</v>
      </c>
      <c r="F1854" t="str">
        <f>"000480"</f>
        <v>0</v>
      </c>
      <c r="G1854" t="s">
        <v>21</v>
      </c>
    </row>
    <row r="1855" spans="1:7">
      <c r="A1855">
        <v>1854</v>
      </c>
      <c r="B1855" t="str">
        <f>"005840"</f>
        <v>0</v>
      </c>
      <c r="C1855" t="s">
        <v>3350</v>
      </c>
      <c r="D1855" t="s">
        <v>3351</v>
      </c>
      <c r="E1855" t="str">
        <f>"3260200003189"</f>
        <v>0</v>
      </c>
      <c r="F1855" t="str">
        <f>"000480"</f>
        <v>0</v>
      </c>
      <c r="G1855" t="s">
        <v>21</v>
      </c>
    </row>
    <row r="1856" spans="1:7">
      <c r="A1856">
        <v>1855</v>
      </c>
      <c r="B1856" t="str">
        <f>"005957"</f>
        <v>0</v>
      </c>
      <c r="C1856" t="s">
        <v>3352</v>
      </c>
      <c r="D1856" t="s">
        <v>3353</v>
      </c>
      <c r="E1856" t="str">
        <f>"3969900051102"</f>
        <v>0</v>
      </c>
      <c r="F1856" t="str">
        <f>"000480"</f>
        <v>0</v>
      </c>
      <c r="G1856" t="s">
        <v>21</v>
      </c>
    </row>
    <row r="1857" spans="1:7">
      <c r="A1857">
        <v>1856</v>
      </c>
      <c r="B1857" t="str">
        <f>"006348"</f>
        <v>0</v>
      </c>
      <c r="C1857" t="s">
        <v>3354</v>
      </c>
      <c r="D1857" t="s">
        <v>3355</v>
      </c>
      <c r="E1857" t="str">
        <f>"3220500028934"</f>
        <v>0</v>
      </c>
      <c r="F1857" t="str">
        <f>"000480"</f>
        <v>0</v>
      </c>
      <c r="G1857" t="s">
        <v>21</v>
      </c>
    </row>
    <row r="1858" spans="1:7">
      <c r="A1858">
        <v>1857</v>
      </c>
      <c r="B1858" t="str">
        <f>"007665"</f>
        <v>0</v>
      </c>
      <c r="C1858" t="s">
        <v>3356</v>
      </c>
      <c r="D1858" t="s">
        <v>3357</v>
      </c>
      <c r="E1858" t="str">
        <f>"3320400060835"</f>
        <v>0</v>
      </c>
      <c r="F1858" t="str">
        <f>"000480"</f>
        <v>0</v>
      </c>
      <c r="G1858" t="s">
        <v>21</v>
      </c>
    </row>
    <row r="1859" spans="1:7">
      <c r="A1859">
        <v>1858</v>
      </c>
      <c r="B1859" t="str">
        <f>"007904"</f>
        <v>0</v>
      </c>
      <c r="C1859" t="s">
        <v>3358</v>
      </c>
      <c r="D1859" t="s">
        <v>3359</v>
      </c>
      <c r="E1859" t="str">
        <f>"3220400013323"</f>
        <v>0</v>
      </c>
      <c r="F1859" t="str">
        <f>"000480"</f>
        <v>0</v>
      </c>
      <c r="G1859" t="s">
        <v>21</v>
      </c>
    </row>
    <row r="1860" spans="1:7">
      <c r="A1860">
        <v>1859</v>
      </c>
      <c r="B1860" t="str">
        <f>"007905"</f>
        <v>0</v>
      </c>
      <c r="C1860" t="s">
        <v>3360</v>
      </c>
      <c r="D1860" t="s">
        <v>3361</v>
      </c>
      <c r="E1860" t="str">
        <f>"3220400012777"</f>
        <v>0</v>
      </c>
      <c r="F1860" t="str">
        <f>"000480"</f>
        <v>0</v>
      </c>
      <c r="G1860" t="s">
        <v>21</v>
      </c>
    </row>
    <row r="1861" spans="1:7">
      <c r="A1861">
        <v>1860</v>
      </c>
      <c r="B1861" t="str">
        <f>"007906"</f>
        <v>0</v>
      </c>
      <c r="C1861" t="s">
        <v>1880</v>
      </c>
      <c r="D1861" t="s">
        <v>3359</v>
      </c>
      <c r="E1861" t="str">
        <f>"3220400013315"</f>
        <v>0</v>
      </c>
      <c r="F1861" t="str">
        <f>"000480"</f>
        <v>0</v>
      </c>
      <c r="G1861" t="s">
        <v>21</v>
      </c>
    </row>
    <row r="1862" spans="1:7">
      <c r="A1862">
        <v>1861</v>
      </c>
      <c r="B1862" t="str">
        <f>"008722"</f>
        <v>0</v>
      </c>
      <c r="C1862" t="s">
        <v>3362</v>
      </c>
      <c r="D1862" t="s">
        <v>3363</v>
      </c>
      <c r="E1862" t="str">
        <f>"3360101331233"</f>
        <v>0</v>
      </c>
      <c r="F1862" t="str">
        <f>"000480"</f>
        <v>0</v>
      </c>
      <c r="G1862" t="s">
        <v>21</v>
      </c>
    </row>
    <row r="1863" spans="1:7">
      <c r="A1863">
        <v>1862</v>
      </c>
      <c r="B1863" t="str">
        <f>"008926"</f>
        <v>0</v>
      </c>
      <c r="C1863" t="s">
        <v>3364</v>
      </c>
      <c r="D1863" t="s">
        <v>3365</v>
      </c>
      <c r="E1863" t="str">
        <f>"3229800004931"</f>
        <v>0</v>
      </c>
      <c r="F1863" t="str">
        <f>"000480"</f>
        <v>0</v>
      </c>
      <c r="G1863" t="s">
        <v>21</v>
      </c>
    </row>
    <row r="1864" spans="1:7">
      <c r="A1864">
        <v>1863</v>
      </c>
      <c r="B1864" t="str">
        <f>"009478"</f>
        <v>0</v>
      </c>
      <c r="C1864" t="s">
        <v>3366</v>
      </c>
      <c r="D1864" t="s">
        <v>3367</v>
      </c>
      <c r="E1864" t="str">
        <f>"3220100406346"</f>
        <v>0</v>
      </c>
      <c r="F1864" t="str">
        <f>"000480"</f>
        <v>0</v>
      </c>
      <c r="G1864" t="s">
        <v>21</v>
      </c>
    </row>
    <row r="1865" spans="1:7">
      <c r="A1865">
        <v>1864</v>
      </c>
      <c r="B1865" t="str">
        <f>"010400"</f>
        <v>0</v>
      </c>
      <c r="C1865" t="s">
        <v>2925</v>
      </c>
      <c r="D1865" t="s">
        <v>3368</v>
      </c>
      <c r="E1865" t="str">
        <f>"3229900116723"</f>
        <v>0</v>
      </c>
      <c r="F1865" t="str">
        <f>"000480"</f>
        <v>0</v>
      </c>
      <c r="G1865" t="s">
        <v>21</v>
      </c>
    </row>
    <row r="1866" spans="1:7">
      <c r="A1866">
        <v>1865</v>
      </c>
      <c r="B1866" t="str">
        <f>"011694"</f>
        <v>0</v>
      </c>
      <c r="C1866" t="s">
        <v>2303</v>
      </c>
      <c r="D1866" t="s">
        <v>3369</v>
      </c>
      <c r="E1866" t="str">
        <f>"3930300096093"</f>
        <v>0</v>
      </c>
      <c r="F1866" t="str">
        <f>"000480"</f>
        <v>0</v>
      </c>
      <c r="G1866" t="s">
        <v>21</v>
      </c>
    </row>
    <row r="1867" spans="1:7">
      <c r="A1867">
        <v>1866</v>
      </c>
      <c r="B1867" t="str">
        <f>"011873"</f>
        <v>0</v>
      </c>
      <c r="C1867" t="s">
        <v>3370</v>
      </c>
      <c r="D1867" t="s">
        <v>3340</v>
      </c>
      <c r="E1867" t="str">
        <f>"3220500010962"</f>
        <v>0</v>
      </c>
      <c r="F1867" t="str">
        <f>"000480"</f>
        <v>0</v>
      </c>
      <c r="G1867" t="s">
        <v>21</v>
      </c>
    </row>
    <row r="1868" spans="1:7">
      <c r="A1868">
        <v>1867</v>
      </c>
      <c r="B1868" t="str">
        <f>"012253"</f>
        <v>0</v>
      </c>
      <c r="C1868" t="s">
        <v>580</v>
      </c>
      <c r="D1868" t="s">
        <v>479</v>
      </c>
      <c r="E1868" t="str">
        <f>"3220400013293"</f>
        <v>0</v>
      </c>
      <c r="F1868" t="str">
        <f>"000480"</f>
        <v>0</v>
      </c>
      <c r="G1868" t="s">
        <v>21</v>
      </c>
    </row>
    <row r="1869" spans="1:7">
      <c r="A1869">
        <v>1868</v>
      </c>
      <c r="B1869" t="str">
        <f>"012403"</f>
        <v>0</v>
      </c>
      <c r="C1869" t="s">
        <v>3371</v>
      </c>
      <c r="D1869" t="s">
        <v>3372</v>
      </c>
      <c r="E1869" t="str">
        <f>"3800100303827"</f>
        <v>0</v>
      </c>
      <c r="F1869" t="str">
        <f>"000480"</f>
        <v>0</v>
      </c>
      <c r="G1869" t="s">
        <v>21</v>
      </c>
    </row>
    <row r="1870" spans="1:7">
      <c r="A1870">
        <v>1869</v>
      </c>
      <c r="B1870" t="str">
        <f>"012405"</f>
        <v>0</v>
      </c>
      <c r="C1870" t="s">
        <v>3373</v>
      </c>
      <c r="D1870" t="s">
        <v>3374</v>
      </c>
      <c r="E1870" t="str">
        <f>"3100201827399"</f>
        <v>0</v>
      </c>
      <c r="F1870" t="str">
        <f>"000480"</f>
        <v>0</v>
      </c>
      <c r="G1870" t="s">
        <v>21</v>
      </c>
    </row>
    <row r="1871" spans="1:7">
      <c r="A1871">
        <v>1870</v>
      </c>
      <c r="B1871" t="str">
        <f>"012429"</f>
        <v>0</v>
      </c>
      <c r="C1871" t="s">
        <v>3375</v>
      </c>
      <c r="D1871" t="s">
        <v>3376</v>
      </c>
      <c r="E1871" t="str">
        <f>"3770600347271"</f>
        <v>0</v>
      </c>
      <c r="F1871" t="str">
        <f>"000480"</f>
        <v>0</v>
      </c>
      <c r="G1871" t="s">
        <v>21</v>
      </c>
    </row>
    <row r="1872" spans="1:7">
      <c r="A1872">
        <v>1871</v>
      </c>
      <c r="B1872" t="str">
        <f>"012661"</f>
        <v>0</v>
      </c>
      <c r="C1872" t="s">
        <v>3377</v>
      </c>
      <c r="D1872" t="s">
        <v>3378</v>
      </c>
      <c r="E1872" t="str">
        <f>"3220100501675"</f>
        <v>0</v>
      </c>
      <c r="F1872" t="str">
        <f>"000480"</f>
        <v>0</v>
      </c>
      <c r="G1872" t="s">
        <v>21</v>
      </c>
    </row>
    <row r="1873" spans="1:7">
      <c r="A1873">
        <v>1872</v>
      </c>
      <c r="B1873" t="str">
        <f>"012664"</f>
        <v>0</v>
      </c>
      <c r="C1873" t="s">
        <v>3379</v>
      </c>
      <c r="D1873" t="s">
        <v>3380</v>
      </c>
      <c r="E1873" t="str">
        <f>"3101701609561"</f>
        <v>0</v>
      </c>
      <c r="F1873" t="str">
        <f>"000480"</f>
        <v>0</v>
      </c>
      <c r="G1873" t="s">
        <v>21</v>
      </c>
    </row>
    <row r="1874" spans="1:7">
      <c r="A1874">
        <v>1873</v>
      </c>
      <c r="B1874" t="str">
        <f>"012826"</f>
        <v>0</v>
      </c>
      <c r="C1874" t="s">
        <v>3381</v>
      </c>
      <c r="D1874" t="s">
        <v>3382</v>
      </c>
      <c r="E1874" t="str">
        <f>"3220300706416"</f>
        <v>0</v>
      </c>
      <c r="F1874" t="str">
        <f>"000480"</f>
        <v>0</v>
      </c>
      <c r="G1874" t="s">
        <v>21</v>
      </c>
    </row>
    <row r="1875" spans="1:7">
      <c r="A1875">
        <v>1874</v>
      </c>
      <c r="B1875" t="str">
        <f>"012827"</f>
        <v>0</v>
      </c>
      <c r="C1875" t="s">
        <v>3383</v>
      </c>
      <c r="D1875" t="s">
        <v>3384</v>
      </c>
      <c r="E1875" t="str">
        <f>"3840400076982"</f>
        <v>0</v>
      </c>
      <c r="F1875" t="str">
        <f>"000480"</f>
        <v>0</v>
      </c>
      <c r="G1875" t="s">
        <v>21</v>
      </c>
    </row>
    <row r="1876" spans="1:7">
      <c r="A1876">
        <v>1875</v>
      </c>
      <c r="B1876" t="str">
        <f>"013701"</f>
        <v>0</v>
      </c>
      <c r="C1876" t="s">
        <v>653</v>
      </c>
      <c r="D1876" t="s">
        <v>3385</v>
      </c>
      <c r="E1876" t="str">
        <f>"3220100291930"</f>
        <v>0</v>
      </c>
      <c r="F1876" t="str">
        <f>"000480"</f>
        <v>0</v>
      </c>
      <c r="G1876" t="s">
        <v>21</v>
      </c>
    </row>
    <row r="1877" spans="1:7">
      <c r="A1877">
        <v>1876</v>
      </c>
      <c r="B1877" t="str">
        <f>"016115"</f>
        <v>0</v>
      </c>
      <c r="C1877" t="s">
        <v>1792</v>
      </c>
      <c r="D1877" t="s">
        <v>3386</v>
      </c>
      <c r="E1877" t="str">
        <f>"3450600544878"</f>
        <v>0</v>
      </c>
      <c r="F1877" t="str">
        <f>"000480"</f>
        <v>0</v>
      </c>
      <c r="G1877" t="s">
        <v>21</v>
      </c>
    </row>
    <row r="1878" spans="1:7">
      <c r="A1878">
        <v>1877</v>
      </c>
      <c r="B1878" t="str">
        <f>"025188"</f>
        <v>0</v>
      </c>
      <c r="C1878" t="s">
        <v>3387</v>
      </c>
      <c r="D1878" t="s">
        <v>3388</v>
      </c>
      <c r="E1878" t="str">
        <f>"3229800030193"</f>
        <v>0</v>
      </c>
      <c r="F1878" t="str">
        <f>"000480"</f>
        <v>0</v>
      </c>
      <c r="G1878" t="s">
        <v>21</v>
      </c>
    </row>
    <row r="1879" spans="1:7">
      <c r="A1879">
        <v>1878</v>
      </c>
      <c r="B1879" t="str">
        <f>"026624"</f>
        <v>0</v>
      </c>
      <c r="C1879" t="s">
        <v>3389</v>
      </c>
      <c r="D1879" t="s">
        <v>3390</v>
      </c>
      <c r="E1879" t="str">
        <f>"3220100507851"</f>
        <v>0</v>
      </c>
      <c r="F1879" t="str">
        <f>"000480"</f>
        <v>0</v>
      </c>
      <c r="G1879" t="s">
        <v>21</v>
      </c>
    </row>
    <row r="1880" spans="1:7">
      <c r="A1880">
        <v>1879</v>
      </c>
      <c r="B1880" t="str">
        <f>"021740"</f>
        <v>0</v>
      </c>
      <c r="C1880" t="s">
        <v>3391</v>
      </c>
      <c r="D1880" t="s">
        <v>3392</v>
      </c>
      <c r="E1880" t="str">
        <f>"3220200080876"</f>
        <v>0</v>
      </c>
      <c r="F1880" t="str">
        <f>"000480"</f>
        <v>0</v>
      </c>
      <c r="G1880" t="s">
        <v>21</v>
      </c>
    </row>
    <row r="1881" spans="1:7">
      <c r="A1881">
        <v>1880</v>
      </c>
      <c r="B1881" t="str">
        <f>"019994"</f>
        <v>0</v>
      </c>
      <c r="C1881" t="s">
        <v>3393</v>
      </c>
      <c r="D1881" t="s">
        <v>3394</v>
      </c>
      <c r="E1881" t="str">
        <f>"3220100399781"</f>
        <v>0</v>
      </c>
      <c r="F1881" t="str">
        <f>"000480"</f>
        <v>0</v>
      </c>
      <c r="G1881" t="s">
        <v>21</v>
      </c>
    </row>
    <row r="1882" spans="1:7">
      <c r="A1882">
        <v>1881</v>
      </c>
      <c r="B1882" t="str">
        <f>"021885"</f>
        <v>0</v>
      </c>
      <c r="C1882" t="s">
        <v>3395</v>
      </c>
      <c r="D1882" t="s">
        <v>3396</v>
      </c>
      <c r="E1882" t="str">
        <f>"1401400011013"</f>
        <v>0</v>
      </c>
      <c r="F1882" t="str">
        <f>"000480"</f>
        <v>0</v>
      </c>
      <c r="G1882" t="s">
        <v>21</v>
      </c>
    </row>
    <row r="1883" spans="1:7">
      <c r="A1883">
        <v>1882</v>
      </c>
      <c r="B1883" t="str">
        <f>"024470"</f>
        <v>0</v>
      </c>
      <c r="C1883" t="s">
        <v>3397</v>
      </c>
      <c r="D1883" t="s">
        <v>3398</v>
      </c>
      <c r="E1883" t="str">
        <f>"1149900038221"</f>
        <v>0</v>
      </c>
      <c r="F1883" t="str">
        <f>"000480"</f>
        <v>0</v>
      </c>
      <c r="G1883" t="s">
        <v>21</v>
      </c>
    </row>
    <row r="1884" spans="1:7">
      <c r="A1884">
        <v>1883</v>
      </c>
      <c r="B1884" t="str">
        <f>"025236"</f>
        <v>0</v>
      </c>
      <c r="C1884" t="s">
        <v>3399</v>
      </c>
      <c r="D1884" t="s">
        <v>3400</v>
      </c>
      <c r="E1884" t="str">
        <f>"1209700313634"</f>
        <v>0</v>
      </c>
      <c r="F1884" t="str">
        <f>"000480"</f>
        <v>0</v>
      </c>
      <c r="G1884" t="s">
        <v>21</v>
      </c>
    </row>
    <row r="1885" spans="1:7">
      <c r="A1885">
        <v>1884</v>
      </c>
      <c r="B1885" t="str">
        <f>"026321"</f>
        <v>0</v>
      </c>
      <c r="C1885" t="s">
        <v>3401</v>
      </c>
      <c r="D1885" t="s">
        <v>3402</v>
      </c>
      <c r="E1885" t="str">
        <f>"1103700037764"</f>
        <v>0</v>
      </c>
      <c r="F1885" t="str">
        <f>"000480"</f>
        <v>0</v>
      </c>
      <c r="G1885" t="s">
        <v>21</v>
      </c>
    </row>
    <row r="1886" spans="1:7">
      <c r="A1886">
        <v>1885</v>
      </c>
      <c r="B1886" t="str">
        <f>"010662"</f>
        <v>0</v>
      </c>
      <c r="C1886" t="s">
        <v>1699</v>
      </c>
      <c r="D1886" t="s">
        <v>3403</v>
      </c>
      <c r="E1886" t="str">
        <f>"3230300010641"</f>
        <v>0</v>
      </c>
      <c r="F1886" t="str">
        <f>"000480"</f>
        <v>0</v>
      </c>
      <c r="G1886" t="s">
        <v>21</v>
      </c>
    </row>
    <row r="1887" spans="1:7">
      <c r="A1887">
        <v>1886</v>
      </c>
      <c r="B1887" t="str">
        <f>"011320"</f>
        <v>0</v>
      </c>
      <c r="C1887" t="s">
        <v>3404</v>
      </c>
      <c r="D1887" t="s">
        <v>3405</v>
      </c>
      <c r="E1887" t="str">
        <f>"3930100855209"</f>
        <v>0</v>
      </c>
      <c r="F1887" t="str">
        <f>"000480"</f>
        <v>0</v>
      </c>
      <c r="G1887" t="s">
        <v>21</v>
      </c>
    </row>
    <row r="1888" spans="1:7">
      <c r="A1888">
        <v>1887</v>
      </c>
      <c r="B1888" t="str">
        <f>"011695"</f>
        <v>0</v>
      </c>
      <c r="C1888" t="s">
        <v>167</v>
      </c>
      <c r="D1888" t="s">
        <v>3406</v>
      </c>
      <c r="E1888" t="str">
        <f>"3229800006713"</f>
        <v>0</v>
      </c>
      <c r="F1888" t="str">
        <f>"000480"</f>
        <v>0</v>
      </c>
      <c r="G1888" t="s">
        <v>21</v>
      </c>
    </row>
    <row r="1889" spans="1:7">
      <c r="A1889">
        <v>1888</v>
      </c>
      <c r="B1889" t="str">
        <f>"012009"</f>
        <v>0</v>
      </c>
      <c r="C1889" t="s">
        <v>3407</v>
      </c>
      <c r="D1889" t="s">
        <v>3408</v>
      </c>
      <c r="E1889" t="str">
        <f>"3219900152045"</f>
        <v>0</v>
      </c>
      <c r="F1889" t="str">
        <f>"000480"</f>
        <v>0</v>
      </c>
      <c r="G1889" t="s">
        <v>21</v>
      </c>
    </row>
    <row r="1890" spans="1:7">
      <c r="A1890">
        <v>1889</v>
      </c>
      <c r="B1890" t="str">
        <f>"013683"</f>
        <v>0</v>
      </c>
      <c r="C1890" t="s">
        <v>2791</v>
      </c>
      <c r="D1890" t="s">
        <v>3409</v>
      </c>
      <c r="E1890" t="str">
        <f>"3220100262182"</f>
        <v>0</v>
      </c>
      <c r="F1890" t="str">
        <f>"000480"</f>
        <v>0</v>
      </c>
      <c r="G1890" t="s">
        <v>21</v>
      </c>
    </row>
    <row r="1891" spans="1:7">
      <c r="A1891">
        <v>1890</v>
      </c>
      <c r="B1891" t="str">
        <f>"016280"</f>
        <v>0</v>
      </c>
      <c r="C1891" t="s">
        <v>466</v>
      </c>
      <c r="D1891" t="s">
        <v>3410</v>
      </c>
      <c r="E1891" t="str">
        <f>"3100203075301"</f>
        <v>0</v>
      </c>
      <c r="F1891" t="str">
        <f>"000480"</f>
        <v>0</v>
      </c>
      <c r="G1891" t="s">
        <v>21</v>
      </c>
    </row>
    <row r="1892" spans="1:7">
      <c r="A1892">
        <v>1891</v>
      </c>
      <c r="B1892" t="str">
        <f>"017655"</f>
        <v>0</v>
      </c>
      <c r="C1892" t="s">
        <v>3411</v>
      </c>
      <c r="D1892" t="s">
        <v>3412</v>
      </c>
      <c r="E1892" t="str">
        <f>"3220600111647"</f>
        <v>0</v>
      </c>
      <c r="F1892" t="str">
        <f>"000480"</f>
        <v>0</v>
      </c>
      <c r="G1892" t="s">
        <v>21</v>
      </c>
    </row>
    <row r="1893" spans="1:7">
      <c r="A1893">
        <v>1892</v>
      </c>
      <c r="B1893" t="str">
        <f>"020338"</f>
        <v>0</v>
      </c>
      <c r="C1893" t="s">
        <v>3413</v>
      </c>
      <c r="D1893" t="s">
        <v>3414</v>
      </c>
      <c r="E1893" t="str">
        <f>"3220200375281"</f>
        <v>0</v>
      </c>
      <c r="F1893" t="str">
        <f>"000480"</f>
        <v>0</v>
      </c>
      <c r="G1893" t="s">
        <v>21</v>
      </c>
    </row>
    <row r="1894" spans="1:7">
      <c r="A1894">
        <v>1893</v>
      </c>
      <c r="B1894" t="str">
        <f>"020515"</f>
        <v>0</v>
      </c>
      <c r="C1894" t="s">
        <v>3415</v>
      </c>
      <c r="D1894" t="s">
        <v>3416</v>
      </c>
      <c r="E1894" t="str">
        <f>"3220400012769"</f>
        <v>0</v>
      </c>
      <c r="F1894" t="str">
        <f>"000480"</f>
        <v>0</v>
      </c>
      <c r="G1894" t="s">
        <v>21</v>
      </c>
    </row>
    <row r="1895" spans="1:7">
      <c r="A1895">
        <v>1894</v>
      </c>
      <c r="B1895" t="str">
        <f>"020887"</f>
        <v>0</v>
      </c>
      <c r="C1895" t="s">
        <v>3417</v>
      </c>
      <c r="D1895" t="s">
        <v>3418</v>
      </c>
      <c r="E1895" t="str">
        <f>"3220300183324"</f>
        <v>0</v>
      </c>
      <c r="F1895" t="str">
        <f>"000480"</f>
        <v>0</v>
      </c>
      <c r="G1895" t="s">
        <v>21</v>
      </c>
    </row>
    <row r="1896" spans="1:7">
      <c r="A1896">
        <v>1895</v>
      </c>
      <c r="B1896" t="str">
        <f>"020912"</f>
        <v>0</v>
      </c>
      <c r="C1896" t="s">
        <v>3419</v>
      </c>
      <c r="D1896" t="s">
        <v>3420</v>
      </c>
      <c r="E1896" t="str">
        <f>"3220100552075"</f>
        <v>0</v>
      </c>
      <c r="F1896" t="str">
        <f>"000480"</f>
        <v>0</v>
      </c>
      <c r="G1896" t="s">
        <v>21</v>
      </c>
    </row>
    <row r="1897" spans="1:7">
      <c r="A1897">
        <v>1896</v>
      </c>
      <c r="B1897" t="str">
        <f>"020997"</f>
        <v>0</v>
      </c>
      <c r="C1897" t="s">
        <v>3421</v>
      </c>
      <c r="D1897" t="s">
        <v>3422</v>
      </c>
      <c r="E1897" t="str">
        <f>"3229900034000"</f>
        <v>0</v>
      </c>
      <c r="F1897" t="str">
        <f>"000480"</f>
        <v>0</v>
      </c>
      <c r="G1897" t="s">
        <v>21</v>
      </c>
    </row>
    <row r="1898" spans="1:7">
      <c r="A1898">
        <v>1897</v>
      </c>
      <c r="B1898" t="str">
        <f>"021145"</f>
        <v>0</v>
      </c>
      <c r="C1898" t="s">
        <v>1585</v>
      </c>
      <c r="D1898" t="s">
        <v>3423</v>
      </c>
      <c r="E1898" t="str">
        <f>"5220300004841"</f>
        <v>0</v>
      </c>
      <c r="F1898" t="str">
        <f>"000480"</f>
        <v>0</v>
      </c>
      <c r="G1898" t="s">
        <v>21</v>
      </c>
    </row>
    <row r="1899" spans="1:7">
      <c r="A1899">
        <v>1898</v>
      </c>
      <c r="B1899" t="str">
        <f>"021305"</f>
        <v>0</v>
      </c>
      <c r="C1899" t="s">
        <v>3424</v>
      </c>
      <c r="D1899" t="s">
        <v>3425</v>
      </c>
      <c r="E1899" t="str">
        <f>"3500400353288"</f>
        <v>0</v>
      </c>
      <c r="F1899" t="str">
        <f>"000480"</f>
        <v>0</v>
      </c>
      <c r="G1899" t="s">
        <v>21</v>
      </c>
    </row>
    <row r="1900" spans="1:7">
      <c r="A1900">
        <v>1899</v>
      </c>
      <c r="B1900" t="str">
        <f>"021307"</f>
        <v>0</v>
      </c>
      <c r="C1900" t="s">
        <v>3426</v>
      </c>
      <c r="D1900" t="s">
        <v>3427</v>
      </c>
      <c r="E1900" t="str">
        <f>"3101800088756"</f>
        <v>0</v>
      </c>
      <c r="F1900" t="str">
        <f>"000480"</f>
        <v>0</v>
      </c>
      <c r="G1900" t="s">
        <v>21</v>
      </c>
    </row>
    <row r="1901" spans="1:7">
      <c r="A1901">
        <v>1900</v>
      </c>
      <c r="B1901" t="str">
        <f>"021379"</f>
        <v>0</v>
      </c>
      <c r="C1901" t="s">
        <v>3428</v>
      </c>
      <c r="D1901" t="s">
        <v>3429</v>
      </c>
      <c r="E1901" t="str">
        <f>"3220100554485"</f>
        <v>0</v>
      </c>
      <c r="F1901" t="str">
        <f>"000480"</f>
        <v>0</v>
      </c>
      <c r="G1901" t="s">
        <v>21</v>
      </c>
    </row>
    <row r="1902" spans="1:7">
      <c r="A1902">
        <v>1901</v>
      </c>
      <c r="B1902" t="str">
        <f>"021380"</f>
        <v>0</v>
      </c>
      <c r="C1902" t="s">
        <v>3430</v>
      </c>
      <c r="D1902" t="s">
        <v>3431</v>
      </c>
      <c r="E1902" t="str">
        <f>"3220100333403"</f>
        <v>0</v>
      </c>
      <c r="F1902" t="str">
        <f>"000480"</f>
        <v>0</v>
      </c>
      <c r="G1902" t="s">
        <v>21</v>
      </c>
    </row>
    <row r="1903" spans="1:7">
      <c r="A1903">
        <v>1902</v>
      </c>
      <c r="B1903" t="str">
        <f>"021457"</f>
        <v>0</v>
      </c>
      <c r="C1903" t="s">
        <v>3432</v>
      </c>
      <c r="D1903" t="s">
        <v>3433</v>
      </c>
      <c r="E1903" t="str">
        <f>"3220100137574"</f>
        <v>0</v>
      </c>
      <c r="F1903" t="str">
        <f>"000480"</f>
        <v>0</v>
      </c>
      <c r="G1903" t="s">
        <v>21</v>
      </c>
    </row>
    <row r="1904" spans="1:7">
      <c r="A1904">
        <v>1903</v>
      </c>
      <c r="B1904" t="str">
        <f>"021552"</f>
        <v>0</v>
      </c>
      <c r="C1904" t="s">
        <v>3434</v>
      </c>
      <c r="D1904" t="s">
        <v>3435</v>
      </c>
      <c r="E1904" t="str">
        <f>"3450200576098"</f>
        <v>0</v>
      </c>
      <c r="F1904" t="str">
        <f>"000480"</f>
        <v>0</v>
      </c>
      <c r="G1904" t="s">
        <v>21</v>
      </c>
    </row>
    <row r="1905" spans="1:7">
      <c r="A1905">
        <v>1904</v>
      </c>
      <c r="B1905" t="str">
        <f>"021608"</f>
        <v>0</v>
      </c>
      <c r="C1905" t="s">
        <v>3436</v>
      </c>
      <c r="D1905" t="s">
        <v>3437</v>
      </c>
      <c r="E1905" t="str">
        <f>"3400100767410"</f>
        <v>0</v>
      </c>
      <c r="F1905" t="str">
        <f>"000480"</f>
        <v>0</v>
      </c>
      <c r="G1905" t="s">
        <v>21</v>
      </c>
    </row>
    <row r="1906" spans="1:7">
      <c r="A1906">
        <v>1905</v>
      </c>
      <c r="B1906" t="str">
        <f>"021646"</f>
        <v>0</v>
      </c>
      <c r="C1906" t="s">
        <v>3438</v>
      </c>
      <c r="D1906" t="s">
        <v>3439</v>
      </c>
      <c r="E1906" t="str">
        <f>"1559900050537"</f>
        <v>0</v>
      </c>
      <c r="F1906" t="str">
        <f>"000480"</f>
        <v>0</v>
      </c>
      <c r="G1906" t="s">
        <v>21</v>
      </c>
    </row>
    <row r="1907" spans="1:7">
      <c r="A1907">
        <v>1906</v>
      </c>
      <c r="B1907" t="str">
        <f>"021771"</f>
        <v>0</v>
      </c>
      <c r="C1907" t="s">
        <v>3440</v>
      </c>
      <c r="D1907" t="s">
        <v>3441</v>
      </c>
      <c r="E1907" t="str">
        <f>"3420300012684"</f>
        <v>0</v>
      </c>
      <c r="F1907" t="str">
        <f>"000480"</f>
        <v>0</v>
      </c>
      <c r="G1907" t="s">
        <v>21</v>
      </c>
    </row>
    <row r="1908" spans="1:7">
      <c r="A1908">
        <v>1907</v>
      </c>
      <c r="B1908" t="str">
        <f>"022360"</f>
        <v>0</v>
      </c>
      <c r="C1908" t="s">
        <v>3442</v>
      </c>
      <c r="D1908" t="s">
        <v>3443</v>
      </c>
      <c r="E1908" t="str">
        <f>"3200100697685"</f>
        <v>0</v>
      </c>
      <c r="F1908" t="str">
        <f>"000480"</f>
        <v>0</v>
      </c>
      <c r="G1908" t="s">
        <v>21</v>
      </c>
    </row>
    <row r="1909" spans="1:7">
      <c r="A1909">
        <v>1908</v>
      </c>
      <c r="B1909" t="str">
        <f>"022691"</f>
        <v>0</v>
      </c>
      <c r="C1909" t="s">
        <v>3444</v>
      </c>
      <c r="D1909" t="s">
        <v>3445</v>
      </c>
      <c r="E1909" t="str">
        <f>"3220300900069"</f>
        <v>0</v>
      </c>
      <c r="F1909" t="str">
        <f>"000480"</f>
        <v>0</v>
      </c>
      <c r="G1909" t="s">
        <v>21</v>
      </c>
    </row>
    <row r="1910" spans="1:7">
      <c r="A1910">
        <v>1909</v>
      </c>
      <c r="B1910" t="str">
        <f>"022692"</f>
        <v>0</v>
      </c>
      <c r="C1910" t="s">
        <v>3446</v>
      </c>
      <c r="D1910" t="s">
        <v>3447</v>
      </c>
      <c r="E1910" t="str">
        <f>"3220300275539"</f>
        <v>0</v>
      </c>
      <c r="F1910" t="str">
        <f>"000480"</f>
        <v>0</v>
      </c>
      <c r="G1910" t="s">
        <v>21</v>
      </c>
    </row>
    <row r="1911" spans="1:7">
      <c r="A1911">
        <v>1910</v>
      </c>
      <c r="B1911" t="str">
        <f>"023096"</f>
        <v>0</v>
      </c>
      <c r="C1911" t="s">
        <v>3448</v>
      </c>
      <c r="D1911" t="s">
        <v>3449</v>
      </c>
      <c r="E1911" t="str">
        <f>"3460600104096"</f>
        <v>0</v>
      </c>
      <c r="F1911" t="str">
        <f>"000480"</f>
        <v>0</v>
      </c>
      <c r="G1911" t="s">
        <v>21</v>
      </c>
    </row>
    <row r="1912" spans="1:7">
      <c r="A1912">
        <v>1911</v>
      </c>
      <c r="B1912" t="str">
        <f>"023326"</f>
        <v>0</v>
      </c>
      <c r="C1912" t="s">
        <v>3450</v>
      </c>
      <c r="D1912" t="s">
        <v>3451</v>
      </c>
      <c r="E1912" t="str">
        <f>"1229900077870"</f>
        <v>0</v>
      </c>
      <c r="F1912" t="str">
        <f>"000480"</f>
        <v>0</v>
      </c>
      <c r="G1912" t="s">
        <v>21</v>
      </c>
    </row>
    <row r="1913" spans="1:7">
      <c r="A1913">
        <v>1912</v>
      </c>
      <c r="B1913" t="str">
        <f>"023563"</f>
        <v>0</v>
      </c>
      <c r="C1913" t="s">
        <v>1289</v>
      </c>
      <c r="D1913" t="s">
        <v>3452</v>
      </c>
      <c r="E1913" t="str">
        <f>"3229900164957"</f>
        <v>0</v>
      </c>
      <c r="F1913" t="str">
        <f>"000480"</f>
        <v>0</v>
      </c>
      <c r="G1913" t="s">
        <v>21</v>
      </c>
    </row>
    <row r="1914" spans="1:7">
      <c r="A1914">
        <v>1913</v>
      </c>
      <c r="B1914" t="str">
        <f>"023669"</f>
        <v>0</v>
      </c>
      <c r="C1914" t="s">
        <v>3453</v>
      </c>
      <c r="D1914" t="s">
        <v>3454</v>
      </c>
      <c r="E1914" t="str">
        <f>"3530400163438"</f>
        <v>0</v>
      </c>
      <c r="F1914" t="str">
        <f>"000480"</f>
        <v>0</v>
      </c>
      <c r="G1914" t="s">
        <v>21</v>
      </c>
    </row>
    <row r="1915" spans="1:7">
      <c r="A1915">
        <v>1914</v>
      </c>
      <c r="B1915" t="str">
        <f>"023972"</f>
        <v>0</v>
      </c>
      <c r="C1915" t="s">
        <v>3455</v>
      </c>
      <c r="D1915" t="s">
        <v>3456</v>
      </c>
      <c r="E1915" t="str">
        <f>"3220600038214"</f>
        <v>0</v>
      </c>
      <c r="F1915" t="str">
        <f>"000480"</f>
        <v>0</v>
      </c>
      <c r="G1915" t="s">
        <v>21</v>
      </c>
    </row>
    <row r="1916" spans="1:7">
      <c r="A1916">
        <v>1915</v>
      </c>
      <c r="B1916" t="str">
        <f>"024116"</f>
        <v>0</v>
      </c>
      <c r="C1916" t="s">
        <v>3457</v>
      </c>
      <c r="D1916" t="s">
        <v>3458</v>
      </c>
      <c r="E1916" t="str">
        <f>"3220300018196"</f>
        <v>0</v>
      </c>
      <c r="F1916" t="str">
        <f>"000480"</f>
        <v>0</v>
      </c>
      <c r="G1916" t="s">
        <v>21</v>
      </c>
    </row>
    <row r="1917" spans="1:7">
      <c r="A1917">
        <v>1916</v>
      </c>
      <c r="B1917" t="str">
        <f>"024327"</f>
        <v>0</v>
      </c>
      <c r="C1917" t="s">
        <v>3459</v>
      </c>
      <c r="D1917" t="s">
        <v>3460</v>
      </c>
      <c r="E1917" t="str">
        <f>"1229900022871"</f>
        <v>0</v>
      </c>
      <c r="F1917" t="str">
        <f>"000480"</f>
        <v>0</v>
      </c>
      <c r="G1917" t="s">
        <v>21</v>
      </c>
    </row>
    <row r="1918" spans="1:7">
      <c r="A1918">
        <v>1917</v>
      </c>
      <c r="B1918" t="str">
        <f>"024594"</f>
        <v>0</v>
      </c>
      <c r="C1918" t="s">
        <v>3461</v>
      </c>
      <c r="D1918" t="s">
        <v>3462</v>
      </c>
      <c r="E1918" t="str">
        <f>"3220200083859"</f>
        <v>0</v>
      </c>
      <c r="F1918" t="str">
        <f>"000480"</f>
        <v>0</v>
      </c>
      <c r="G1918" t="s">
        <v>21</v>
      </c>
    </row>
    <row r="1919" spans="1:7">
      <c r="A1919">
        <v>1918</v>
      </c>
      <c r="B1919" t="str">
        <f>"024631"</f>
        <v>0</v>
      </c>
      <c r="C1919" t="s">
        <v>3463</v>
      </c>
      <c r="D1919" t="s">
        <v>3464</v>
      </c>
      <c r="E1919" t="str">
        <f>"2549900012404"</f>
        <v>0</v>
      </c>
      <c r="F1919" t="str">
        <f>"000480"</f>
        <v>0</v>
      </c>
      <c r="G1919" t="s">
        <v>21</v>
      </c>
    </row>
    <row r="1920" spans="1:7">
      <c r="A1920">
        <v>1919</v>
      </c>
      <c r="B1920" t="str">
        <f>"024737"</f>
        <v>0</v>
      </c>
      <c r="C1920" t="s">
        <v>3465</v>
      </c>
      <c r="D1920" t="s">
        <v>3466</v>
      </c>
      <c r="E1920" t="str">
        <f>"3229700078691"</f>
        <v>0</v>
      </c>
      <c r="F1920" t="str">
        <f>"000480"</f>
        <v>0</v>
      </c>
      <c r="G1920" t="s">
        <v>21</v>
      </c>
    </row>
    <row r="1921" spans="1:7">
      <c r="A1921">
        <v>1920</v>
      </c>
      <c r="B1921" t="str">
        <f>"024738"</f>
        <v>0</v>
      </c>
      <c r="C1921" t="s">
        <v>3467</v>
      </c>
      <c r="D1921" t="s">
        <v>3468</v>
      </c>
      <c r="E1921" t="str">
        <f>"3229800081499"</f>
        <v>0</v>
      </c>
      <c r="F1921" t="str">
        <f>"000480"</f>
        <v>0</v>
      </c>
      <c r="G1921" t="s">
        <v>21</v>
      </c>
    </row>
    <row r="1922" spans="1:7">
      <c r="A1922">
        <v>1921</v>
      </c>
      <c r="B1922" t="str">
        <f>"024896"</f>
        <v>0</v>
      </c>
      <c r="C1922" t="s">
        <v>1346</v>
      </c>
      <c r="D1922" t="s">
        <v>3469</v>
      </c>
      <c r="E1922" t="str">
        <f>"3220200049227"</f>
        <v>0</v>
      </c>
      <c r="F1922" t="str">
        <f>"000480"</f>
        <v>0</v>
      </c>
      <c r="G1922" t="s">
        <v>21</v>
      </c>
    </row>
    <row r="1923" spans="1:7">
      <c r="A1923">
        <v>1922</v>
      </c>
      <c r="B1923" t="str">
        <f>"024971"</f>
        <v>0</v>
      </c>
      <c r="C1923" t="s">
        <v>3470</v>
      </c>
      <c r="D1923" t="s">
        <v>3471</v>
      </c>
      <c r="E1923" t="str">
        <f>"3220100531086"</f>
        <v>0</v>
      </c>
      <c r="F1923" t="str">
        <f>"000480"</f>
        <v>0</v>
      </c>
      <c r="G1923" t="s">
        <v>21</v>
      </c>
    </row>
    <row r="1924" spans="1:7">
      <c r="A1924">
        <v>1923</v>
      </c>
      <c r="B1924" t="str">
        <f>"025090"</f>
        <v>0</v>
      </c>
      <c r="C1924" t="s">
        <v>610</v>
      </c>
      <c r="D1924" t="s">
        <v>3472</v>
      </c>
      <c r="E1924" t="str">
        <f>"1229900152430"</f>
        <v>0</v>
      </c>
      <c r="F1924" t="str">
        <f>"000480"</f>
        <v>0</v>
      </c>
      <c r="G1924" t="s">
        <v>21</v>
      </c>
    </row>
    <row r="1925" spans="1:7">
      <c r="A1925">
        <v>1924</v>
      </c>
      <c r="B1925" t="str">
        <f>"025401"</f>
        <v>0</v>
      </c>
      <c r="C1925" t="s">
        <v>3473</v>
      </c>
      <c r="D1925" t="s">
        <v>3474</v>
      </c>
      <c r="E1925" t="str">
        <f>"1229900149714"</f>
        <v>0</v>
      </c>
      <c r="F1925" t="str">
        <f>"000480"</f>
        <v>0</v>
      </c>
      <c r="G1925" t="s">
        <v>21</v>
      </c>
    </row>
    <row r="1926" spans="1:7">
      <c r="A1926">
        <v>1925</v>
      </c>
      <c r="B1926" t="str">
        <f>"025578"</f>
        <v>0</v>
      </c>
      <c r="C1926" t="s">
        <v>1781</v>
      </c>
      <c r="D1926" t="s">
        <v>3475</v>
      </c>
      <c r="E1926" t="str">
        <f>"1229800003289"</f>
        <v>0</v>
      </c>
      <c r="F1926" t="str">
        <f>"000480"</f>
        <v>0</v>
      </c>
      <c r="G1926" t="s">
        <v>21</v>
      </c>
    </row>
    <row r="1927" spans="1:7">
      <c r="A1927">
        <v>1926</v>
      </c>
      <c r="B1927" t="str">
        <f>"025733"</f>
        <v>0</v>
      </c>
      <c r="C1927" t="s">
        <v>3476</v>
      </c>
      <c r="D1927" t="s">
        <v>3477</v>
      </c>
      <c r="E1927" t="str">
        <f>"3220300117984"</f>
        <v>0</v>
      </c>
      <c r="F1927" t="str">
        <f>"000480"</f>
        <v>0</v>
      </c>
      <c r="G1927" t="s">
        <v>21</v>
      </c>
    </row>
    <row r="1928" spans="1:7">
      <c r="A1928">
        <v>1927</v>
      </c>
      <c r="B1928" t="str">
        <f>"026095"</f>
        <v>0</v>
      </c>
      <c r="C1928" t="s">
        <v>3478</v>
      </c>
      <c r="D1928" t="s">
        <v>3479</v>
      </c>
      <c r="E1928" t="str">
        <f>"1750200045786"</f>
        <v>0</v>
      </c>
      <c r="F1928" t="str">
        <f>"000480"</f>
        <v>0</v>
      </c>
      <c r="G1928" t="s">
        <v>21</v>
      </c>
    </row>
    <row r="1929" spans="1:7">
      <c r="A1929">
        <v>1928</v>
      </c>
      <c r="B1929" t="str">
        <f>"026435"</f>
        <v>0</v>
      </c>
      <c r="C1929" t="s">
        <v>3480</v>
      </c>
      <c r="D1929" t="s">
        <v>3481</v>
      </c>
      <c r="E1929" t="str">
        <f>"1559900012694"</f>
        <v>0</v>
      </c>
      <c r="F1929" t="str">
        <f>"000480"</f>
        <v>0</v>
      </c>
      <c r="G1929" t="s">
        <v>21</v>
      </c>
    </row>
    <row r="1930" spans="1:7">
      <c r="A1930">
        <v>1929</v>
      </c>
      <c r="B1930" t="str">
        <f>"026471"</f>
        <v>0</v>
      </c>
      <c r="C1930" t="s">
        <v>3482</v>
      </c>
      <c r="D1930" t="s">
        <v>3483</v>
      </c>
      <c r="E1930" t="str">
        <f>"1509900432758"</f>
        <v>0</v>
      </c>
      <c r="F1930" t="str">
        <f>"000480"</f>
        <v>0</v>
      </c>
      <c r="G1930" t="s">
        <v>21</v>
      </c>
    </row>
    <row r="1931" spans="1:7">
      <c r="A1931">
        <v>1930</v>
      </c>
      <c r="B1931" t="str">
        <f>"023311"</f>
        <v>0</v>
      </c>
      <c r="C1931" t="s">
        <v>3484</v>
      </c>
      <c r="D1931" t="s">
        <v>3485</v>
      </c>
      <c r="E1931" t="str">
        <f>"1239900084205"</f>
        <v>0</v>
      </c>
      <c r="F1931" t="str">
        <f>"000480"</f>
        <v>0</v>
      </c>
      <c r="G1931" t="s">
        <v>21</v>
      </c>
    </row>
    <row r="1932" spans="1:7">
      <c r="A1932">
        <v>1931</v>
      </c>
      <c r="B1932" t="str">
        <f>"024739"</f>
        <v>0</v>
      </c>
      <c r="C1932" t="s">
        <v>3486</v>
      </c>
      <c r="D1932" t="s">
        <v>3487</v>
      </c>
      <c r="E1932" t="str">
        <f>"1239900090698"</f>
        <v>0</v>
      </c>
      <c r="F1932" t="str">
        <f>"000480"</f>
        <v>0</v>
      </c>
      <c r="G1932" t="s">
        <v>21</v>
      </c>
    </row>
    <row r="1933" spans="1:7">
      <c r="A1933">
        <v>1932</v>
      </c>
      <c r="B1933" t="str">
        <f>"024204"</f>
        <v>0</v>
      </c>
      <c r="C1933" t="s">
        <v>3488</v>
      </c>
      <c r="D1933" t="s">
        <v>3489</v>
      </c>
      <c r="E1933" t="str">
        <f>"1249900011020"</f>
        <v>0</v>
      </c>
      <c r="F1933" t="str">
        <f>"000480"</f>
        <v>0</v>
      </c>
      <c r="G1933" t="s">
        <v>21</v>
      </c>
    </row>
    <row r="1934" spans="1:7">
      <c r="A1934">
        <v>1933</v>
      </c>
      <c r="B1934" t="str">
        <f>"020513"</f>
        <v>0</v>
      </c>
      <c r="C1934" t="s">
        <v>3490</v>
      </c>
      <c r="D1934" t="s">
        <v>1133</v>
      </c>
      <c r="E1934" t="str">
        <f>"3309901629014"</f>
        <v>0</v>
      </c>
      <c r="F1934" t="str">
        <f>"000480"</f>
        <v>0</v>
      </c>
      <c r="G1934" t="s">
        <v>21</v>
      </c>
    </row>
    <row r="1935" spans="1:7">
      <c r="A1935">
        <v>1934</v>
      </c>
      <c r="B1935" t="str">
        <f>"024189"</f>
        <v>0</v>
      </c>
      <c r="C1935" t="s">
        <v>3491</v>
      </c>
      <c r="D1935" t="s">
        <v>3492</v>
      </c>
      <c r="E1935" t="str">
        <f>"2331200019893"</f>
        <v>0</v>
      </c>
      <c r="F1935" t="str">
        <f>"000480"</f>
        <v>0</v>
      </c>
      <c r="G1935" t="s">
        <v>21</v>
      </c>
    </row>
    <row r="1936" spans="1:7">
      <c r="A1936">
        <v>1935</v>
      </c>
      <c r="B1936" t="str">
        <f>"026094"</f>
        <v>0</v>
      </c>
      <c r="C1936" t="s">
        <v>3493</v>
      </c>
      <c r="D1936" t="s">
        <v>3494</v>
      </c>
      <c r="E1936" t="str">
        <f>"1509901377220"</f>
        <v>0</v>
      </c>
      <c r="F1936" t="str">
        <f>"000480"</f>
        <v>0</v>
      </c>
      <c r="G1936" t="s">
        <v>21</v>
      </c>
    </row>
    <row r="1937" spans="1:7">
      <c r="A1937">
        <v>1936</v>
      </c>
      <c r="B1937" t="str">
        <f>"026856"</f>
        <v>0</v>
      </c>
      <c r="C1937" t="s">
        <v>3495</v>
      </c>
      <c r="D1937" t="s">
        <v>3496</v>
      </c>
      <c r="E1937" t="str">
        <f>"1529900272068"</f>
        <v>0</v>
      </c>
      <c r="F1937" t="str">
        <f>"000480"</f>
        <v>0</v>
      </c>
      <c r="G1937" t="s">
        <v>21</v>
      </c>
    </row>
    <row r="1938" spans="1:7">
      <c r="A1938">
        <v>1937</v>
      </c>
      <c r="B1938" t="str">
        <f>"026019"</f>
        <v>0</v>
      </c>
      <c r="C1938" t="s">
        <v>3497</v>
      </c>
      <c r="D1938" t="s">
        <v>3498</v>
      </c>
      <c r="E1938" t="str">
        <f>"1320900128017"</f>
        <v>0</v>
      </c>
      <c r="F1938" t="str">
        <f>"000480"</f>
        <v>0</v>
      </c>
      <c r="G1938" t="s">
        <v>21</v>
      </c>
    </row>
    <row r="1939" spans="1:7">
      <c r="A1939">
        <v>1938</v>
      </c>
      <c r="B1939" t="str">
        <f>"026096"</f>
        <v>0</v>
      </c>
      <c r="C1939" t="s">
        <v>3499</v>
      </c>
      <c r="D1939" t="s">
        <v>3500</v>
      </c>
      <c r="E1939" t="str">
        <f>"1700800004967"</f>
        <v>0</v>
      </c>
      <c r="F1939" t="str">
        <f>"000480"</f>
        <v>0</v>
      </c>
      <c r="G1939" t="s">
        <v>21</v>
      </c>
    </row>
    <row r="1940" spans="1:7">
      <c r="A1940">
        <v>1939</v>
      </c>
      <c r="B1940" t="str">
        <f>"024595"</f>
        <v>0</v>
      </c>
      <c r="C1940" t="s">
        <v>3501</v>
      </c>
      <c r="D1940" t="s">
        <v>3502</v>
      </c>
      <c r="E1940" t="str">
        <f>"3730101152203"</f>
        <v>0</v>
      </c>
      <c r="F1940" t="str">
        <f>"000480"</f>
        <v>0</v>
      </c>
      <c r="G1940" t="s">
        <v>21</v>
      </c>
    </row>
    <row r="1941" spans="1:7">
      <c r="A1941">
        <v>1940</v>
      </c>
      <c r="B1941" t="str">
        <f>"026990"</f>
        <v>0</v>
      </c>
      <c r="C1941" t="s">
        <v>3503</v>
      </c>
      <c r="D1941" t="s">
        <v>3504</v>
      </c>
      <c r="E1941" t="str">
        <f>"2840200023364"</f>
        <v>0</v>
      </c>
      <c r="F1941" t="str">
        <f>"000480"</f>
        <v>0</v>
      </c>
      <c r="G1941" t="s">
        <v>21</v>
      </c>
    </row>
    <row r="1942" spans="1:7">
      <c r="A1942">
        <v>1941</v>
      </c>
      <c r="B1942" t="str">
        <f>"013491"</f>
        <v>0</v>
      </c>
      <c r="C1942" t="s">
        <v>3505</v>
      </c>
      <c r="D1942" t="s">
        <v>127</v>
      </c>
      <c r="E1942" t="str">
        <f>"3800100760110"</f>
        <v>0</v>
      </c>
      <c r="F1942" t="str">
        <f>"000480"</f>
        <v>0</v>
      </c>
      <c r="G1942" t="s">
        <v>21</v>
      </c>
    </row>
    <row r="1943" spans="1:7">
      <c r="A1943">
        <v>1942</v>
      </c>
      <c r="B1943" t="str">
        <f>"023507"</f>
        <v>0</v>
      </c>
      <c r="C1943" t="s">
        <v>3506</v>
      </c>
      <c r="D1943" t="s">
        <v>3507</v>
      </c>
      <c r="E1943" t="str">
        <f>"3230300102821"</f>
        <v>0</v>
      </c>
      <c r="F1943" t="str">
        <f>"000480"</f>
        <v>0</v>
      </c>
      <c r="G1943" t="s">
        <v>21</v>
      </c>
    </row>
    <row r="1944" spans="1:7">
      <c r="A1944">
        <v>1943</v>
      </c>
      <c r="B1944" t="str">
        <f>"024707"</f>
        <v>0</v>
      </c>
      <c r="C1944" t="s">
        <v>2139</v>
      </c>
      <c r="D1944" t="s">
        <v>3508</v>
      </c>
      <c r="E1944" t="str">
        <f>"1909900078781"</f>
        <v>0</v>
      </c>
      <c r="F1944" t="str">
        <f>"000480"</f>
        <v>0</v>
      </c>
      <c r="G1944" t="s">
        <v>21</v>
      </c>
    </row>
    <row r="1945" spans="1:7">
      <c r="A1945">
        <v>1944</v>
      </c>
      <c r="B1945" t="str">
        <f>"027508"</f>
        <v>0</v>
      </c>
      <c r="C1945" t="s">
        <v>3509</v>
      </c>
      <c r="D1945" t="s">
        <v>3510</v>
      </c>
      <c r="E1945" t="str">
        <f>"3650200580387"</f>
        <v>0</v>
      </c>
      <c r="F1945" t="str">
        <f>"000480"</f>
        <v>0</v>
      </c>
      <c r="G1945" t="s">
        <v>21</v>
      </c>
    </row>
    <row r="1946" spans="1:7">
      <c r="A1946">
        <v>1945</v>
      </c>
      <c r="B1946" t="str">
        <f>"000987"</f>
        <v>0</v>
      </c>
      <c r="C1946" t="s">
        <v>3511</v>
      </c>
      <c r="D1946" t="s">
        <v>3512</v>
      </c>
      <c r="E1946" t="str">
        <f>"3249900384370"</f>
        <v>0</v>
      </c>
      <c r="F1946" t="str">
        <f>"000550"</f>
        <v>0</v>
      </c>
      <c r="G1946" t="s">
        <v>21</v>
      </c>
    </row>
    <row r="1947" spans="1:7">
      <c r="A1947">
        <v>1946</v>
      </c>
      <c r="B1947" t="str">
        <f>"001546"</f>
        <v>0</v>
      </c>
      <c r="C1947" t="s">
        <v>3513</v>
      </c>
      <c r="D1947" t="s">
        <v>3514</v>
      </c>
      <c r="E1947" t="str">
        <f>"3829900029671"</f>
        <v>0</v>
      </c>
      <c r="F1947" t="str">
        <f>"000550"</f>
        <v>0</v>
      </c>
      <c r="G1947" t="s">
        <v>21</v>
      </c>
    </row>
    <row r="1948" spans="1:7">
      <c r="A1948">
        <v>1947</v>
      </c>
      <c r="B1948" t="str">
        <f>"001648"</f>
        <v>0</v>
      </c>
      <c r="C1948" t="s">
        <v>128</v>
      </c>
      <c r="D1948" t="s">
        <v>3515</v>
      </c>
      <c r="E1948" t="str">
        <f>"3249900033909"</f>
        <v>0</v>
      </c>
      <c r="F1948" t="str">
        <f>"000550"</f>
        <v>0</v>
      </c>
      <c r="G1948" t="s">
        <v>21</v>
      </c>
    </row>
    <row r="1949" spans="1:7">
      <c r="A1949">
        <v>1948</v>
      </c>
      <c r="B1949" t="str">
        <f>"001865"</f>
        <v>0</v>
      </c>
      <c r="C1949" t="s">
        <v>3516</v>
      </c>
      <c r="D1949" t="s">
        <v>3517</v>
      </c>
      <c r="E1949" t="str">
        <f>"3249900057387"</f>
        <v>0</v>
      </c>
      <c r="F1949" t="str">
        <f>"000550"</f>
        <v>0</v>
      </c>
      <c r="G1949" t="s">
        <v>21</v>
      </c>
    </row>
    <row r="1950" spans="1:7">
      <c r="A1950">
        <v>1949</v>
      </c>
      <c r="B1950" t="str">
        <f>"002419"</f>
        <v>0</v>
      </c>
      <c r="C1950" t="s">
        <v>3518</v>
      </c>
      <c r="D1950" t="s">
        <v>1932</v>
      </c>
      <c r="E1950" t="str">
        <f>"3101800434361"</f>
        <v>0</v>
      </c>
      <c r="F1950" t="str">
        <f>"000550"</f>
        <v>0</v>
      </c>
      <c r="G1950" t="s">
        <v>21</v>
      </c>
    </row>
    <row r="1951" spans="1:7">
      <c r="A1951">
        <v>1950</v>
      </c>
      <c r="B1951" t="str">
        <f>"003296"</f>
        <v>0</v>
      </c>
      <c r="C1951" t="s">
        <v>837</v>
      </c>
      <c r="D1951" t="s">
        <v>3515</v>
      </c>
      <c r="E1951" t="str">
        <f>"3249900033895"</f>
        <v>0</v>
      </c>
      <c r="F1951" t="str">
        <f>"000550"</f>
        <v>0</v>
      </c>
      <c r="G1951" t="s">
        <v>21</v>
      </c>
    </row>
    <row r="1952" spans="1:7">
      <c r="A1952">
        <v>1951</v>
      </c>
      <c r="B1952" t="str">
        <f>"003650"</f>
        <v>0</v>
      </c>
      <c r="C1952" t="s">
        <v>3519</v>
      </c>
      <c r="D1952" t="s">
        <v>3520</v>
      </c>
      <c r="E1952" t="str">
        <f>"3101000142055"</f>
        <v>0</v>
      </c>
      <c r="F1952" t="str">
        <f>"000550"</f>
        <v>0</v>
      </c>
      <c r="G1952" t="s">
        <v>21</v>
      </c>
    </row>
    <row r="1953" spans="1:7">
      <c r="A1953">
        <v>1952</v>
      </c>
      <c r="B1953" t="str">
        <f>"003758"</f>
        <v>0</v>
      </c>
      <c r="C1953" t="s">
        <v>3521</v>
      </c>
      <c r="D1953" t="s">
        <v>3520</v>
      </c>
      <c r="E1953" t="str">
        <f>"3102400384553"</f>
        <v>0</v>
      </c>
      <c r="F1953" t="str">
        <f>"000550"</f>
        <v>0</v>
      </c>
      <c r="G1953" t="s">
        <v>21</v>
      </c>
    </row>
    <row r="1954" spans="1:7">
      <c r="A1954">
        <v>1953</v>
      </c>
      <c r="B1954" t="str">
        <f>"004185"</f>
        <v>0</v>
      </c>
      <c r="C1954" t="s">
        <v>3522</v>
      </c>
      <c r="D1954" t="s">
        <v>3523</v>
      </c>
      <c r="E1954" t="str">
        <f>"5250800018299"</f>
        <v>0</v>
      </c>
      <c r="F1954" t="str">
        <f>"000550"</f>
        <v>0</v>
      </c>
      <c r="G1954" t="s">
        <v>21</v>
      </c>
    </row>
    <row r="1955" spans="1:7">
      <c r="A1955">
        <v>1954</v>
      </c>
      <c r="B1955" t="str">
        <f>"004192"</f>
        <v>0</v>
      </c>
      <c r="C1955" t="s">
        <v>953</v>
      </c>
      <c r="D1955" t="s">
        <v>3524</v>
      </c>
      <c r="E1955" t="str">
        <f>"3361100028376"</f>
        <v>0</v>
      </c>
      <c r="F1955" t="str">
        <f>"000550"</f>
        <v>0</v>
      </c>
      <c r="G1955" t="s">
        <v>21</v>
      </c>
    </row>
    <row r="1956" spans="1:7">
      <c r="A1956">
        <v>1955</v>
      </c>
      <c r="B1956" t="str">
        <f>"004891"</f>
        <v>0</v>
      </c>
      <c r="C1956" t="s">
        <v>3525</v>
      </c>
      <c r="D1956" t="s">
        <v>3526</v>
      </c>
      <c r="E1956" t="str">
        <f>"3240900050848"</f>
        <v>0</v>
      </c>
      <c r="F1956" t="str">
        <f>"000550"</f>
        <v>0</v>
      </c>
      <c r="G1956" t="s">
        <v>21</v>
      </c>
    </row>
    <row r="1957" spans="1:7">
      <c r="A1957">
        <v>1956</v>
      </c>
      <c r="B1957" t="str">
        <f>"005375"</f>
        <v>0</v>
      </c>
      <c r="C1957" t="s">
        <v>98</v>
      </c>
      <c r="D1957" t="s">
        <v>3527</v>
      </c>
      <c r="E1957" t="str">
        <f>"3240700009470"</f>
        <v>0</v>
      </c>
      <c r="F1957" t="str">
        <f>"000550"</f>
        <v>0</v>
      </c>
      <c r="G1957" t="s">
        <v>21</v>
      </c>
    </row>
    <row r="1958" spans="1:7">
      <c r="A1958">
        <v>1957</v>
      </c>
      <c r="B1958" t="str">
        <f>"005399"</f>
        <v>0</v>
      </c>
      <c r="C1958" t="s">
        <v>2753</v>
      </c>
      <c r="D1958" t="s">
        <v>3528</v>
      </c>
      <c r="E1958" t="str">
        <f>"3249900215403"</f>
        <v>0</v>
      </c>
      <c r="F1958" t="str">
        <f>"000550"</f>
        <v>0</v>
      </c>
      <c r="G1958" t="s">
        <v>21</v>
      </c>
    </row>
    <row r="1959" spans="1:7">
      <c r="A1959">
        <v>1958</v>
      </c>
      <c r="B1959" t="str">
        <f>"005695"</f>
        <v>0</v>
      </c>
      <c r="C1959" t="s">
        <v>3529</v>
      </c>
      <c r="D1959" t="s">
        <v>3530</v>
      </c>
      <c r="E1959" t="str">
        <f>"3110300114897"</f>
        <v>0</v>
      </c>
      <c r="F1959" t="str">
        <f>"000550"</f>
        <v>0</v>
      </c>
      <c r="G1959" t="s">
        <v>21</v>
      </c>
    </row>
    <row r="1960" spans="1:7">
      <c r="A1960">
        <v>1959</v>
      </c>
      <c r="B1960" t="str">
        <f>"005696"</f>
        <v>0</v>
      </c>
      <c r="C1960" t="s">
        <v>3531</v>
      </c>
      <c r="D1960" t="s">
        <v>3530</v>
      </c>
      <c r="E1960" t="str">
        <f>"3110300114889"</f>
        <v>0</v>
      </c>
      <c r="F1960" t="str">
        <f>"000550"</f>
        <v>0</v>
      </c>
      <c r="G1960" t="s">
        <v>21</v>
      </c>
    </row>
    <row r="1961" spans="1:7">
      <c r="A1961">
        <v>1960</v>
      </c>
      <c r="B1961" t="str">
        <f>"006081"</f>
        <v>0</v>
      </c>
      <c r="C1961" t="s">
        <v>3532</v>
      </c>
      <c r="D1961" t="s">
        <v>3533</v>
      </c>
      <c r="E1961" t="str">
        <f>"3240600006215"</f>
        <v>0</v>
      </c>
      <c r="F1961" t="str">
        <f>"000550"</f>
        <v>0</v>
      </c>
      <c r="G1961" t="s">
        <v>21</v>
      </c>
    </row>
    <row r="1962" spans="1:7">
      <c r="A1962">
        <v>1961</v>
      </c>
      <c r="B1962" t="str">
        <f>"006328"</f>
        <v>0</v>
      </c>
      <c r="C1962" t="s">
        <v>3534</v>
      </c>
      <c r="D1962" t="s">
        <v>3535</v>
      </c>
      <c r="E1962" t="str">
        <f>"5619900016535"</f>
        <v>0</v>
      </c>
      <c r="F1962" t="str">
        <f>"000550"</f>
        <v>0</v>
      </c>
      <c r="G1962" t="s">
        <v>21</v>
      </c>
    </row>
    <row r="1963" spans="1:7">
      <c r="A1963">
        <v>1962</v>
      </c>
      <c r="B1963" t="str">
        <f>"006912"</f>
        <v>0</v>
      </c>
      <c r="C1963" t="s">
        <v>2607</v>
      </c>
      <c r="D1963" t="s">
        <v>3536</v>
      </c>
      <c r="E1963" t="str">
        <f>"3249900201551"</f>
        <v>0</v>
      </c>
      <c r="F1963" t="str">
        <f>"000550"</f>
        <v>0</v>
      </c>
      <c r="G1963" t="s">
        <v>21</v>
      </c>
    </row>
    <row r="1964" spans="1:7">
      <c r="A1964">
        <v>1963</v>
      </c>
      <c r="B1964" t="str">
        <f>"007365"</f>
        <v>0</v>
      </c>
      <c r="C1964" t="s">
        <v>3537</v>
      </c>
      <c r="D1964" t="s">
        <v>3523</v>
      </c>
      <c r="E1964" t="str">
        <f>"3249900201534"</f>
        <v>0</v>
      </c>
      <c r="F1964" t="str">
        <f>"000550"</f>
        <v>0</v>
      </c>
      <c r="G1964" t="s">
        <v>21</v>
      </c>
    </row>
    <row r="1965" spans="1:7">
      <c r="A1965">
        <v>1964</v>
      </c>
      <c r="B1965" t="str">
        <f>"007395"</f>
        <v>0</v>
      </c>
      <c r="C1965" t="s">
        <v>3538</v>
      </c>
      <c r="D1965" t="s">
        <v>3252</v>
      </c>
      <c r="E1965" t="str">
        <f>"3369900150297"</f>
        <v>0</v>
      </c>
      <c r="F1965" t="str">
        <f>"000550"</f>
        <v>0</v>
      </c>
      <c r="G1965" t="s">
        <v>21</v>
      </c>
    </row>
    <row r="1966" spans="1:7">
      <c r="A1966">
        <v>1965</v>
      </c>
      <c r="B1966" t="str">
        <f>"007797"</f>
        <v>0</v>
      </c>
      <c r="C1966" t="s">
        <v>3539</v>
      </c>
      <c r="D1966" t="s">
        <v>3540</v>
      </c>
      <c r="E1966" t="str">
        <f>"3100601093376"</f>
        <v>0</v>
      </c>
      <c r="F1966" t="str">
        <f>"000550"</f>
        <v>0</v>
      </c>
      <c r="G1966" t="s">
        <v>21</v>
      </c>
    </row>
    <row r="1967" spans="1:7">
      <c r="A1967">
        <v>1966</v>
      </c>
      <c r="B1967" t="str">
        <f>"008935"</f>
        <v>0</v>
      </c>
      <c r="C1967" t="s">
        <v>68</v>
      </c>
      <c r="D1967" t="s">
        <v>3541</v>
      </c>
      <c r="E1967" t="str">
        <f>"3240100184793"</f>
        <v>0</v>
      </c>
      <c r="F1967" t="str">
        <f>"000550"</f>
        <v>0</v>
      </c>
      <c r="G1967" t="s">
        <v>21</v>
      </c>
    </row>
    <row r="1968" spans="1:7">
      <c r="A1968">
        <v>1967</v>
      </c>
      <c r="B1968" t="str">
        <f>"009287"</f>
        <v>0</v>
      </c>
      <c r="C1968" t="s">
        <v>1162</v>
      </c>
      <c r="D1968" t="s">
        <v>3542</v>
      </c>
      <c r="E1968" t="str">
        <f>"3240700009518"</f>
        <v>0</v>
      </c>
      <c r="F1968" t="str">
        <f>"000550"</f>
        <v>0</v>
      </c>
      <c r="G1968" t="s">
        <v>21</v>
      </c>
    </row>
    <row r="1969" spans="1:7">
      <c r="A1969">
        <v>1968</v>
      </c>
      <c r="B1969" t="str">
        <f>"009745"</f>
        <v>0</v>
      </c>
      <c r="C1969" t="s">
        <v>2371</v>
      </c>
      <c r="D1969" t="s">
        <v>3543</v>
      </c>
      <c r="E1969" t="str">
        <f>"3240600018990"</f>
        <v>0</v>
      </c>
      <c r="F1969" t="str">
        <f>"000550"</f>
        <v>0</v>
      </c>
      <c r="G1969" t="s">
        <v>21</v>
      </c>
    </row>
    <row r="1970" spans="1:7">
      <c r="A1970">
        <v>1969</v>
      </c>
      <c r="B1970" t="str">
        <f>"010267"</f>
        <v>0</v>
      </c>
      <c r="C1970" t="s">
        <v>3544</v>
      </c>
      <c r="D1970" t="s">
        <v>3545</v>
      </c>
      <c r="E1970" t="str">
        <f>"3250200065699"</f>
        <v>0</v>
      </c>
      <c r="F1970" t="str">
        <f>"000550"</f>
        <v>0</v>
      </c>
      <c r="G1970" t="s">
        <v>21</v>
      </c>
    </row>
    <row r="1971" spans="1:7">
      <c r="A1971">
        <v>1970</v>
      </c>
      <c r="B1971" t="str">
        <f>"010602"</f>
        <v>0</v>
      </c>
      <c r="C1971" t="s">
        <v>3546</v>
      </c>
      <c r="D1971" t="s">
        <v>3547</v>
      </c>
      <c r="E1971" t="str">
        <f>"3240100001907"</f>
        <v>0</v>
      </c>
      <c r="F1971" t="str">
        <f>"000550"</f>
        <v>0</v>
      </c>
      <c r="G1971" t="s">
        <v>21</v>
      </c>
    </row>
    <row r="1972" spans="1:7">
      <c r="A1972">
        <v>1971</v>
      </c>
      <c r="B1972" t="str">
        <f>"010605"</f>
        <v>0</v>
      </c>
      <c r="C1972" t="s">
        <v>3548</v>
      </c>
      <c r="D1972" t="s">
        <v>3549</v>
      </c>
      <c r="E1972" t="str">
        <f>"3249900046504"</f>
        <v>0</v>
      </c>
      <c r="F1972" t="str">
        <f>"000550"</f>
        <v>0</v>
      </c>
      <c r="G1972" t="s">
        <v>21</v>
      </c>
    </row>
    <row r="1973" spans="1:7">
      <c r="A1973">
        <v>1972</v>
      </c>
      <c r="B1973" t="str">
        <f>"011366"</f>
        <v>0</v>
      </c>
      <c r="C1973" t="s">
        <v>939</v>
      </c>
      <c r="D1973" t="s">
        <v>3550</v>
      </c>
      <c r="E1973" t="str">
        <f>"3801200875378"</f>
        <v>0</v>
      </c>
      <c r="F1973" t="str">
        <f>"000550"</f>
        <v>0</v>
      </c>
      <c r="G1973" t="s">
        <v>21</v>
      </c>
    </row>
    <row r="1974" spans="1:7">
      <c r="A1974">
        <v>1973</v>
      </c>
      <c r="B1974" t="str">
        <f>"011786"</f>
        <v>0</v>
      </c>
      <c r="C1974" t="s">
        <v>162</v>
      </c>
      <c r="D1974" t="s">
        <v>3551</v>
      </c>
      <c r="E1974" t="str">
        <f>"4110100006134"</f>
        <v>0</v>
      </c>
      <c r="F1974" t="str">
        <f>"000550"</f>
        <v>0</v>
      </c>
      <c r="G1974" t="s">
        <v>21</v>
      </c>
    </row>
    <row r="1975" spans="1:7">
      <c r="A1975">
        <v>1974</v>
      </c>
      <c r="B1975" t="str">
        <f>"012058"</f>
        <v>0</v>
      </c>
      <c r="C1975" t="s">
        <v>3552</v>
      </c>
      <c r="D1975" t="s">
        <v>3553</v>
      </c>
      <c r="E1975" t="str">
        <f>"3760200003214"</f>
        <v>0</v>
      </c>
      <c r="F1975" t="str">
        <f>"000550"</f>
        <v>0</v>
      </c>
      <c r="G1975" t="s">
        <v>21</v>
      </c>
    </row>
    <row r="1976" spans="1:7">
      <c r="A1976">
        <v>1975</v>
      </c>
      <c r="B1976" t="str">
        <f>"012271"</f>
        <v>0</v>
      </c>
      <c r="C1976" t="s">
        <v>3554</v>
      </c>
      <c r="D1976" t="s">
        <v>3555</v>
      </c>
      <c r="E1976" t="str">
        <f>"3240600453157"</f>
        <v>0</v>
      </c>
      <c r="F1976" t="str">
        <f>"000550"</f>
        <v>0</v>
      </c>
      <c r="G1976" t="s">
        <v>21</v>
      </c>
    </row>
    <row r="1977" spans="1:7">
      <c r="A1977">
        <v>1976</v>
      </c>
      <c r="B1977" t="str">
        <f>"012444"</f>
        <v>0</v>
      </c>
      <c r="C1977" t="s">
        <v>197</v>
      </c>
      <c r="D1977" t="s">
        <v>3556</v>
      </c>
      <c r="E1977" t="str">
        <f>"3570401096343"</f>
        <v>0</v>
      </c>
      <c r="F1977" t="str">
        <f>"000550"</f>
        <v>0</v>
      </c>
      <c r="G1977" t="s">
        <v>21</v>
      </c>
    </row>
    <row r="1978" spans="1:7">
      <c r="A1978">
        <v>1977</v>
      </c>
      <c r="B1978" t="str">
        <f>"012660"</f>
        <v>0</v>
      </c>
      <c r="C1978" t="s">
        <v>3557</v>
      </c>
      <c r="D1978" t="s">
        <v>3558</v>
      </c>
      <c r="E1978" t="str">
        <f>"3200700286201"</f>
        <v>0</v>
      </c>
      <c r="F1978" t="str">
        <f>"000550"</f>
        <v>0</v>
      </c>
      <c r="G1978" t="s">
        <v>21</v>
      </c>
    </row>
    <row r="1979" spans="1:7">
      <c r="A1979">
        <v>1978</v>
      </c>
      <c r="B1979" t="str">
        <f>"012754"</f>
        <v>0</v>
      </c>
      <c r="C1979" t="s">
        <v>1880</v>
      </c>
      <c r="D1979" t="s">
        <v>3559</v>
      </c>
      <c r="E1979" t="str">
        <f>"3240400123200"</f>
        <v>0</v>
      </c>
      <c r="F1979" t="str">
        <f>"000550"</f>
        <v>0</v>
      </c>
      <c r="G1979" t="s">
        <v>21</v>
      </c>
    </row>
    <row r="1980" spans="1:7">
      <c r="A1980">
        <v>1979</v>
      </c>
      <c r="B1980" t="str">
        <f>"012756"</f>
        <v>0</v>
      </c>
      <c r="C1980" t="s">
        <v>587</v>
      </c>
      <c r="D1980" t="s">
        <v>3560</v>
      </c>
      <c r="E1980" t="str">
        <f>"3240200024411"</f>
        <v>0</v>
      </c>
      <c r="F1980" t="str">
        <f>"000550"</f>
        <v>0</v>
      </c>
      <c r="G1980" t="s">
        <v>21</v>
      </c>
    </row>
    <row r="1981" spans="1:7">
      <c r="A1981">
        <v>1980</v>
      </c>
      <c r="B1981" t="str">
        <f>"012944"</f>
        <v>0</v>
      </c>
      <c r="C1981" t="s">
        <v>2575</v>
      </c>
      <c r="D1981" t="s">
        <v>3561</v>
      </c>
      <c r="E1981" t="str">
        <f>"3240200196378"</f>
        <v>0</v>
      </c>
      <c r="F1981" t="str">
        <f>"000550"</f>
        <v>0</v>
      </c>
      <c r="G1981" t="s">
        <v>21</v>
      </c>
    </row>
    <row r="1982" spans="1:7">
      <c r="A1982">
        <v>1981</v>
      </c>
      <c r="B1982" t="str">
        <f>"013642"</f>
        <v>0</v>
      </c>
      <c r="C1982" t="s">
        <v>3562</v>
      </c>
      <c r="D1982" t="s">
        <v>3563</v>
      </c>
      <c r="E1982" t="str">
        <f>"3240100184785"</f>
        <v>0</v>
      </c>
      <c r="F1982" t="str">
        <f>"000550"</f>
        <v>0</v>
      </c>
      <c r="G1982" t="s">
        <v>21</v>
      </c>
    </row>
    <row r="1983" spans="1:7">
      <c r="A1983">
        <v>1982</v>
      </c>
      <c r="B1983" t="str">
        <f>"014433"</f>
        <v>0</v>
      </c>
      <c r="C1983" t="s">
        <v>876</v>
      </c>
      <c r="D1983" t="s">
        <v>3564</v>
      </c>
      <c r="E1983" t="str">
        <f>"3240100184904"</f>
        <v>0</v>
      </c>
      <c r="F1983" t="str">
        <f>"000550"</f>
        <v>0</v>
      </c>
      <c r="G1983" t="s">
        <v>21</v>
      </c>
    </row>
    <row r="1984" spans="1:7">
      <c r="A1984">
        <v>1983</v>
      </c>
      <c r="B1984" t="str">
        <f>"014502"</f>
        <v>0</v>
      </c>
      <c r="C1984" t="s">
        <v>590</v>
      </c>
      <c r="D1984" t="s">
        <v>3565</v>
      </c>
      <c r="E1984" t="str">
        <f>"5240699002248"</f>
        <v>0</v>
      </c>
      <c r="F1984" t="str">
        <f>"000550"</f>
        <v>0</v>
      </c>
      <c r="G1984" t="s">
        <v>21</v>
      </c>
    </row>
    <row r="1985" spans="1:7">
      <c r="A1985">
        <v>1984</v>
      </c>
      <c r="B1985" t="str">
        <f>"015880"</f>
        <v>0</v>
      </c>
      <c r="C1985" t="s">
        <v>3566</v>
      </c>
      <c r="D1985" t="s">
        <v>3567</v>
      </c>
      <c r="E1985" t="str">
        <f>"3269900032686"</f>
        <v>0</v>
      </c>
      <c r="F1985" t="str">
        <f>"000550"</f>
        <v>0</v>
      </c>
      <c r="G1985" t="s">
        <v>21</v>
      </c>
    </row>
    <row r="1986" spans="1:7">
      <c r="A1986">
        <v>1985</v>
      </c>
      <c r="B1986" t="str">
        <f>"015922"</f>
        <v>0</v>
      </c>
      <c r="C1986" t="s">
        <v>3568</v>
      </c>
      <c r="D1986" t="s">
        <v>3569</v>
      </c>
      <c r="E1986" t="str">
        <f>"3600400488891"</f>
        <v>0</v>
      </c>
      <c r="F1986" t="str">
        <f>"000550"</f>
        <v>0</v>
      </c>
      <c r="G1986" t="s">
        <v>21</v>
      </c>
    </row>
    <row r="1987" spans="1:7">
      <c r="A1987">
        <v>1986</v>
      </c>
      <c r="B1987" t="str">
        <f>"017046"</f>
        <v>0</v>
      </c>
      <c r="C1987" t="s">
        <v>2262</v>
      </c>
      <c r="D1987" t="s">
        <v>3570</v>
      </c>
      <c r="E1987" t="str">
        <f>"3240100590767"</f>
        <v>0</v>
      </c>
      <c r="F1987" t="str">
        <f>"000550"</f>
        <v>0</v>
      </c>
      <c r="G1987" t="s">
        <v>21</v>
      </c>
    </row>
    <row r="1988" spans="1:7">
      <c r="A1988">
        <v>1987</v>
      </c>
      <c r="B1988" t="str">
        <f>"017083"</f>
        <v>0</v>
      </c>
      <c r="C1988" t="s">
        <v>470</v>
      </c>
      <c r="D1988" t="s">
        <v>3571</v>
      </c>
      <c r="E1988" t="str">
        <f>"3240800050633"</f>
        <v>0</v>
      </c>
      <c r="F1988" t="str">
        <f>"000550"</f>
        <v>0</v>
      </c>
      <c r="G1988" t="s">
        <v>21</v>
      </c>
    </row>
    <row r="1989" spans="1:7">
      <c r="A1989">
        <v>1988</v>
      </c>
      <c r="B1989" t="str">
        <f>"017535"</f>
        <v>0</v>
      </c>
      <c r="C1989" t="s">
        <v>3572</v>
      </c>
      <c r="D1989" t="s">
        <v>3573</v>
      </c>
      <c r="E1989" t="str">
        <f>"3240200346868"</f>
        <v>0</v>
      </c>
      <c r="F1989" t="str">
        <f>"000550"</f>
        <v>0</v>
      </c>
      <c r="G1989" t="s">
        <v>21</v>
      </c>
    </row>
    <row r="1990" spans="1:7">
      <c r="A1990">
        <v>1989</v>
      </c>
      <c r="B1990" t="str">
        <f>"017759"</f>
        <v>0</v>
      </c>
      <c r="C1990" t="s">
        <v>3574</v>
      </c>
      <c r="D1990" t="s">
        <v>3575</v>
      </c>
      <c r="E1990" t="str">
        <f>"3169900283507"</f>
        <v>0</v>
      </c>
      <c r="F1990" t="str">
        <f>"000550"</f>
        <v>0</v>
      </c>
      <c r="G1990" t="s">
        <v>21</v>
      </c>
    </row>
    <row r="1991" spans="1:7">
      <c r="A1991">
        <v>1990</v>
      </c>
      <c r="B1991" t="str">
        <f>"018629"</f>
        <v>0</v>
      </c>
      <c r="C1991" t="s">
        <v>670</v>
      </c>
      <c r="D1991" t="s">
        <v>3576</v>
      </c>
      <c r="E1991" t="str">
        <f>"3249900201518"</f>
        <v>0</v>
      </c>
      <c r="F1991" t="str">
        <f>"000550"</f>
        <v>0</v>
      </c>
      <c r="G1991" t="s">
        <v>21</v>
      </c>
    </row>
    <row r="1992" spans="1:7">
      <c r="A1992">
        <v>1991</v>
      </c>
      <c r="B1992" t="str">
        <f>"019603"</f>
        <v>0</v>
      </c>
      <c r="C1992" t="s">
        <v>520</v>
      </c>
      <c r="D1992" t="s">
        <v>3577</v>
      </c>
      <c r="E1992" t="str">
        <f>"3240200496703"</f>
        <v>0</v>
      </c>
      <c r="F1992" t="str">
        <f>"000550"</f>
        <v>0</v>
      </c>
      <c r="G1992" t="s">
        <v>21</v>
      </c>
    </row>
    <row r="1993" spans="1:7">
      <c r="A1993">
        <v>1992</v>
      </c>
      <c r="B1993" t="str">
        <f>"019999"</f>
        <v>0</v>
      </c>
      <c r="C1993" t="s">
        <v>3578</v>
      </c>
      <c r="D1993" t="s">
        <v>2091</v>
      </c>
      <c r="E1993" t="str">
        <f>"3240700009500"</f>
        <v>0</v>
      </c>
      <c r="F1993" t="str">
        <f>"000550"</f>
        <v>0</v>
      </c>
      <c r="G1993" t="s">
        <v>21</v>
      </c>
    </row>
    <row r="1994" spans="1:7">
      <c r="A1994">
        <v>1993</v>
      </c>
      <c r="B1994" t="str">
        <f>"021345"</f>
        <v>0</v>
      </c>
      <c r="C1994" t="s">
        <v>466</v>
      </c>
      <c r="D1994" t="s">
        <v>3579</v>
      </c>
      <c r="E1994" t="str">
        <f>"3240600001019"</f>
        <v>0</v>
      </c>
      <c r="F1994" t="str">
        <f>"000550"</f>
        <v>0</v>
      </c>
      <c r="G1994" t="s">
        <v>21</v>
      </c>
    </row>
    <row r="1995" spans="1:7">
      <c r="A1995">
        <v>1994</v>
      </c>
      <c r="B1995" t="str">
        <f>"025699"</f>
        <v>0</v>
      </c>
      <c r="C1995" t="s">
        <v>3580</v>
      </c>
      <c r="D1995" t="s">
        <v>3581</v>
      </c>
      <c r="E1995" t="str">
        <f>"3249900138824"</f>
        <v>0</v>
      </c>
      <c r="F1995" t="str">
        <f>"000550"</f>
        <v>0</v>
      </c>
      <c r="G1995" t="s">
        <v>21</v>
      </c>
    </row>
    <row r="1996" spans="1:7">
      <c r="A1996">
        <v>1995</v>
      </c>
      <c r="B1996" t="str">
        <f>"026556"</f>
        <v>0</v>
      </c>
      <c r="C1996" t="s">
        <v>3582</v>
      </c>
      <c r="D1996" t="s">
        <v>3583</v>
      </c>
      <c r="E1996" t="str">
        <f>"3240500244971"</f>
        <v>0</v>
      </c>
      <c r="F1996" t="str">
        <f>"000550"</f>
        <v>0</v>
      </c>
      <c r="G1996" t="s">
        <v>21</v>
      </c>
    </row>
    <row r="1997" spans="1:7">
      <c r="A1997">
        <v>1996</v>
      </c>
      <c r="B1997" t="str">
        <f>"026971"</f>
        <v>0</v>
      </c>
      <c r="C1997" t="s">
        <v>3584</v>
      </c>
      <c r="D1997" t="s">
        <v>3585</v>
      </c>
      <c r="E1997" t="str">
        <f>"3502000028799"</f>
        <v>0</v>
      </c>
      <c r="F1997" t="str">
        <f>"000550"</f>
        <v>0</v>
      </c>
      <c r="G1997" t="s">
        <v>21</v>
      </c>
    </row>
    <row r="1998" spans="1:7">
      <c r="A1998">
        <v>1997</v>
      </c>
      <c r="B1998" t="str">
        <f>"008719"</f>
        <v>0</v>
      </c>
      <c r="C1998" t="s">
        <v>3586</v>
      </c>
      <c r="D1998" t="s">
        <v>3587</v>
      </c>
      <c r="E1998" t="str">
        <f>"3240800403005"</f>
        <v>0</v>
      </c>
      <c r="F1998" t="str">
        <f>"000550"</f>
        <v>0</v>
      </c>
      <c r="G1998" t="s">
        <v>21</v>
      </c>
    </row>
    <row r="1999" spans="1:7">
      <c r="A1999">
        <v>1998</v>
      </c>
      <c r="B1999" t="str">
        <f>"011686"</f>
        <v>0</v>
      </c>
      <c r="C1999" t="s">
        <v>590</v>
      </c>
      <c r="D1999" t="s">
        <v>3588</v>
      </c>
      <c r="E1999" t="str">
        <f>"3240900041407"</f>
        <v>0</v>
      </c>
      <c r="F1999" t="str">
        <f>"000550"</f>
        <v>0</v>
      </c>
      <c r="G1999" t="s">
        <v>21</v>
      </c>
    </row>
    <row r="2000" spans="1:7">
      <c r="A2000">
        <v>1999</v>
      </c>
      <c r="B2000" t="str">
        <f>"012759"</f>
        <v>0</v>
      </c>
      <c r="C2000" t="s">
        <v>3589</v>
      </c>
      <c r="D2000" t="s">
        <v>3590</v>
      </c>
      <c r="E2000" t="str">
        <f>"3240600541927"</f>
        <v>0</v>
      </c>
      <c r="F2000" t="str">
        <f>"000550"</f>
        <v>0</v>
      </c>
      <c r="G2000" t="s">
        <v>21</v>
      </c>
    </row>
    <row r="2001" spans="1:7">
      <c r="A2001">
        <v>2000</v>
      </c>
      <c r="B2001" t="str">
        <f>"012761"</f>
        <v>0</v>
      </c>
      <c r="C2001" t="s">
        <v>3591</v>
      </c>
      <c r="D2001" t="s">
        <v>3592</v>
      </c>
      <c r="E2001" t="str">
        <f>"3240600566423"</f>
        <v>0</v>
      </c>
      <c r="F2001" t="str">
        <f>"000550"</f>
        <v>0</v>
      </c>
      <c r="G2001" t="s">
        <v>21</v>
      </c>
    </row>
    <row r="2002" spans="1:7">
      <c r="A2002">
        <v>2001</v>
      </c>
      <c r="B2002" t="str">
        <f>"021107"</f>
        <v>0</v>
      </c>
      <c r="C2002" t="s">
        <v>3593</v>
      </c>
      <c r="D2002" t="s">
        <v>3594</v>
      </c>
      <c r="E2002" t="str">
        <f>"3240100024133"</f>
        <v>0</v>
      </c>
      <c r="F2002" t="str">
        <f>"000550"</f>
        <v>0</v>
      </c>
      <c r="G2002" t="s">
        <v>21</v>
      </c>
    </row>
    <row r="2003" spans="1:7">
      <c r="A2003">
        <v>2002</v>
      </c>
      <c r="B2003" t="str">
        <f>"026304"</f>
        <v>0</v>
      </c>
      <c r="C2003" t="s">
        <v>3595</v>
      </c>
      <c r="D2003" t="s">
        <v>3596</v>
      </c>
      <c r="E2003" t="str">
        <f>"1521200041236"</f>
        <v>0</v>
      </c>
      <c r="F2003" t="str">
        <f>"000550"</f>
        <v>0</v>
      </c>
      <c r="G2003" t="s">
        <v>21</v>
      </c>
    </row>
    <row r="2004" spans="1:7">
      <c r="A2004">
        <v>2003</v>
      </c>
      <c r="B2004" t="str">
        <f>"021554"</f>
        <v>0</v>
      </c>
      <c r="C2004" t="s">
        <v>3597</v>
      </c>
      <c r="D2004" t="s">
        <v>3598</v>
      </c>
      <c r="E2004" t="str">
        <f>"3100504450411"</f>
        <v>0</v>
      </c>
      <c r="F2004" t="str">
        <f>"000550"</f>
        <v>0</v>
      </c>
      <c r="G2004" t="s">
        <v>21</v>
      </c>
    </row>
    <row r="2005" spans="1:7">
      <c r="A2005">
        <v>2004</v>
      </c>
      <c r="B2005" t="str">
        <f>"022277"</f>
        <v>0</v>
      </c>
      <c r="C2005" t="s">
        <v>3599</v>
      </c>
      <c r="D2005" t="s">
        <v>3600</v>
      </c>
      <c r="E2005" t="str">
        <f>"3800600601614"</f>
        <v>0</v>
      </c>
      <c r="F2005" t="str">
        <f>"000550"</f>
        <v>0</v>
      </c>
      <c r="G2005" t="s">
        <v>21</v>
      </c>
    </row>
    <row r="2006" spans="1:7">
      <c r="A2006">
        <v>2005</v>
      </c>
      <c r="B2006" t="str">
        <f>"025853"</f>
        <v>0</v>
      </c>
      <c r="C2006" t="s">
        <v>3601</v>
      </c>
      <c r="D2006" t="s">
        <v>3602</v>
      </c>
      <c r="E2006" t="str">
        <f>"1269900014118"</f>
        <v>0</v>
      </c>
      <c r="F2006" t="str">
        <f>"000550"</f>
        <v>0</v>
      </c>
      <c r="G2006" t="s">
        <v>21</v>
      </c>
    </row>
    <row r="2007" spans="1:7">
      <c r="A2007">
        <v>2006</v>
      </c>
      <c r="B2007" t="str">
        <f>"026684"</f>
        <v>0</v>
      </c>
      <c r="C2007" t="s">
        <v>3603</v>
      </c>
      <c r="D2007" t="s">
        <v>3604</v>
      </c>
      <c r="E2007" t="str">
        <f>"1101400695594"</f>
        <v>0</v>
      </c>
      <c r="F2007" t="str">
        <f>"000550"</f>
        <v>0</v>
      </c>
      <c r="G2007" t="s">
        <v>21</v>
      </c>
    </row>
    <row r="2008" spans="1:7">
      <c r="A2008">
        <v>2007</v>
      </c>
      <c r="B2008" t="str">
        <f>"027093"</f>
        <v>0</v>
      </c>
      <c r="C2008" t="s">
        <v>3605</v>
      </c>
      <c r="D2008" t="s">
        <v>3606</v>
      </c>
      <c r="E2008" t="str">
        <f>"1809900606443"</f>
        <v>0</v>
      </c>
      <c r="F2008" t="str">
        <f>"000550"</f>
        <v>0</v>
      </c>
      <c r="G2008" t="s">
        <v>21</v>
      </c>
    </row>
    <row r="2009" spans="1:7">
      <c r="A2009">
        <v>2008</v>
      </c>
      <c r="B2009" t="str">
        <f>"011252"</f>
        <v>0</v>
      </c>
      <c r="C2009" t="s">
        <v>144</v>
      </c>
      <c r="D2009" t="s">
        <v>3607</v>
      </c>
      <c r="E2009" t="str">
        <f>"3110300112762"</f>
        <v>0</v>
      </c>
      <c r="F2009" t="str">
        <f>"000550"</f>
        <v>0</v>
      </c>
      <c r="G2009" t="s">
        <v>21</v>
      </c>
    </row>
    <row r="2010" spans="1:7">
      <c r="A2010">
        <v>2009</v>
      </c>
      <c r="B2010" t="str">
        <f>"022206"</f>
        <v>0</v>
      </c>
      <c r="C2010" t="s">
        <v>132</v>
      </c>
      <c r="D2010" t="s">
        <v>3608</v>
      </c>
      <c r="E2010" t="str">
        <f>"3110200520796"</f>
        <v>0</v>
      </c>
      <c r="F2010" t="str">
        <f>"000550"</f>
        <v>0</v>
      </c>
      <c r="G2010" t="s">
        <v>21</v>
      </c>
    </row>
    <row r="2011" spans="1:7">
      <c r="A2011">
        <v>2010</v>
      </c>
      <c r="B2011" t="str">
        <f>"026472"</f>
        <v>0</v>
      </c>
      <c r="C2011" t="s">
        <v>1108</v>
      </c>
      <c r="D2011" t="s">
        <v>3609</v>
      </c>
      <c r="E2011" t="str">
        <f>"1119900399002"</f>
        <v>0</v>
      </c>
      <c r="F2011" t="str">
        <f>"000550"</f>
        <v>0</v>
      </c>
      <c r="G2011" t="s">
        <v>21</v>
      </c>
    </row>
    <row r="2012" spans="1:7">
      <c r="A2012">
        <v>2011</v>
      </c>
      <c r="B2012" t="str">
        <f>"024740"</f>
        <v>0</v>
      </c>
      <c r="C2012" t="s">
        <v>3610</v>
      </c>
      <c r="D2012" t="s">
        <v>1728</v>
      </c>
      <c r="E2012" t="str">
        <f>"3510600521443"</f>
        <v>0</v>
      </c>
      <c r="F2012" t="str">
        <f>"000550"</f>
        <v>0</v>
      </c>
      <c r="G2012" t="s">
        <v>21</v>
      </c>
    </row>
    <row r="2013" spans="1:7">
      <c r="A2013">
        <v>2012</v>
      </c>
      <c r="B2013" t="str">
        <f>"027094"</f>
        <v>0</v>
      </c>
      <c r="C2013" t="s">
        <v>3611</v>
      </c>
      <c r="D2013" t="s">
        <v>3612</v>
      </c>
      <c r="E2013" t="str">
        <f>"1100200647757"</f>
        <v>0</v>
      </c>
      <c r="F2013" t="str">
        <f>"000550"</f>
        <v>0</v>
      </c>
      <c r="G2013" t="s">
        <v>21</v>
      </c>
    </row>
    <row r="2014" spans="1:7">
      <c r="A2014">
        <v>2013</v>
      </c>
      <c r="B2014" t="str">
        <f>"024926"</f>
        <v>0</v>
      </c>
      <c r="C2014" t="s">
        <v>3613</v>
      </c>
      <c r="D2014" t="s">
        <v>3614</v>
      </c>
      <c r="E2014" t="str">
        <f>"3101701840506"</f>
        <v>0</v>
      </c>
      <c r="F2014" t="str">
        <f>"000550"</f>
        <v>0</v>
      </c>
      <c r="G2014" t="s">
        <v>21</v>
      </c>
    </row>
    <row r="2015" spans="1:7">
      <c r="A2015">
        <v>2014</v>
      </c>
      <c r="B2015" t="str">
        <f>"026097"</f>
        <v>0</v>
      </c>
      <c r="C2015" t="s">
        <v>3615</v>
      </c>
      <c r="D2015" t="s">
        <v>3616</v>
      </c>
      <c r="E2015" t="str">
        <f>"1160100328056"</f>
        <v>0</v>
      </c>
      <c r="F2015" t="str">
        <f>"000550"</f>
        <v>0</v>
      </c>
      <c r="G2015" t="s">
        <v>21</v>
      </c>
    </row>
    <row r="2016" spans="1:7">
      <c r="A2016">
        <v>2015</v>
      </c>
      <c r="B2016" t="str">
        <f>"011656"</f>
        <v>0</v>
      </c>
      <c r="C2016" t="s">
        <v>2596</v>
      </c>
      <c r="D2016" t="s">
        <v>3617</v>
      </c>
      <c r="E2016" t="str">
        <f>"3200601088797"</f>
        <v>0</v>
      </c>
      <c r="F2016" t="str">
        <f>"000550"</f>
        <v>0</v>
      </c>
      <c r="G2016" t="s">
        <v>21</v>
      </c>
    </row>
    <row r="2017" spans="1:7">
      <c r="A2017">
        <v>2016</v>
      </c>
      <c r="B2017" t="str">
        <f>"016198"</f>
        <v>0</v>
      </c>
      <c r="C2017" t="s">
        <v>3618</v>
      </c>
      <c r="D2017" t="s">
        <v>3619</v>
      </c>
      <c r="E2017" t="str">
        <f>"3200200009918"</f>
        <v>0</v>
      </c>
      <c r="F2017" t="str">
        <f>"000550"</f>
        <v>0</v>
      </c>
      <c r="G2017" t="s">
        <v>21</v>
      </c>
    </row>
    <row r="2018" spans="1:7">
      <c r="A2018">
        <v>2017</v>
      </c>
      <c r="B2018" t="str">
        <f>"018484"</f>
        <v>0</v>
      </c>
      <c r="C2018" t="s">
        <v>3620</v>
      </c>
      <c r="D2018" t="s">
        <v>75</v>
      </c>
      <c r="E2018" t="str">
        <f>"3200600372343"</f>
        <v>0</v>
      </c>
      <c r="F2018" t="str">
        <f>"000550"</f>
        <v>0</v>
      </c>
      <c r="G2018" t="s">
        <v>21</v>
      </c>
    </row>
    <row r="2019" spans="1:7">
      <c r="A2019">
        <v>2018</v>
      </c>
      <c r="B2019" t="str">
        <f>"020798"</f>
        <v>0</v>
      </c>
      <c r="C2019" t="s">
        <v>3621</v>
      </c>
      <c r="D2019" t="s">
        <v>3622</v>
      </c>
      <c r="E2019" t="str">
        <f>"3200600112601"</f>
        <v>0</v>
      </c>
      <c r="F2019" t="str">
        <f>"000550"</f>
        <v>0</v>
      </c>
      <c r="G2019" t="s">
        <v>21</v>
      </c>
    </row>
    <row r="2020" spans="1:7">
      <c r="A2020">
        <v>2019</v>
      </c>
      <c r="B2020" t="str">
        <f>"021382"</f>
        <v>0</v>
      </c>
      <c r="C2020" t="s">
        <v>3623</v>
      </c>
      <c r="D2020" t="s">
        <v>3624</v>
      </c>
      <c r="E2020" t="str">
        <f>"3200600573659"</f>
        <v>0</v>
      </c>
      <c r="F2020" t="str">
        <f>"000550"</f>
        <v>0</v>
      </c>
      <c r="G2020" t="s">
        <v>21</v>
      </c>
    </row>
    <row r="2021" spans="1:7">
      <c r="A2021">
        <v>2020</v>
      </c>
      <c r="B2021" t="str">
        <f>"022696"</f>
        <v>0</v>
      </c>
      <c r="C2021" t="s">
        <v>3625</v>
      </c>
      <c r="D2021" t="s">
        <v>3626</v>
      </c>
      <c r="E2021" t="str">
        <f>"1200600012499"</f>
        <v>0</v>
      </c>
      <c r="F2021" t="str">
        <f>"000550"</f>
        <v>0</v>
      </c>
      <c r="G2021" t="s">
        <v>21</v>
      </c>
    </row>
    <row r="2022" spans="1:7">
      <c r="A2022">
        <v>2021</v>
      </c>
      <c r="B2022" t="str">
        <f>"023491"</f>
        <v>0</v>
      </c>
      <c r="C2022" t="s">
        <v>3627</v>
      </c>
      <c r="D2022" t="s">
        <v>3628</v>
      </c>
      <c r="E2022" t="str">
        <f>"3340400186138"</f>
        <v>0</v>
      </c>
      <c r="F2022" t="str">
        <f>"000550"</f>
        <v>0</v>
      </c>
      <c r="G2022" t="s">
        <v>21</v>
      </c>
    </row>
    <row r="2023" spans="1:7">
      <c r="A2023">
        <v>2022</v>
      </c>
      <c r="B2023" t="str">
        <f>"025780"</f>
        <v>0</v>
      </c>
      <c r="C2023" t="s">
        <v>3629</v>
      </c>
      <c r="D2023" t="s">
        <v>3630</v>
      </c>
      <c r="E2023" t="str">
        <f>"1239900200558"</f>
        <v>0</v>
      </c>
      <c r="F2023" t="str">
        <f>"000550"</f>
        <v>0</v>
      </c>
      <c r="G2023" t="s">
        <v>21</v>
      </c>
    </row>
    <row r="2024" spans="1:7">
      <c r="A2024">
        <v>2023</v>
      </c>
      <c r="B2024" t="str">
        <f>"007509"</f>
        <v>0</v>
      </c>
      <c r="C2024" t="s">
        <v>539</v>
      </c>
      <c r="D2024" t="s">
        <v>3631</v>
      </c>
      <c r="E2024" t="str">
        <f>"3240700005610"</f>
        <v>0</v>
      </c>
      <c r="F2024" t="str">
        <f>"000550"</f>
        <v>0</v>
      </c>
      <c r="G2024" t="s">
        <v>21</v>
      </c>
    </row>
    <row r="2025" spans="1:7">
      <c r="A2025">
        <v>2024</v>
      </c>
      <c r="B2025" t="str">
        <f>"009657"</f>
        <v>0</v>
      </c>
      <c r="C2025" t="s">
        <v>3632</v>
      </c>
      <c r="D2025" t="s">
        <v>3633</v>
      </c>
      <c r="E2025" t="str">
        <f>"3302000560425"</f>
        <v>0</v>
      </c>
      <c r="F2025" t="str">
        <f>"000550"</f>
        <v>0</v>
      </c>
      <c r="G2025" t="s">
        <v>21</v>
      </c>
    </row>
    <row r="2026" spans="1:7">
      <c r="A2026">
        <v>2025</v>
      </c>
      <c r="B2026" t="str">
        <f>"010603"</f>
        <v>0</v>
      </c>
      <c r="C2026" t="s">
        <v>3634</v>
      </c>
      <c r="D2026" t="s">
        <v>3635</v>
      </c>
      <c r="E2026" t="str">
        <f>"3240500321577"</f>
        <v>0</v>
      </c>
      <c r="F2026" t="str">
        <f>"000550"</f>
        <v>0</v>
      </c>
      <c r="G2026" t="s">
        <v>21</v>
      </c>
    </row>
    <row r="2027" spans="1:7">
      <c r="A2027">
        <v>2026</v>
      </c>
      <c r="B2027" t="str">
        <f>"012124"</f>
        <v>0</v>
      </c>
      <c r="C2027" t="s">
        <v>468</v>
      </c>
      <c r="D2027" t="s">
        <v>3636</v>
      </c>
      <c r="E2027" t="str">
        <f>"3249900319144"</f>
        <v>0</v>
      </c>
      <c r="F2027" t="str">
        <f>"000550"</f>
        <v>0</v>
      </c>
      <c r="G2027" t="s">
        <v>21</v>
      </c>
    </row>
    <row r="2028" spans="1:7">
      <c r="A2028">
        <v>2027</v>
      </c>
      <c r="B2028" t="str">
        <f>"013309"</f>
        <v>0</v>
      </c>
      <c r="C2028" t="s">
        <v>167</v>
      </c>
      <c r="D2028" t="s">
        <v>3637</v>
      </c>
      <c r="E2028" t="str">
        <f>"3130600426347"</f>
        <v>0</v>
      </c>
      <c r="F2028" t="str">
        <f>"000550"</f>
        <v>0</v>
      </c>
      <c r="G2028" t="s">
        <v>21</v>
      </c>
    </row>
    <row r="2029" spans="1:7">
      <c r="A2029">
        <v>2028</v>
      </c>
      <c r="B2029" t="str">
        <f>"014841"</f>
        <v>0</v>
      </c>
      <c r="C2029" t="s">
        <v>3638</v>
      </c>
      <c r="D2029" t="s">
        <v>3639</v>
      </c>
      <c r="E2029" t="str">
        <f>"3900700333335"</f>
        <v>0</v>
      </c>
      <c r="F2029" t="str">
        <f>"000550"</f>
        <v>0</v>
      </c>
      <c r="G2029" t="s">
        <v>21</v>
      </c>
    </row>
    <row r="2030" spans="1:7">
      <c r="A2030">
        <v>2029</v>
      </c>
      <c r="B2030" t="str">
        <f>"015265"</f>
        <v>0</v>
      </c>
      <c r="C2030" t="s">
        <v>3640</v>
      </c>
      <c r="D2030" t="s">
        <v>3641</v>
      </c>
      <c r="E2030" t="str">
        <f>"3240100206398"</f>
        <v>0</v>
      </c>
      <c r="F2030" t="str">
        <f>"000550"</f>
        <v>0</v>
      </c>
      <c r="G2030" t="s">
        <v>21</v>
      </c>
    </row>
    <row r="2031" spans="1:7">
      <c r="A2031">
        <v>2030</v>
      </c>
      <c r="B2031" t="str">
        <f>"016412"</f>
        <v>0</v>
      </c>
      <c r="C2031" t="s">
        <v>3642</v>
      </c>
      <c r="D2031" t="s">
        <v>3643</v>
      </c>
      <c r="E2031" t="str">
        <f>"3200100469917"</f>
        <v>0</v>
      </c>
      <c r="F2031" t="str">
        <f>"000550"</f>
        <v>0</v>
      </c>
      <c r="G2031" t="s">
        <v>21</v>
      </c>
    </row>
    <row r="2032" spans="1:7">
      <c r="A2032">
        <v>2031</v>
      </c>
      <c r="B2032" t="str">
        <f>"017562"</f>
        <v>0</v>
      </c>
      <c r="C2032" t="s">
        <v>3644</v>
      </c>
      <c r="D2032" t="s">
        <v>3645</v>
      </c>
      <c r="E2032" t="str">
        <f>"3240900187738"</f>
        <v>0</v>
      </c>
      <c r="F2032" t="str">
        <f>"000550"</f>
        <v>0</v>
      </c>
      <c r="G2032" t="s">
        <v>21</v>
      </c>
    </row>
    <row r="2033" spans="1:7">
      <c r="A2033">
        <v>2032</v>
      </c>
      <c r="B2033" t="str">
        <f>"018295"</f>
        <v>0</v>
      </c>
      <c r="C2033" t="s">
        <v>3646</v>
      </c>
      <c r="D2033" t="s">
        <v>3647</v>
      </c>
      <c r="E2033" t="str">
        <f>"3200100384008"</f>
        <v>0</v>
      </c>
      <c r="F2033" t="str">
        <f>"000550"</f>
        <v>0</v>
      </c>
      <c r="G2033" t="s">
        <v>21</v>
      </c>
    </row>
    <row r="2034" spans="1:7">
      <c r="A2034">
        <v>2033</v>
      </c>
      <c r="B2034" t="str">
        <f>"018565"</f>
        <v>0</v>
      </c>
      <c r="C2034" t="s">
        <v>3648</v>
      </c>
      <c r="D2034" t="s">
        <v>3649</v>
      </c>
      <c r="E2034" t="str">
        <f>"3240100140842"</f>
        <v>0</v>
      </c>
      <c r="F2034" t="str">
        <f>"000550"</f>
        <v>0</v>
      </c>
      <c r="G2034" t="s">
        <v>21</v>
      </c>
    </row>
    <row r="2035" spans="1:7">
      <c r="A2035">
        <v>2034</v>
      </c>
      <c r="B2035" t="str">
        <f>"020455"</f>
        <v>0</v>
      </c>
      <c r="C2035" t="s">
        <v>3147</v>
      </c>
      <c r="D2035" t="s">
        <v>3650</v>
      </c>
      <c r="E2035" t="str">
        <f>"3240600001540"</f>
        <v>0</v>
      </c>
      <c r="F2035" t="str">
        <f>"000550"</f>
        <v>0</v>
      </c>
      <c r="G2035" t="s">
        <v>21</v>
      </c>
    </row>
    <row r="2036" spans="1:7">
      <c r="A2036">
        <v>2035</v>
      </c>
      <c r="B2036" t="str">
        <f>"020476"</f>
        <v>0</v>
      </c>
      <c r="C2036" t="s">
        <v>3651</v>
      </c>
      <c r="D2036" t="s">
        <v>3652</v>
      </c>
      <c r="E2036" t="str">
        <f>"3240800043971"</f>
        <v>0</v>
      </c>
      <c r="F2036" t="str">
        <f>"000550"</f>
        <v>0</v>
      </c>
      <c r="G2036" t="s">
        <v>21</v>
      </c>
    </row>
    <row r="2037" spans="1:7">
      <c r="A2037">
        <v>2036</v>
      </c>
      <c r="B2037" t="str">
        <f>"020886"</f>
        <v>0</v>
      </c>
      <c r="C2037" t="s">
        <v>3653</v>
      </c>
      <c r="D2037" t="s">
        <v>3654</v>
      </c>
      <c r="E2037" t="str">
        <f>"3240100670434"</f>
        <v>0</v>
      </c>
      <c r="F2037" t="str">
        <f>"000550"</f>
        <v>0</v>
      </c>
      <c r="G2037" t="s">
        <v>21</v>
      </c>
    </row>
    <row r="2038" spans="1:7">
      <c r="A2038">
        <v>2037</v>
      </c>
      <c r="B2038" t="str">
        <f>"021237"</f>
        <v>0</v>
      </c>
      <c r="C2038" t="s">
        <v>3655</v>
      </c>
      <c r="D2038" t="s">
        <v>3656</v>
      </c>
      <c r="E2038" t="str">
        <f>"3240100025636"</f>
        <v>0</v>
      </c>
      <c r="F2038" t="str">
        <f>"000550"</f>
        <v>0</v>
      </c>
      <c r="G2038" t="s">
        <v>21</v>
      </c>
    </row>
    <row r="2039" spans="1:7">
      <c r="A2039">
        <v>2038</v>
      </c>
      <c r="B2039" t="str">
        <f>"021280"</f>
        <v>0</v>
      </c>
      <c r="C2039" t="s">
        <v>1563</v>
      </c>
      <c r="D2039" t="s">
        <v>3657</v>
      </c>
      <c r="E2039" t="str">
        <f>"3110300113343"</f>
        <v>0</v>
      </c>
      <c r="F2039" t="str">
        <f>"000550"</f>
        <v>0</v>
      </c>
      <c r="G2039" t="s">
        <v>21</v>
      </c>
    </row>
    <row r="2040" spans="1:7">
      <c r="A2040">
        <v>2039</v>
      </c>
      <c r="B2040" t="str">
        <f>"021612"</f>
        <v>0</v>
      </c>
      <c r="C2040" t="s">
        <v>3658</v>
      </c>
      <c r="D2040" t="s">
        <v>3659</v>
      </c>
      <c r="E2040" t="str">
        <f>"1470100064358"</f>
        <v>0</v>
      </c>
      <c r="F2040" t="str">
        <f>"000550"</f>
        <v>0</v>
      </c>
      <c r="G2040" t="s">
        <v>21</v>
      </c>
    </row>
    <row r="2041" spans="1:7">
      <c r="A2041">
        <v>2040</v>
      </c>
      <c r="B2041" t="str">
        <f>"021948"</f>
        <v>0</v>
      </c>
      <c r="C2041" t="s">
        <v>3660</v>
      </c>
      <c r="D2041" t="s">
        <v>3661</v>
      </c>
      <c r="E2041" t="str">
        <f>"3341200066865"</f>
        <v>0</v>
      </c>
      <c r="F2041" t="str">
        <f>"000550"</f>
        <v>0</v>
      </c>
      <c r="G2041" t="s">
        <v>21</v>
      </c>
    </row>
    <row r="2042" spans="1:7">
      <c r="A2042">
        <v>2041</v>
      </c>
      <c r="B2042" t="str">
        <f>"022890"</f>
        <v>0</v>
      </c>
      <c r="C2042" t="s">
        <v>3662</v>
      </c>
      <c r="D2042" t="s">
        <v>3663</v>
      </c>
      <c r="E2042" t="str">
        <f>"1240300013074"</f>
        <v>0</v>
      </c>
      <c r="F2042" t="str">
        <f>"000550"</f>
        <v>0</v>
      </c>
      <c r="G2042" t="s">
        <v>21</v>
      </c>
    </row>
    <row r="2043" spans="1:7">
      <c r="A2043">
        <v>2042</v>
      </c>
      <c r="B2043" t="str">
        <f>"023165"</f>
        <v>0</v>
      </c>
      <c r="C2043" t="s">
        <v>3664</v>
      </c>
      <c r="D2043" t="s">
        <v>3665</v>
      </c>
      <c r="E2043" t="str">
        <f>"3101000244419"</f>
        <v>0</v>
      </c>
      <c r="F2043" t="str">
        <f>"000550"</f>
        <v>0</v>
      </c>
      <c r="G2043" t="s">
        <v>21</v>
      </c>
    </row>
    <row r="2044" spans="1:7">
      <c r="A2044">
        <v>2043</v>
      </c>
      <c r="B2044" t="str">
        <f>"023175"</f>
        <v>0</v>
      </c>
      <c r="C2044" t="s">
        <v>3666</v>
      </c>
      <c r="D2044" t="s">
        <v>3667</v>
      </c>
      <c r="E2044" t="str">
        <f>"3240600196049"</f>
        <v>0</v>
      </c>
      <c r="F2044" t="str">
        <f>"000550"</f>
        <v>0</v>
      </c>
      <c r="G2044" t="s">
        <v>21</v>
      </c>
    </row>
    <row r="2045" spans="1:7">
      <c r="A2045">
        <v>2044</v>
      </c>
      <c r="B2045" t="str">
        <f>"023502"</f>
        <v>0</v>
      </c>
      <c r="C2045" t="s">
        <v>3668</v>
      </c>
      <c r="D2045" t="s">
        <v>3669</v>
      </c>
      <c r="E2045" t="str">
        <f>"3400101212578"</f>
        <v>0</v>
      </c>
      <c r="F2045" t="str">
        <f>"000550"</f>
        <v>0</v>
      </c>
      <c r="G2045" t="s">
        <v>21</v>
      </c>
    </row>
    <row r="2046" spans="1:7">
      <c r="A2046">
        <v>2045</v>
      </c>
      <c r="B2046" t="str">
        <f>"023670"</f>
        <v>0</v>
      </c>
      <c r="C2046" t="s">
        <v>3670</v>
      </c>
      <c r="D2046" t="s">
        <v>3671</v>
      </c>
      <c r="E2046" t="str">
        <f>"3240200169559"</f>
        <v>0</v>
      </c>
      <c r="F2046" t="str">
        <f>"000550"</f>
        <v>0</v>
      </c>
      <c r="G2046" t="s">
        <v>21</v>
      </c>
    </row>
    <row r="2047" spans="1:7">
      <c r="A2047">
        <v>2046</v>
      </c>
      <c r="B2047" t="str">
        <f>"023815"</f>
        <v>0</v>
      </c>
      <c r="C2047" t="s">
        <v>405</v>
      </c>
      <c r="D2047" t="s">
        <v>3672</v>
      </c>
      <c r="E2047" t="str">
        <f>"3730600670374"</f>
        <v>0</v>
      </c>
      <c r="F2047" t="str">
        <f>"000550"</f>
        <v>0</v>
      </c>
      <c r="G2047" t="s">
        <v>21</v>
      </c>
    </row>
    <row r="2048" spans="1:7">
      <c r="A2048">
        <v>2047</v>
      </c>
      <c r="B2048" t="str">
        <f>"023915"</f>
        <v>0</v>
      </c>
      <c r="C2048" t="s">
        <v>500</v>
      </c>
      <c r="D2048" t="s">
        <v>3673</v>
      </c>
      <c r="E2048" t="str">
        <f>"3250200979585"</f>
        <v>0</v>
      </c>
      <c r="F2048" t="str">
        <f>"000550"</f>
        <v>0</v>
      </c>
      <c r="G2048" t="s">
        <v>21</v>
      </c>
    </row>
    <row r="2049" spans="1:7">
      <c r="A2049">
        <v>2048</v>
      </c>
      <c r="B2049" t="str">
        <f>"024044"</f>
        <v>0</v>
      </c>
      <c r="C2049" t="s">
        <v>3674</v>
      </c>
      <c r="D2049" t="s">
        <v>3675</v>
      </c>
      <c r="E2049" t="str">
        <f>"3459900301693"</f>
        <v>0</v>
      </c>
      <c r="F2049" t="str">
        <f>"000550"</f>
        <v>0</v>
      </c>
      <c r="G2049" t="s">
        <v>21</v>
      </c>
    </row>
    <row r="2050" spans="1:7">
      <c r="A2050">
        <v>2049</v>
      </c>
      <c r="B2050" t="str">
        <f>"024046"</f>
        <v>0</v>
      </c>
      <c r="C2050" t="s">
        <v>3676</v>
      </c>
      <c r="D2050" t="s">
        <v>3677</v>
      </c>
      <c r="E2050" t="str">
        <f>"3240600389416"</f>
        <v>0</v>
      </c>
      <c r="F2050" t="str">
        <f>"000550"</f>
        <v>0</v>
      </c>
      <c r="G2050" t="s">
        <v>21</v>
      </c>
    </row>
    <row r="2051" spans="1:7">
      <c r="A2051">
        <v>2050</v>
      </c>
      <c r="B2051" t="str">
        <f>"024119"</f>
        <v>0</v>
      </c>
      <c r="C2051" t="s">
        <v>2223</v>
      </c>
      <c r="D2051" t="s">
        <v>3678</v>
      </c>
      <c r="E2051" t="str">
        <f>"3240200474319"</f>
        <v>0</v>
      </c>
      <c r="F2051" t="str">
        <f>"000550"</f>
        <v>0</v>
      </c>
      <c r="G2051" t="s">
        <v>21</v>
      </c>
    </row>
    <row r="2052" spans="1:7">
      <c r="A2052">
        <v>2051</v>
      </c>
      <c r="B2052" t="str">
        <f>"024190"</f>
        <v>0</v>
      </c>
      <c r="C2052" t="s">
        <v>3679</v>
      </c>
      <c r="D2052" t="s">
        <v>3680</v>
      </c>
      <c r="E2052" t="str">
        <f>"1240600067722"</f>
        <v>0</v>
      </c>
      <c r="F2052" t="str">
        <f>"000550"</f>
        <v>0</v>
      </c>
      <c r="G2052" t="s">
        <v>21</v>
      </c>
    </row>
    <row r="2053" spans="1:7">
      <c r="A2053">
        <v>2052</v>
      </c>
      <c r="B2053" t="str">
        <f>"024205"</f>
        <v>0</v>
      </c>
      <c r="C2053" t="s">
        <v>3681</v>
      </c>
      <c r="D2053" t="s">
        <v>3682</v>
      </c>
      <c r="E2053" t="str">
        <f>"1249900023567"</f>
        <v>0</v>
      </c>
      <c r="F2053" t="str">
        <f>"000550"</f>
        <v>0</v>
      </c>
      <c r="G2053" t="s">
        <v>21</v>
      </c>
    </row>
    <row r="2054" spans="1:7">
      <c r="A2054">
        <v>2053</v>
      </c>
      <c r="B2054" t="str">
        <f>"024471"</f>
        <v>0</v>
      </c>
      <c r="C2054" t="s">
        <v>3683</v>
      </c>
      <c r="D2054" t="s">
        <v>3684</v>
      </c>
      <c r="E2054" t="str">
        <f>"5301900030037"</f>
        <v>0</v>
      </c>
      <c r="F2054" t="str">
        <f>"000550"</f>
        <v>0</v>
      </c>
      <c r="G2054" t="s">
        <v>21</v>
      </c>
    </row>
    <row r="2055" spans="1:7">
      <c r="A2055">
        <v>2054</v>
      </c>
      <c r="B2055" t="str">
        <f>"024597"</f>
        <v>0</v>
      </c>
      <c r="C2055" t="s">
        <v>2202</v>
      </c>
      <c r="D2055" t="s">
        <v>3685</v>
      </c>
      <c r="E2055" t="str">
        <f>"1249900038921"</f>
        <v>0</v>
      </c>
      <c r="F2055" t="str">
        <f>"000550"</f>
        <v>0</v>
      </c>
      <c r="G2055" t="s">
        <v>21</v>
      </c>
    </row>
    <row r="2056" spans="1:7">
      <c r="A2056">
        <v>2055</v>
      </c>
      <c r="B2056" t="str">
        <f>"024742"</f>
        <v>0</v>
      </c>
      <c r="C2056" t="s">
        <v>3686</v>
      </c>
      <c r="D2056" t="s">
        <v>3687</v>
      </c>
      <c r="E2056" t="str">
        <f>"1249800002801"</f>
        <v>0</v>
      </c>
      <c r="F2056" t="str">
        <f>"000550"</f>
        <v>0</v>
      </c>
      <c r="G2056" t="s">
        <v>21</v>
      </c>
    </row>
    <row r="2057" spans="1:7">
      <c r="A2057">
        <v>2056</v>
      </c>
      <c r="B2057" t="str">
        <f>"025092"</f>
        <v>0</v>
      </c>
      <c r="C2057" t="s">
        <v>3688</v>
      </c>
      <c r="D2057" t="s">
        <v>3689</v>
      </c>
      <c r="E2057" t="str">
        <f>"3240700017731"</f>
        <v>0</v>
      </c>
      <c r="F2057" t="str">
        <f>"000550"</f>
        <v>0</v>
      </c>
      <c r="G2057" t="s">
        <v>21</v>
      </c>
    </row>
    <row r="2058" spans="1:7">
      <c r="A2058">
        <v>2057</v>
      </c>
      <c r="B2058" t="str">
        <f>"025379"</f>
        <v>0</v>
      </c>
      <c r="C2058" t="s">
        <v>3690</v>
      </c>
      <c r="D2058" t="s">
        <v>3691</v>
      </c>
      <c r="E2058" t="str">
        <f>"3240100057562"</f>
        <v>0</v>
      </c>
      <c r="F2058" t="str">
        <f>"000550"</f>
        <v>0</v>
      </c>
      <c r="G2058" t="s">
        <v>21</v>
      </c>
    </row>
    <row r="2059" spans="1:7">
      <c r="A2059">
        <v>2058</v>
      </c>
      <c r="B2059" t="str">
        <f>"025422"</f>
        <v>0</v>
      </c>
      <c r="C2059" t="s">
        <v>3692</v>
      </c>
      <c r="D2059" t="s">
        <v>3693</v>
      </c>
      <c r="E2059" t="str">
        <f>"3920600694930"</f>
        <v>0</v>
      </c>
      <c r="F2059" t="str">
        <f>"000550"</f>
        <v>0</v>
      </c>
      <c r="G2059" t="s">
        <v>21</v>
      </c>
    </row>
    <row r="2060" spans="1:7">
      <c r="A2060">
        <v>2059</v>
      </c>
      <c r="B2060" t="str">
        <f>"025763"</f>
        <v>0</v>
      </c>
      <c r="C2060" t="s">
        <v>3694</v>
      </c>
      <c r="D2060" t="s">
        <v>3536</v>
      </c>
      <c r="E2060" t="str">
        <f>"3249900201577"</f>
        <v>0</v>
      </c>
      <c r="F2060" t="str">
        <f>"000550"</f>
        <v>0</v>
      </c>
      <c r="G2060" t="s">
        <v>21</v>
      </c>
    </row>
    <row r="2061" spans="1:7">
      <c r="A2061">
        <v>2060</v>
      </c>
      <c r="B2061" t="str">
        <f>"026617"</f>
        <v>0</v>
      </c>
      <c r="C2061" t="s">
        <v>3695</v>
      </c>
      <c r="D2061" t="s">
        <v>3696</v>
      </c>
      <c r="E2061" t="str">
        <f>"1240600108101"</f>
        <v>0</v>
      </c>
      <c r="F2061" t="str">
        <f>"000550"</f>
        <v>0</v>
      </c>
      <c r="G2061" t="s">
        <v>21</v>
      </c>
    </row>
    <row r="2062" spans="1:7">
      <c r="A2062">
        <v>2061</v>
      </c>
      <c r="B2062" t="str">
        <f>"014207"</f>
        <v>0</v>
      </c>
      <c r="C2062" t="s">
        <v>3697</v>
      </c>
      <c r="D2062" t="s">
        <v>3698</v>
      </c>
      <c r="E2062" t="str">
        <f>"3250100161718"</f>
        <v>0</v>
      </c>
      <c r="F2062" t="str">
        <f>"000550"</f>
        <v>0</v>
      </c>
      <c r="G2062" t="s">
        <v>21</v>
      </c>
    </row>
    <row r="2063" spans="1:7">
      <c r="A2063">
        <v>2062</v>
      </c>
      <c r="B2063" t="str">
        <f>"022697"</f>
        <v>0</v>
      </c>
      <c r="C2063" t="s">
        <v>3699</v>
      </c>
      <c r="D2063" t="s">
        <v>3696</v>
      </c>
      <c r="E2063" t="str">
        <f>"1250900001506"</f>
        <v>0</v>
      </c>
      <c r="F2063" t="str">
        <f>"000550"</f>
        <v>0</v>
      </c>
      <c r="G2063" t="s">
        <v>21</v>
      </c>
    </row>
    <row r="2064" spans="1:7">
      <c r="A2064">
        <v>2063</v>
      </c>
      <c r="B2064" t="str">
        <f>"025580"</f>
        <v>0</v>
      </c>
      <c r="C2064" t="s">
        <v>3700</v>
      </c>
      <c r="D2064" t="s">
        <v>3701</v>
      </c>
      <c r="E2064" t="str">
        <f>"1249900292002"</f>
        <v>0</v>
      </c>
      <c r="F2064" t="str">
        <f>"000550"</f>
        <v>0</v>
      </c>
      <c r="G2064" t="s">
        <v>21</v>
      </c>
    </row>
    <row r="2065" spans="1:7">
      <c r="A2065">
        <v>2064</v>
      </c>
      <c r="B2065" t="str">
        <f>"020641"</f>
        <v>0</v>
      </c>
      <c r="C2065" t="s">
        <v>3702</v>
      </c>
      <c r="D2065" t="s">
        <v>3703</v>
      </c>
      <c r="E2065" t="str">
        <f>"5260100021301"</f>
        <v>0</v>
      </c>
      <c r="F2065" t="str">
        <f>"000550"</f>
        <v>0</v>
      </c>
      <c r="G2065" t="s">
        <v>21</v>
      </c>
    </row>
    <row r="2066" spans="1:7">
      <c r="A2066">
        <v>2065</v>
      </c>
      <c r="B2066" t="str">
        <f>"025847"</f>
        <v>0</v>
      </c>
      <c r="C2066" t="s">
        <v>3704</v>
      </c>
      <c r="D2066" t="s">
        <v>3705</v>
      </c>
      <c r="E2066" t="str">
        <f>"1269900169138"</f>
        <v>0</v>
      </c>
      <c r="F2066" t="str">
        <f>"000550"</f>
        <v>0</v>
      </c>
      <c r="G2066" t="s">
        <v>21</v>
      </c>
    </row>
    <row r="2067" spans="1:7">
      <c r="A2067">
        <v>2066</v>
      </c>
      <c r="B2067" t="str">
        <f>"025237"</f>
        <v>0</v>
      </c>
      <c r="C2067" t="s">
        <v>3706</v>
      </c>
      <c r="D2067" t="s">
        <v>3707</v>
      </c>
      <c r="E2067" t="str">
        <f>"1250500079419"</f>
        <v>0</v>
      </c>
      <c r="F2067" t="str">
        <f>"000550"</f>
        <v>0</v>
      </c>
      <c r="G2067" t="s">
        <v>21</v>
      </c>
    </row>
    <row r="2068" spans="1:7">
      <c r="A2068">
        <v>2067</v>
      </c>
      <c r="B2068" t="str">
        <f>"011187"</f>
        <v>0</v>
      </c>
      <c r="C2068" t="s">
        <v>3708</v>
      </c>
      <c r="D2068" t="s">
        <v>3709</v>
      </c>
      <c r="E2068" t="str">
        <f>"3310300720094"</f>
        <v>0</v>
      </c>
      <c r="F2068" t="str">
        <f>"000550"</f>
        <v>0</v>
      </c>
      <c r="G2068" t="s">
        <v>21</v>
      </c>
    </row>
    <row r="2069" spans="1:7">
      <c r="A2069">
        <v>2068</v>
      </c>
      <c r="B2069" t="str">
        <f>"025850"</f>
        <v>0</v>
      </c>
      <c r="C2069" t="s">
        <v>3710</v>
      </c>
      <c r="D2069" t="s">
        <v>3711</v>
      </c>
      <c r="E2069" t="str">
        <f>"1349900382574"</f>
        <v>0</v>
      </c>
      <c r="F2069" t="str">
        <f>"000550"</f>
        <v>0</v>
      </c>
      <c r="G2069" t="s">
        <v>21</v>
      </c>
    </row>
    <row r="2070" spans="1:7">
      <c r="A2070">
        <v>2069</v>
      </c>
      <c r="B2070" t="str">
        <f>"024331"</f>
        <v>0</v>
      </c>
      <c r="C2070" t="s">
        <v>3712</v>
      </c>
      <c r="D2070" t="s">
        <v>3713</v>
      </c>
      <c r="E2070" t="str">
        <f>"1169800089338"</f>
        <v>0</v>
      </c>
      <c r="F2070" t="str">
        <f>"000550"</f>
        <v>0</v>
      </c>
      <c r="G2070" t="s">
        <v>21</v>
      </c>
    </row>
    <row r="2071" spans="1:7">
      <c r="A2071">
        <v>2070</v>
      </c>
      <c r="B2071" t="str">
        <f>"025848"</f>
        <v>0</v>
      </c>
      <c r="C2071" t="s">
        <v>3714</v>
      </c>
      <c r="D2071" t="s">
        <v>3715</v>
      </c>
      <c r="E2071" t="str">
        <f>"1430200029091"</f>
        <v>0</v>
      </c>
      <c r="F2071" t="str">
        <f>"000550"</f>
        <v>0</v>
      </c>
      <c r="G2071" t="s">
        <v>21</v>
      </c>
    </row>
    <row r="2072" spans="1:7">
      <c r="A2072">
        <v>2071</v>
      </c>
      <c r="B2072" t="str">
        <f>"024330"</f>
        <v>0</v>
      </c>
      <c r="C2072" t="s">
        <v>3716</v>
      </c>
      <c r="D2072" t="s">
        <v>3717</v>
      </c>
      <c r="E2072" t="str">
        <f>"3451100592513"</f>
        <v>0</v>
      </c>
      <c r="F2072" t="str">
        <f>"000550"</f>
        <v>0</v>
      </c>
      <c r="G2072" t="s">
        <v>21</v>
      </c>
    </row>
    <row r="2073" spans="1:7">
      <c r="A2073">
        <v>2072</v>
      </c>
      <c r="B2073" t="str">
        <f>"020440"</f>
        <v>0</v>
      </c>
      <c r="C2073" t="s">
        <v>2223</v>
      </c>
      <c r="D2073" t="s">
        <v>3718</v>
      </c>
      <c r="E2073" t="str">
        <f>"3460300793236"</f>
        <v>0</v>
      </c>
      <c r="F2073" t="str">
        <f>"000550"</f>
        <v>0</v>
      </c>
      <c r="G2073" t="s">
        <v>21</v>
      </c>
    </row>
    <row r="2074" spans="1:7">
      <c r="A2074">
        <v>2073</v>
      </c>
      <c r="B2074" t="str">
        <f>"025849"</f>
        <v>0</v>
      </c>
      <c r="C2074" t="s">
        <v>3719</v>
      </c>
      <c r="D2074" t="s">
        <v>3720</v>
      </c>
      <c r="E2074" t="str">
        <f>"1539900344905"</f>
        <v>0</v>
      </c>
      <c r="F2074" t="str">
        <f>"000550"</f>
        <v>0</v>
      </c>
      <c r="G2074" t="s">
        <v>21</v>
      </c>
    </row>
    <row r="2075" spans="1:7">
      <c r="A2075">
        <v>2074</v>
      </c>
      <c r="B2075" t="str">
        <f>"024928"</f>
        <v>0</v>
      </c>
      <c r="C2075" t="s">
        <v>1392</v>
      </c>
      <c r="D2075" t="s">
        <v>3721</v>
      </c>
      <c r="E2075" t="str">
        <f>"1601100144270"</f>
        <v>0</v>
      </c>
      <c r="F2075" t="str">
        <f>"000550"</f>
        <v>0</v>
      </c>
      <c r="G2075" t="s">
        <v>21</v>
      </c>
    </row>
    <row r="2076" spans="1:7">
      <c r="A2076">
        <v>2075</v>
      </c>
      <c r="B2076" t="str">
        <f>"025852"</f>
        <v>0</v>
      </c>
      <c r="C2076" t="s">
        <v>3722</v>
      </c>
      <c r="D2076" t="s">
        <v>3723</v>
      </c>
      <c r="E2076" t="str">
        <f>"1600500156291"</f>
        <v>0</v>
      </c>
      <c r="F2076" t="str">
        <f>"000550"</f>
        <v>0</v>
      </c>
      <c r="G2076" t="s">
        <v>21</v>
      </c>
    </row>
    <row r="2077" spans="1:7">
      <c r="A2077">
        <v>2076</v>
      </c>
      <c r="B2077" t="str">
        <f>"025851"</f>
        <v>0</v>
      </c>
      <c r="C2077" t="s">
        <v>606</v>
      </c>
      <c r="D2077" t="s">
        <v>3724</v>
      </c>
      <c r="E2077" t="str">
        <f>"1629900194538"</f>
        <v>0</v>
      </c>
      <c r="F2077" t="str">
        <f>"000550"</f>
        <v>0</v>
      </c>
      <c r="G2077" t="s">
        <v>21</v>
      </c>
    </row>
    <row r="2078" spans="1:7">
      <c r="A2078">
        <v>2077</v>
      </c>
      <c r="B2078" t="str">
        <f>"025854"</f>
        <v>0</v>
      </c>
      <c r="C2078" t="s">
        <v>3725</v>
      </c>
      <c r="D2078" t="s">
        <v>3726</v>
      </c>
      <c r="E2078" t="str">
        <f>"1100900407104"</f>
        <v>0</v>
      </c>
      <c r="F2078" t="str">
        <f>"000550"</f>
        <v>0</v>
      </c>
      <c r="G2078" t="s">
        <v>21</v>
      </c>
    </row>
    <row r="2079" spans="1:7">
      <c r="A2079">
        <v>2078</v>
      </c>
      <c r="B2079" t="str">
        <f>"026062"</f>
        <v>0</v>
      </c>
      <c r="C2079" t="s">
        <v>3727</v>
      </c>
      <c r="D2079" t="s">
        <v>3728</v>
      </c>
      <c r="E2079" t="str">
        <f>"1700500092674"</f>
        <v>0</v>
      </c>
      <c r="F2079" t="str">
        <f>"000550"</f>
        <v>0</v>
      </c>
      <c r="G2079" t="s">
        <v>21</v>
      </c>
    </row>
    <row r="2080" spans="1:7">
      <c r="A2080">
        <v>2079</v>
      </c>
      <c r="B2080" t="str">
        <f>"021912"</f>
        <v>0</v>
      </c>
      <c r="C2080" t="s">
        <v>3729</v>
      </c>
      <c r="D2080" t="s">
        <v>3730</v>
      </c>
      <c r="E2080" t="str">
        <f>"3739900157191"</f>
        <v>0</v>
      </c>
      <c r="F2080" t="str">
        <f>"000550"</f>
        <v>0</v>
      </c>
      <c r="G2080" t="s">
        <v>21</v>
      </c>
    </row>
    <row r="2081" spans="1:7">
      <c r="A2081">
        <v>2080</v>
      </c>
      <c r="B2081" t="str">
        <f>"026101"</f>
        <v>0</v>
      </c>
      <c r="C2081" t="s">
        <v>3731</v>
      </c>
      <c r="D2081" t="s">
        <v>3732</v>
      </c>
      <c r="E2081" t="str">
        <f>"1730200014244"</f>
        <v>0</v>
      </c>
      <c r="F2081" t="str">
        <f>"000550"</f>
        <v>0</v>
      </c>
      <c r="G2081" t="s">
        <v>21</v>
      </c>
    </row>
    <row r="2082" spans="1:7">
      <c r="A2082">
        <v>2081</v>
      </c>
      <c r="B2082" t="str">
        <f>"026473"</f>
        <v>0</v>
      </c>
      <c r="C2082" t="s">
        <v>3240</v>
      </c>
      <c r="D2082" t="s">
        <v>3733</v>
      </c>
      <c r="E2082" t="str">
        <f>"1730200179367"</f>
        <v>0</v>
      </c>
      <c r="F2082" t="str">
        <f>"000550"</f>
        <v>0</v>
      </c>
      <c r="G2082" t="s">
        <v>21</v>
      </c>
    </row>
    <row r="2083" spans="1:7">
      <c r="A2083">
        <v>2082</v>
      </c>
      <c r="B2083" t="str">
        <f>"026100"</f>
        <v>0</v>
      </c>
      <c r="C2083" t="s">
        <v>3734</v>
      </c>
      <c r="D2083" t="s">
        <v>3735</v>
      </c>
      <c r="E2083" t="str">
        <f>"1750300005069"</f>
        <v>0</v>
      </c>
      <c r="F2083" t="str">
        <f>"000550"</f>
        <v>0</v>
      </c>
      <c r="G2083" t="s">
        <v>21</v>
      </c>
    </row>
    <row r="2084" spans="1:7">
      <c r="A2084">
        <v>2083</v>
      </c>
      <c r="B2084" t="str">
        <f>"027092"</f>
        <v>0</v>
      </c>
      <c r="C2084" t="s">
        <v>3736</v>
      </c>
      <c r="D2084" t="s">
        <v>3737</v>
      </c>
      <c r="E2084" t="str">
        <f>"1769900311142"</f>
        <v>0</v>
      </c>
      <c r="F2084" t="str">
        <f>"000550"</f>
        <v>0</v>
      </c>
      <c r="G2084" t="s">
        <v>21</v>
      </c>
    </row>
    <row r="2085" spans="1:7">
      <c r="A2085">
        <v>2084</v>
      </c>
      <c r="B2085" t="str">
        <f>"027500"</f>
        <v>0</v>
      </c>
      <c r="C2085" t="s">
        <v>2476</v>
      </c>
      <c r="D2085" t="s">
        <v>3738</v>
      </c>
      <c r="E2085" t="str">
        <f>"2801100018220"</f>
        <v>0</v>
      </c>
      <c r="F2085" t="str">
        <f>"000550"</f>
        <v>0</v>
      </c>
      <c r="G2085" t="s">
        <v>21</v>
      </c>
    </row>
    <row r="2086" spans="1:7">
      <c r="A2086">
        <v>2085</v>
      </c>
      <c r="B2086" t="str">
        <f>"026394"</f>
        <v>0</v>
      </c>
      <c r="C2086" t="s">
        <v>3473</v>
      </c>
      <c r="D2086" t="s">
        <v>3739</v>
      </c>
      <c r="E2086" t="str">
        <f>"1200100077664"</f>
        <v>0</v>
      </c>
      <c r="F2086" t="str">
        <f>"000550"</f>
        <v>0</v>
      </c>
      <c r="G2086" t="s">
        <v>21</v>
      </c>
    </row>
    <row r="2087" spans="1:7">
      <c r="A2087">
        <v>2086</v>
      </c>
      <c r="B2087" t="str">
        <f>"012757"</f>
        <v>0</v>
      </c>
      <c r="C2087" t="s">
        <v>3740</v>
      </c>
      <c r="D2087" t="s">
        <v>3741</v>
      </c>
      <c r="E2087" t="str">
        <f>"3240600602993"</f>
        <v>0</v>
      </c>
      <c r="F2087" t="str">
        <f>"000550"</f>
        <v>0</v>
      </c>
      <c r="G2087" t="s">
        <v>21</v>
      </c>
    </row>
    <row r="2088" spans="1:7">
      <c r="A2088">
        <v>2087</v>
      </c>
      <c r="B2088" t="str">
        <f>"012758"</f>
        <v>0</v>
      </c>
      <c r="C2088" t="s">
        <v>3742</v>
      </c>
      <c r="D2088" t="s">
        <v>3743</v>
      </c>
      <c r="E2088" t="str">
        <f>"3240600563963"</f>
        <v>0</v>
      </c>
      <c r="F2088" t="str">
        <f>"000550"</f>
        <v>0</v>
      </c>
      <c r="G2088" t="s">
        <v>21</v>
      </c>
    </row>
    <row r="2089" spans="1:7">
      <c r="A2089">
        <v>2088</v>
      </c>
      <c r="B2089" t="str">
        <f>"014680"</f>
        <v>0</v>
      </c>
      <c r="C2089" t="s">
        <v>46</v>
      </c>
      <c r="D2089" t="s">
        <v>3744</v>
      </c>
      <c r="E2089" t="str">
        <f>"5930690004080"</f>
        <v>0</v>
      </c>
      <c r="F2089" t="str">
        <f>"000550"</f>
        <v>0</v>
      </c>
      <c r="G2089" t="s">
        <v>21</v>
      </c>
    </row>
    <row r="2090" spans="1:7">
      <c r="A2090">
        <v>2089</v>
      </c>
      <c r="B2090" t="str">
        <f>"014867"</f>
        <v>0</v>
      </c>
      <c r="C2090" t="s">
        <v>160</v>
      </c>
      <c r="D2090" t="s">
        <v>3745</v>
      </c>
      <c r="E2090" t="str">
        <f>"3240600551809"</f>
        <v>0</v>
      </c>
      <c r="F2090" t="str">
        <f>"000550"</f>
        <v>0</v>
      </c>
      <c r="G2090" t="s">
        <v>21</v>
      </c>
    </row>
    <row r="2091" spans="1:7">
      <c r="A2091">
        <v>2090</v>
      </c>
      <c r="B2091" t="str">
        <f>"015497"</f>
        <v>0</v>
      </c>
      <c r="C2091" t="s">
        <v>3746</v>
      </c>
      <c r="D2091" t="s">
        <v>3747</v>
      </c>
      <c r="E2091" t="str">
        <f>"3240600678833"</f>
        <v>0</v>
      </c>
      <c r="F2091" t="str">
        <f>"000550"</f>
        <v>0</v>
      </c>
      <c r="G2091" t="s">
        <v>21</v>
      </c>
    </row>
    <row r="2092" spans="1:7">
      <c r="A2092">
        <v>2091</v>
      </c>
      <c r="B2092" t="str">
        <f>"016044"</f>
        <v>0</v>
      </c>
      <c r="C2092" t="s">
        <v>3748</v>
      </c>
      <c r="D2092" t="s">
        <v>3590</v>
      </c>
      <c r="E2092" t="str">
        <f>"3240600541935"</f>
        <v>0</v>
      </c>
      <c r="F2092" t="str">
        <f>"000550"</f>
        <v>0</v>
      </c>
      <c r="G2092" t="s">
        <v>21</v>
      </c>
    </row>
    <row r="2093" spans="1:7">
      <c r="A2093">
        <v>2092</v>
      </c>
      <c r="B2093" t="str">
        <f>"016663"</f>
        <v>0</v>
      </c>
      <c r="C2093" t="s">
        <v>1949</v>
      </c>
      <c r="D2093" t="s">
        <v>3749</v>
      </c>
      <c r="E2093" t="str">
        <f>"3240600557947"</f>
        <v>0</v>
      </c>
      <c r="F2093" t="str">
        <f>"000550"</f>
        <v>0</v>
      </c>
      <c r="G2093" t="s">
        <v>21</v>
      </c>
    </row>
    <row r="2094" spans="1:7">
      <c r="A2094">
        <v>2093</v>
      </c>
      <c r="B2094" t="str">
        <f>"016664"</f>
        <v>0</v>
      </c>
      <c r="C2094" t="s">
        <v>3750</v>
      </c>
      <c r="D2094" t="s">
        <v>3751</v>
      </c>
      <c r="E2094" t="str">
        <f>"3240900022216"</f>
        <v>0</v>
      </c>
      <c r="F2094" t="str">
        <f>"000550"</f>
        <v>0</v>
      </c>
      <c r="G2094" t="s">
        <v>21</v>
      </c>
    </row>
    <row r="2095" spans="1:7">
      <c r="A2095">
        <v>2094</v>
      </c>
      <c r="B2095" t="str">
        <f>"016665"</f>
        <v>0</v>
      </c>
      <c r="C2095" t="s">
        <v>311</v>
      </c>
      <c r="D2095" t="s">
        <v>3752</v>
      </c>
      <c r="E2095" t="str">
        <f>"3170100218389"</f>
        <v>0</v>
      </c>
      <c r="F2095" t="str">
        <f>"000550"</f>
        <v>0</v>
      </c>
      <c r="G2095" t="s">
        <v>21</v>
      </c>
    </row>
    <row r="2096" spans="1:7">
      <c r="A2096">
        <v>2095</v>
      </c>
      <c r="B2096" t="str">
        <f>"021059"</f>
        <v>0</v>
      </c>
      <c r="C2096" t="s">
        <v>3753</v>
      </c>
      <c r="D2096" t="s">
        <v>3754</v>
      </c>
      <c r="E2096" t="str">
        <f>"3180400364968"</f>
        <v>0</v>
      </c>
      <c r="F2096" t="str">
        <f>"000550"</f>
        <v>0</v>
      </c>
      <c r="G2096" t="s">
        <v>21</v>
      </c>
    </row>
    <row r="2097" spans="1:7">
      <c r="A2097">
        <v>2096</v>
      </c>
      <c r="B2097" t="str">
        <f>"023671"</f>
        <v>0</v>
      </c>
      <c r="C2097" t="s">
        <v>3755</v>
      </c>
      <c r="D2097" t="s">
        <v>3756</v>
      </c>
      <c r="E2097" t="str">
        <f>"1249800065195"</f>
        <v>0</v>
      </c>
      <c r="F2097" t="str">
        <f>"000550"</f>
        <v>0</v>
      </c>
      <c r="G2097" t="s">
        <v>21</v>
      </c>
    </row>
    <row r="2098" spans="1:7">
      <c r="A2098">
        <v>2097</v>
      </c>
      <c r="B2098" t="str">
        <f>"027509"</f>
        <v>0</v>
      </c>
      <c r="C2098" t="s">
        <v>3757</v>
      </c>
      <c r="D2098" t="s">
        <v>3758</v>
      </c>
      <c r="E2098" t="str">
        <f>"1709900742321"</f>
        <v>0</v>
      </c>
      <c r="F2098" t="str">
        <f>"000550"</f>
        <v>0</v>
      </c>
      <c r="G2098" t="s">
        <v>21</v>
      </c>
    </row>
    <row r="2099" spans="1:7">
      <c r="A2099">
        <v>2098</v>
      </c>
      <c r="B2099" t="str">
        <f>"027510"</f>
        <v>0</v>
      </c>
      <c r="C2099" t="s">
        <v>3759</v>
      </c>
      <c r="D2099" t="s">
        <v>3760</v>
      </c>
      <c r="E2099" t="str">
        <f>"1949900013590"</f>
        <v>0</v>
      </c>
      <c r="F2099" t="str">
        <f>"000550"</f>
        <v>0</v>
      </c>
      <c r="G2099" t="s">
        <v>21</v>
      </c>
    </row>
    <row r="2100" spans="1:7">
      <c r="A2100">
        <v>2099</v>
      </c>
      <c r="B2100" t="str">
        <f>"027511"</f>
        <v>0</v>
      </c>
      <c r="C2100" t="s">
        <v>3761</v>
      </c>
      <c r="D2100" t="s">
        <v>3762</v>
      </c>
      <c r="E2100" t="str">
        <f>"1600100642562"</f>
        <v>0</v>
      </c>
      <c r="F2100" t="str">
        <f>"000550"</f>
        <v>0</v>
      </c>
      <c r="G2100" t="s">
        <v>21</v>
      </c>
    </row>
    <row r="2101" spans="1:7">
      <c r="A2101">
        <v>2100</v>
      </c>
      <c r="B2101" t="str">
        <f>"000127"</f>
        <v>0</v>
      </c>
      <c r="C2101" t="s">
        <v>3763</v>
      </c>
      <c r="D2101" t="s">
        <v>3764</v>
      </c>
      <c r="E2101" t="str">
        <f>"3200100166795"</f>
        <v>0</v>
      </c>
      <c r="F2101" t="str">
        <f>"000570"</f>
        <v>0</v>
      </c>
      <c r="G2101" t="s">
        <v>21</v>
      </c>
    </row>
    <row r="2102" spans="1:7">
      <c r="A2102">
        <v>2101</v>
      </c>
      <c r="B2102" t="str">
        <f>"001408"</f>
        <v>0</v>
      </c>
      <c r="C2102" t="s">
        <v>3765</v>
      </c>
      <c r="D2102" t="s">
        <v>3766</v>
      </c>
      <c r="E2102" t="str">
        <f>"3210100338481"</f>
        <v>0</v>
      </c>
      <c r="F2102" t="str">
        <f>"000570"</f>
        <v>0</v>
      </c>
      <c r="G2102" t="s">
        <v>21</v>
      </c>
    </row>
    <row r="2103" spans="1:7">
      <c r="A2103">
        <v>2102</v>
      </c>
      <c r="B2103" t="str">
        <f>"001505"</f>
        <v>0</v>
      </c>
      <c r="C2103" t="s">
        <v>957</v>
      </c>
      <c r="D2103" t="s">
        <v>3767</v>
      </c>
      <c r="E2103" t="str">
        <f>"3200500125492"</f>
        <v>0</v>
      </c>
      <c r="F2103" t="str">
        <f>"000570"</f>
        <v>0</v>
      </c>
      <c r="G2103" t="s">
        <v>21</v>
      </c>
    </row>
    <row r="2104" spans="1:7">
      <c r="A2104">
        <v>2103</v>
      </c>
      <c r="B2104" t="str">
        <f>"001875"</f>
        <v>0</v>
      </c>
      <c r="C2104" t="s">
        <v>2531</v>
      </c>
      <c r="D2104" t="s">
        <v>3768</v>
      </c>
      <c r="E2104" t="str">
        <f>"3200700194293"</f>
        <v>0</v>
      </c>
      <c r="F2104" t="str">
        <f>"000570"</f>
        <v>0</v>
      </c>
      <c r="G2104" t="s">
        <v>21</v>
      </c>
    </row>
    <row r="2105" spans="1:7">
      <c r="A2105">
        <v>2104</v>
      </c>
      <c r="B2105" t="str">
        <f>"001986"</f>
        <v>0</v>
      </c>
      <c r="C2105" t="s">
        <v>112</v>
      </c>
      <c r="D2105" t="s">
        <v>3769</v>
      </c>
      <c r="E2105" t="str">
        <f>"3200100720237"</f>
        <v>0</v>
      </c>
      <c r="F2105" t="str">
        <f>"000570"</f>
        <v>0</v>
      </c>
      <c r="G2105" t="s">
        <v>21</v>
      </c>
    </row>
    <row r="2106" spans="1:7">
      <c r="A2106">
        <v>2105</v>
      </c>
      <c r="B2106" t="str">
        <f>"002162"</f>
        <v>0</v>
      </c>
      <c r="C2106" t="s">
        <v>587</v>
      </c>
      <c r="D2106" t="s">
        <v>3770</v>
      </c>
      <c r="E2106" t="str">
        <f>"3840100215154"</f>
        <v>0</v>
      </c>
      <c r="F2106" t="str">
        <f>"000570"</f>
        <v>0</v>
      </c>
      <c r="G2106" t="s">
        <v>21</v>
      </c>
    </row>
    <row r="2107" spans="1:7">
      <c r="A2107">
        <v>2106</v>
      </c>
      <c r="B2107" t="str">
        <f>"002211"</f>
        <v>0</v>
      </c>
      <c r="C2107" t="s">
        <v>2773</v>
      </c>
      <c r="D2107" t="s">
        <v>3771</v>
      </c>
      <c r="E2107" t="str">
        <f>"3209600305521"</f>
        <v>0</v>
      </c>
      <c r="F2107" t="str">
        <f>"000570"</f>
        <v>0</v>
      </c>
      <c r="G2107" t="s">
        <v>21</v>
      </c>
    </row>
    <row r="2108" spans="1:7">
      <c r="A2108">
        <v>2107</v>
      </c>
      <c r="B2108" t="str">
        <f>"002271"</f>
        <v>0</v>
      </c>
      <c r="C2108" t="s">
        <v>352</v>
      </c>
      <c r="D2108" t="s">
        <v>3772</v>
      </c>
      <c r="E2108" t="str">
        <f>"3200101014336"</f>
        <v>0</v>
      </c>
      <c r="F2108" t="str">
        <f>"000570"</f>
        <v>0</v>
      </c>
      <c r="G2108" t="s">
        <v>21</v>
      </c>
    </row>
    <row r="2109" spans="1:7">
      <c r="A2109">
        <v>2108</v>
      </c>
      <c r="B2109" t="str">
        <f>"002969"</f>
        <v>0</v>
      </c>
      <c r="C2109" t="s">
        <v>3773</v>
      </c>
      <c r="D2109" t="s">
        <v>3774</v>
      </c>
      <c r="E2109" t="str">
        <f>"3200700181272"</f>
        <v>0</v>
      </c>
      <c r="F2109" t="str">
        <f>"000570"</f>
        <v>0</v>
      </c>
      <c r="G2109" t="s">
        <v>21</v>
      </c>
    </row>
    <row r="2110" spans="1:7">
      <c r="A2110">
        <v>2109</v>
      </c>
      <c r="B2110" t="str">
        <f>"002971"</f>
        <v>0</v>
      </c>
      <c r="C2110" t="s">
        <v>314</v>
      </c>
      <c r="D2110" t="s">
        <v>3775</v>
      </c>
      <c r="E2110" t="str">
        <f>"3209900285819"</f>
        <v>0</v>
      </c>
      <c r="F2110" t="str">
        <f>"000570"</f>
        <v>0</v>
      </c>
      <c r="G2110" t="s">
        <v>21</v>
      </c>
    </row>
    <row r="2111" spans="1:7">
      <c r="A2111">
        <v>2110</v>
      </c>
      <c r="B2111" t="str">
        <f>"003987"</f>
        <v>0</v>
      </c>
      <c r="C2111" t="s">
        <v>3776</v>
      </c>
      <c r="D2111" t="s">
        <v>3777</v>
      </c>
      <c r="E2111" t="str">
        <f>"3210200015152"</f>
        <v>0</v>
      </c>
      <c r="F2111" t="str">
        <f>"000570"</f>
        <v>0</v>
      </c>
      <c r="G2111" t="s">
        <v>21</v>
      </c>
    </row>
    <row r="2112" spans="1:7">
      <c r="A2112">
        <v>2111</v>
      </c>
      <c r="B2112" t="str">
        <f>"004290"</f>
        <v>0</v>
      </c>
      <c r="C2112" t="s">
        <v>3778</v>
      </c>
      <c r="D2112" t="s">
        <v>3779</v>
      </c>
      <c r="E2112" t="str">
        <f>"3180100434782"</f>
        <v>0</v>
      </c>
      <c r="F2112" t="str">
        <f>"000570"</f>
        <v>0</v>
      </c>
      <c r="G2112" t="s">
        <v>21</v>
      </c>
    </row>
    <row r="2113" spans="1:7">
      <c r="A2113">
        <v>2112</v>
      </c>
      <c r="B2113" t="str">
        <f>"004770"</f>
        <v>0</v>
      </c>
      <c r="C2113" t="s">
        <v>957</v>
      </c>
      <c r="D2113" t="s">
        <v>3780</v>
      </c>
      <c r="E2113" t="str">
        <f>"5660690006514"</f>
        <v>0</v>
      </c>
      <c r="F2113" t="str">
        <f>"000570"</f>
        <v>0</v>
      </c>
      <c r="G2113" t="s">
        <v>21</v>
      </c>
    </row>
    <row r="2114" spans="1:7">
      <c r="A2114">
        <v>2113</v>
      </c>
      <c r="B2114" t="str">
        <f>"004797"</f>
        <v>0</v>
      </c>
      <c r="C2114" t="s">
        <v>3112</v>
      </c>
      <c r="D2114" t="s">
        <v>3781</v>
      </c>
      <c r="E2114" t="str">
        <f>"3200100466977"</f>
        <v>0</v>
      </c>
      <c r="F2114" t="str">
        <f>"000570"</f>
        <v>0</v>
      </c>
      <c r="G2114" t="s">
        <v>21</v>
      </c>
    </row>
    <row r="2115" spans="1:7">
      <c r="A2115">
        <v>2114</v>
      </c>
      <c r="B2115" t="str">
        <f>"004820"</f>
        <v>0</v>
      </c>
      <c r="C2115" t="s">
        <v>1341</v>
      </c>
      <c r="D2115" t="s">
        <v>3782</v>
      </c>
      <c r="E2115" t="str">
        <f>"3600200022015"</f>
        <v>0</v>
      </c>
      <c r="F2115" t="str">
        <f>"000570"</f>
        <v>0</v>
      </c>
      <c r="G2115" t="s">
        <v>21</v>
      </c>
    </row>
    <row r="2116" spans="1:7">
      <c r="A2116">
        <v>2115</v>
      </c>
      <c r="B2116" t="str">
        <f>"004866"</f>
        <v>0</v>
      </c>
      <c r="C2116" t="s">
        <v>3783</v>
      </c>
      <c r="D2116" t="s">
        <v>3784</v>
      </c>
      <c r="E2116" t="str">
        <f>"3190700037024"</f>
        <v>0</v>
      </c>
      <c r="F2116" t="str">
        <f>"000570"</f>
        <v>0</v>
      </c>
      <c r="G2116" t="s">
        <v>21</v>
      </c>
    </row>
    <row r="2117" spans="1:7">
      <c r="A2117">
        <v>2116</v>
      </c>
      <c r="B2117" t="str">
        <f>"004892"</f>
        <v>0</v>
      </c>
      <c r="C2117" t="s">
        <v>458</v>
      </c>
      <c r="D2117" t="s">
        <v>3785</v>
      </c>
      <c r="E2117" t="str">
        <f>"3200600992341"</f>
        <v>0</v>
      </c>
      <c r="F2117" t="str">
        <f>"000570"</f>
        <v>0</v>
      </c>
      <c r="G2117" t="s">
        <v>21</v>
      </c>
    </row>
    <row r="2118" spans="1:7">
      <c r="A2118">
        <v>2117</v>
      </c>
      <c r="B2118" t="str">
        <f>"005565"</f>
        <v>0</v>
      </c>
      <c r="C2118" t="s">
        <v>3786</v>
      </c>
      <c r="D2118" t="s">
        <v>3787</v>
      </c>
      <c r="E2118" t="str">
        <f>"3199900301106"</f>
        <v>0</v>
      </c>
      <c r="F2118" t="str">
        <f>"000570"</f>
        <v>0</v>
      </c>
      <c r="G2118" t="s">
        <v>21</v>
      </c>
    </row>
    <row r="2119" spans="1:7">
      <c r="A2119">
        <v>2118</v>
      </c>
      <c r="B2119" t="str">
        <f>"005747"</f>
        <v>0</v>
      </c>
      <c r="C2119" t="s">
        <v>3256</v>
      </c>
      <c r="D2119" t="s">
        <v>3788</v>
      </c>
      <c r="E2119" t="str">
        <f>"3209900205467"</f>
        <v>0</v>
      </c>
      <c r="F2119" t="str">
        <f>"000570"</f>
        <v>0</v>
      </c>
      <c r="G2119" t="s">
        <v>21</v>
      </c>
    </row>
    <row r="2120" spans="1:7">
      <c r="A2120">
        <v>2119</v>
      </c>
      <c r="B2120" t="str">
        <f>"005748"</f>
        <v>0</v>
      </c>
      <c r="C2120" t="s">
        <v>46</v>
      </c>
      <c r="D2120" t="s">
        <v>3789</v>
      </c>
      <c r="E2120" t="str">
        <f>"3209600305598"</f>
        <v>0</v>
      </c>
      <c r="F2120" t="str">
        <f>"000570"</f>
        <v>0</v>
      </c>
      <c r="G2120" t="s">
        <v>21</v>
      </c>
    </row>
    <row r="2121" spans="1:7">
      <c r="A2121">
        <v>2120</v>
      </c>
      <c r="B2121" t="str">
        <f>"006182"</f>
        <v>0</v>
      </c>
      <c r="C2121" t="s">
        <v>160</v>
      </c>
      <c r="D2121" t="s">
        <v>3790</v>
      </c>
      <c r="E2121" t="str">
        <f>"3660100416933"</f>
        <v>0</v>
      </c>
      <c r="F2121" t="str">
        <f>"000570"</f>
        <v>0</v>
      </c>
      <c r="G2121" t="s">
        <v>21</v>
      </c>
    </row>
    <row r="2122" spans="1:7">
      <c r="A2122">
        <v>2121</v>
      </c>
      <c r="B2122" t="str">
        <f>"006346"</f>
        <v>0</v>
      </c>
      <c r="C2122" t="s">
        <v>3791</v>
      </c>
      <c r="D2122" t="s">
        <v>3792</v>
      </c>
      <c r="E2122" t="str">
        <f>"3400800146051"</f>
        <v>0</v>
      </c>
      <c r="F2122" t="str">
        <f>"000570"</f>
        <v>0</v>
      </c>
      <c r="G2122" t="s">
        <v>21</v>
      </c>
    </row>
    <row r="2123" spans="1:7">
      <c r="A2123">
        <v>2122</v>
      </c>
      <c r="B2123" t="str">
        <f>"006839"</f>
        <v>0</v>
      </c>
      <c r="C2123" t="s">
        <v>3793</v>
      </c>
      <c r="D2123" t="s">
        <v>3794</v>
      </c>
      <c r="E2123" t="str">
        <f>"3251000413961"</f>
        <v>0</v>
      </c>
      <c r="F2123" t="str">
        <f>"000570"</f>
        <v>0</v>
      </c>
      <c r="G2123" t="s">
        <v>21</v>
      </c>
    </row>
    <row r="2124" spans="1:7">
      <c r="A2124">
        <v>2123</v>
      </c>
      <c r="B2124" t="str">
        <f>"006924"</f>
        <v>0</v>
      </c>
      <c r="C2124" t="s">
        <v>3795</v>
      </c>
      <c r="D2124" t="s">
        <v>3796</v>
      </c>
      <c r="E2124" t="str">
        <f>"3909900583431"</f>
        <v>0</v>
      </c>
      <c r="F2124" t="str">
        <f>"000570"</f>
        <v>0</v>
      </c>
      <c r="G2124" t="s">
        <v>21</v>
      </c>
    </row>
    <row r="2125" spans="1:7">
      <c r="A2125">
        <v>2124</v>
      </c>
      <c r="B2125" t="str">
        <f>"007132"</f>
        <v>0</v>
      </c>
      <c r="C2125" t="s">
        <v>3797</v>
      </c>
      <c r="D2125" t="s">
        <v>3798</v>
      </c>
      <c r="E2125" t="str">
        <f>"3240500363466"</f>
        <v>0</v>
      </c>
      <c r="F2125" t="str">
        <f>"000570"</f>
        <v>0</v>
      </c>
      <c r="G2125" t="s">
        <v>21</v>
      </c>
    </row>
    <row r="2126" spans="1:7">
      <c r="A2126">
        <v>2125</v>
      </c>
      <c r="B2126" t="str">
        <f>"007226"</f>
        <v>0</v>
      </c>
      <c r="C2126" t="s">
        <v>3799</v>
      </c>
      <c r="D2126" t="s">
        <v>3800</v>
      </c>
      <c r="E2126" t="str">
        <f>"3200100715551"</f>
        <v>0</v>
      </c>
      <c r="F2126" t="str">
        <f>"000570"</f>
        <v>0</v>
      </c>
      <c r="G2126" t="s">
        <v>21</v>
      </c>
    </row>
    <row r="2127" spans="1:7">
      <c r="A2127">
        <v>2126</v>
      </c>
      <c r="B2127" t="str">
        <f>"007265"</f>
        <v>0</v>
      </c>
      <c r="C2127" t="s">
        <v>3801</v>
      </c>
      <c r="D2127" t="s">
        <v>3802</v>
      </c>
      <c r="E2127" t="str">
        <f>"3190200546884"</f>
        <v>0</v>
      </c>
      <c r="F2127" t="str">
        <f>"000570"</f>
        <v>0</v>
      </c>
      <c r="G2127" t="s">
        <v>21</v>
      </c>
    </row>
    <row r="2128" spans="1:7">
      <c r="A2128">
        <v>2127</v>
      </c>
      <c r="B2128" t="str">
        <f>"007367"</f>
        <v>0</v>
      </c>
      <c r="C2128" t="s">
        <v>3803</v>
      </c>
      <c r="D2128" t="s">
        <v>3804</v>
      </c>
      <c r="E2128" t="str">
        <f>"3200900342741"</f>
        <v>0</v>
      </c>
      <c r="F2128" t="str">
        <f>"000570"</f>
        <v>0</v>
      </c>
      <c r="G2128" t="s">
        <v>21</v>
      </c>
    </row>
    <row r="2129" spans="1:7">
      <c r="A2129">
        <v>2128</v>
      </c>
      <c r="B2129" t="str">
        <f>"007617"</f>
        <v>0</v>
      </c>
      <c r="C2129" t="s">
        <v>3805</v>
      </c>
      <c r="D2129" t="s">
        <v>3806</v>
      </c>
      <c r="E2129" t="str">
        <f>"3209600200818"</f>
        <v>0</v>
      </c>
      <c r="F2129" t="str">
        <f>"000570"</f>
        <v>0</v>
      </c>
      <c r="G2129" t="s">
        <v>21</v>
      </c>
    </row>
    <row r="2130" spans="1:7">
      <c r="A2130">
        <v>2129</v>
      </c>
      <c r="B2130" t="str">
        <f>"007696"</f>
        <v>0</v>
      </c>
      <c r="C2130" t="s">
        <v>32</v>
      </c>
      <c r="D2130" t="s">
        <v>3807</v>
      </c>
      <c r="E2130" t="str">
        <f>"3200200506130"</f>
        <v>0</v>
      </c>
      <c r="F2130" t="str">
        <f>"000570"</f>
        <v>0</v>
      </c>
      <c r="G2130" t="s">
        <v>21</v>
      </c>
    </row>
    <row r="2131" spans="1:7">
      <c r="A2131">
        <v>2130</v>
      </c>
      <c r="B2131" t="str">
        <f>"007970"</f>
        <v>0</v>
      </c>
      <c r="C2131" t="s">
        <v>3808</v>
      </c>
      <c r="D2131" t="s">
        <v>3809</v>
      </c>
      <c r="E2131" t="str">
        <f>"3430301070882"</f>
        <v>0</v>
      </c>
      <c r="F2131" t="str">
        <f>"000570"</f>
        <v>0</v>
      </c>
      <c r="G2131" t="s">
        <v>21</v>
      </c>
    </row>
    <row r="2132" spans="1:7">
      <c r="A2132">
        <v>2131</v>
      </c>
      <c r="B2132" t="str">
        <f>"008109"</f>
        <v>0</v>
      </c>
      <c r="C2132" t="s">
        <v>3810</v>
      </c>
      <c r="D2132" t="s">
        <v>3811</v>
      </c>
      <c r="E2132" t="str">
        <f>"3209900160111"</f>
        <v>0</v>
      </c>
      <c r="F2132" t="str">
        <f>"000570"</f>
        <v>0</v>
      </c>
      <c r="G2132" t="s">
        <v>21</v>
      </c>
    </row>
    <row r="2133" spans="1:7">
      <c r="A2133">
        <v>2132</v>
      </c>
      <c r="B2133" t="str">
        <f>"008143"</f>
        <v>0</v>
      </c>
      <c r="C2133" t="s">
        <v>3812</v>
      </c>
      <c r="D2133" t="s">
        <v>3813</v>
      </c>
      <c r="E2133" t="str">
        <f>"3200700211937"</f>
        <v>0</v>
      </c>
      <c r="F2133" t="str">
        <f>"000570"</f>
        <v>0</v>
      </c>
      <c r="G2133" t="s">
        <v>21</v>
      </c>
    </row>
    <row r="2134" spans="1:7">
      <c r="A2134">
        <v>2133</v>
      </c>
      <c r="B2134" t="str">
        <f>"008564"</f>
        <v>0</v>
      </c>
      <c r="C2134" t="s">
        <v>326</v>
      </c>
      <c r="D2134" t="s">
        <v>3814</v>
      </c>
      <c r="E2134" t="str">
        <f>"3200600917587"</f>
        <v>0</v>
      </c>
      <c r="F2134" t="str">
        <f>"000570"</f>
        <v>0</v>
      </c>
      <c r="G2134" t="s">
        <v>21</v>
      </c>
    </row>
    <row r="2135" spans="1:7">
      <c r="A2135">
        <v>2134</v>
      </c>
      <c r="B2135" t="str">
        <f>"008930"</f>
        <v>0</v>
      </c>
      <c r="C2135" t="s">
        <v>3815</v>
      </c>
      <c r="D2135" t="s">
        <v>3816</v>
      </c>
      <c r="E2135" t="str">
        <f>"3240300088356"</f>
        <v>0</v>
      </c>
      <c r="F2135" t="str">
        <f>"000570"</f>
        <v>0</v>
      </c>
      <c r="G2135" t="s">
        <v>21</v>
      </c>
    </row>
    <row r="2136" spans="1:7">
      <c r="A2136">
        <v>2135</v>
      </c>
      <c r="B2136" t="str">
        <f>"009480"</f>
        <v>0</v>
      </c>
      <c r="C2136" t="s">
        <v>494</v>
      </c>
      <c r="D2136" t="s">
        <v>3817</v>
      </c>
      <c r="E2136" t="str">
        <f>"3200900530904"</f>
        <v>0</v>
      </c>
      <c r="F2136" t="str">
        <f>"000570"</f>
        <v>0</v>
      </c>
      <c r="G2136" t="s">
        <v>21</v>
      </c>
    </row>
    <row r="2137" spans="1:7">
      <c r="A2137">
        <v>2136</v>
      </c>
      <c r="B2137" t="str">
        <f>"009782"</f>
        <v>0</v>
      </c>
      <c r="C2137" t="s">
        <v>3818</v>
      </c>
      <c r="D2137" t="s">
        <v>3819</v>
      </c>
      <c r="E2137" t="str">
        <f>"3200500276873"</f>
        <v>0</v>
      </c>
      <c r="F2137" t="str">
        <f>"000570"</f>
        <v>0</v>
      </c>
      <c r="G2137" t="s">
        <v>21</v>
      </c>
    </row>
    <row r="2138" spans="1:7">
      <c r="A2138">
        <v>2137</v>
      </c>
      <c r="B2138" t="str">
        <f>"009783"</f>
        <v>0</v>
      </c>
      <c r="C2138" t="s">
        <v>3820</v>
      </c>
      <c r="D2138" t="s">
        <v>1451</v>
      </c>
      <c r="E2138" t="str">
        <f>"3110400936023"</f>
        <v>0</v>
      </c>
      <c r="F2138" t="str">
        <f>"000570"</f>
        <v>0</v>
      </c>
      <c r="G2138" t="s">
        <v>21</v>
      </c>
    </row>
    <row r="2139" spans="1:7">
      <c r="A2139">
        <v>2138</v>
      </c>
      <c r="B2139" t="str">
        <f>"010224"</f>
        <v>0</v>
      </c>
      <c r="C2139" t="s">
        <v>3821</v>
      </c>
      <c r="D2139" t="s">
        <v>3822</v>
      </c>
      <c r="E2139" t="str">
        <f>"3260300007348"</f>
        <v>0</v>
      </c>
      <c r="F2139" t="str">
        <f>"000570"</f>
        <v>0</v>
      </c>
      <c r="G2139" t="s">
        <v>21</v>
      </c>
    </row>
    <row r="2140" spans="1:7">
      <c r="A2140">
        <v>2139</v>
      </c>
      <c r="B2140" t="str">
        <f>"010307"</f>
        <v>0</v>
      </c>
      <c r="C2140" t="s">
        <v>3823</v>
      </c>
      <c r="D2140" t="s">
        <v>3824</v>
      </c>
      <c r="E2140" t="str">
        <f>"3200900594741"</f>
        <v>0</v>
      </c>
      <c r="F2140" t="str">
        <f>"000570"</f>
        <v>0</v>
      </c>
      <c r="G2140" t="s">
        <v>21</v>
      </c>
    </row>
    <row r="2141" spans="1:7">
      <c r="A2141">
        <v>2140</v>
      </c>
      <c r="B2141" t="str">
        <f>"011180"</f>
        <v>0</v>
      </c>
      <c r="C2141" t="s">
        <v>3825</v>
      </c>
      <c r="D2141" t="s">
        <v>3826</v>
      </c>
      <c r="E2141" t="str">
        <f>"3200200705841"</f>
        <v>0</v>
      </c>
      <c r="F2141" t="str">
        <f>"000570"</f>
        <v>0</v>
      </c>
      <c r="G2141" t="s">
        <v>21</v>
      </c>
    </row>
    <row r="2142" spans="1:7">
      <c r="A2142">
        <v>2141</v>
      </c>
      <c r="B2142" t="str">
        <f>"011411"</f>
        <v>0</v>
      </c>
      <c r="C2142" t="s">
        <v>482</v>
      </c>
      <c r="D2142" t="s">
        <v>3827</v>
      </c>
      <c r="E2142" t="str">
        <f>"3720500136147"</f>
        <v>0</v>
      </c>
      <c r="F2142" t="str">
        <f>"000570"</f>
        <v>0</v>
      </c>
      <c r="G2142" t="s">
        <v>21</v>
      </c>
    </row>
    <row r="2143" spans="1:7">
      <c r="A2143">
        <v>2142</v>
      </c>
      <c r="B2143" t="str">
        <f>"011412"</f>
        <v>0</v>
      </c>
      <c r="C2143" t="s">
        <v>3828</v>
      </c>
      <c r="D2143" t="s">
        <v>3829</v>
      </c>
      <c r="E2143" t="str">
        <f>"3209900359332"</f>
        <v>0</v>
      </c>
      <c r="F2143" t="str">
        <f>"000570"</f>
        <v>0</v>
      </c>
      <c r="G2143" t="s">
        <v>21</v>
      </c>
    </row>
    <row r="2144" spans="1:7">
      <c r="A2144">
        <v>2143</v>
      </c>
      <c r="B2144" t="str">
        <f>"011579"</f>
        <v>0</v>
      </c>
      <c r="C2144" t="s">
        <v>3346</v>
      </c>
      <c r="D2144" t="s">
        <v>3830</v>
      </c>
      <c r="E2144" t="str">
        <f>"3199700038851"</f>
        <v>0</v>
      </c>
      <c r="F2144" t="str">
        <f>"000570"</f>
        <v>0</v>
      </c>
      <c r="G2144" t="s">
        <v>21</v>
      </c>
    </row>
    <row r="2145" spans="1:7">
      <c r="A2145">
        <v>2144</v>
      </c>
      <c r="B2145" t="str">
        <f>"011674"</f>
        <v>0</v>
      </c>
      <c r="C2145" t="s">
        <v>903</v>
      </c>
      <c r="D2145" t="s">
        <v>3831</v>
      </c>
      <c r="E2145" t="str">
        <f>"3110101613842"</f>
        <v>0</v>
      </c>
      <c r="F2145" t="str">
        <f>"000570"</f>
        <v>0</v>
      </c>
      <c r="G2145" t="s">
        <v>21</v>
      </c>
    </row>
    <row r="2146" spans="1:7">
      <c r="A2146">
        <v>2145</v>
      </c>
      <c r="B2146" t="str">
        <f>"011964"</f>
        <v>0</v>
      </c>
      <c r="C2146" t="s">
        <v>837</v>
      </c>
      <c r="D2146" t="s">
        <v>3832</v>
      </c>
      <c r="E2146" t="str">
        <f>"5930200016566"</f>
        <v>0</v>
      </c>
      <c r="F2146" t="str">
        <f>"000570"</f>
        <v>0</v>
      </c>
      <c r="G2146" t="s">
        <v>21</v>
      </c>
    </row>
    <row r="2147" spans="1:7">
      <c r="A2147">
        <v>2146</v>
      </c>
      <c r="B2147" t="str">
        <f>"012299"</f>
        <v>0</v>
      </c>
      <c r="C2147" t="s">
        <v>3833</v>
      </c>
      <c r="D2147" t="s">
        <v>3834</v>
      </c>
      <c r="E2147" t="str">
        <f>"3101100437910"</f>
        <v>0</v>
      </c>
      <c r="F2147" t="str">
        <f>"000570"</f>
        <v>0</v>
      </c>
      <c r="G2147" t="s">
        <v>21</v>
      </c>
    </row>
    <row r="2148" spans="1:7">
      <c r="A2148">
        <v>2147</v>
      </c>
      <c r="B2148" t="str">
        <f>"012945"</f>
        <v>0</v>
      </c>
      <c r="C2148" t="s">
        <v>3825</v>
      </c>
      <c r="D2148" t="s">
        <v>3835</v>
      </c>
      <c r="E2148" t="str">
        <f>"3219900097575"</f>
        <v>0</v>
      </c>
      <c r="F2148" t="str">
        <f>"000570"</f>
        <v>0</v>
      </c>
      <c r="G2148" t="s">
        <v>21</v>
      </c>
    </row>
    <row r="2149" spans="1:7">
      <c r="A2149">
        <v>2148</v>
      </c>
      <c r="B2149" t="str">
        <f>"013023"</f>
        <v>0</v>
      </c>
      <c r="C2149" t="s">
        <v>798</v>
      </c>
      <c r="D2149" t="s">
        <v>3836</v>
      </c>
      <c r="E2149" t="str">
        <f>"3209800067992"</f>
        <v>0</v>
      </c>
      <c r="F2149" t="str">
        <f>"000570"</f>
        <v>0</v>
      </c>
      <c r="G2149" t="s">
        <v>21</v>
      </c>
    </row>
    <row r="2150" spans="1:7">
      <c r="A2150">
        <v>2149</v>
      </c>
      <c r="B2150" t="str">
        <f>"013024"</f>
        <v>0</v>
      </c>
      <c r="C2150" t="s">
        <v>3837</v>
      </c>
      <c r="D2150" t="s">
        <v>3838</v>
      </c>
      <c r="E2150" t="str">
        <f>"3209800072686"</f>
        <v>0</v>
      </c>
      <c r="F2150" t="str">
        <f>"000570"</f>
        <v>0</v>
      </c>
      <c r="G2150" t="s">
        <v>21</v>
      </c>
    </row>
    <row r="2151" spans="1:7">
      <c r="A2151">
        <v>2150</v>
      </c>
      <c r="B2151" t="str">
        <f>"013087"</f>
        <v>0</v>
      </c>
      <c r="C2151" t="s">
        <v>3839</v>
      </c>
      <c r="D2151" t="s">
        <v>3840</v>
      </c>
      <c r="E2151" t="str">
        <f>"3102200287333"</f>
        <v>0</v>
      </c>
      <c r="F2151" t="str">
        <f>"000570"</f>
        <v>0</v>
      </c>
      <c r="G2151" t="s">
        <v>21</v>
      </c>
    </row>
    <row r="2152" spans="1:7">
      <c r="A2152">
        <v>2151</v>
      </c>
      <c r="B2152" t="str">
        <f>"013088"</f>
        <v>0</v>
      </c>
      <c r="C2152" t="s">
        <v>3841</v>
      </c>
      <c r="D2152" t="s">
        <v>2217</v>
      </c>
      <c r="E2152" t="str">
        <f>"3200900595925"</f>
        <v>0</v>
      </c>
      <c r="F2152" t="str">
        <f>"000570"</f>
        <v>0</v>
      </c>
      <c r="G2152" t="s">
        <v>21</v>
      </c>
    </row>
    <row r="2153" spans="1:7">
      <c r="A2153">
        <v>2152</v>
      </c>
      <c r="B2153" t="str">
        <f>"013167"</f>
        <v>0</v>
      </c>
      <c r="C2153" t="s">
        <v>3842</v>
      </c>
      <c r="D2153" t="s">
        <v>3843</v>
      </c>
      <c r="E2153" t="str">
        <f>"3569900142144"</f>
        <v>0</v>
      </c>
      <c r="F2153" t="str">
        <f>"000570"</f>
        <v>0</v>
      </c>
      <c r="G2153" t="s">
        <v>21</v>
      </c>
    </row>
    <row r="2154" spans="1:7">
      <c r="A2154">
        <v>2153</v>
      </c>
      <c r="B2154" t="str">
        <f>"013305"</f>
        <v>0</v>
      </c>
      <c r="C2154" t="s">
        <v>3844</v>
      </c>
      <c r="D2154" t="s">
        <v>3845</v>
      </c>
      <c r="E2154" t="str">
        <f>"3620300145861"</f>
        <v>0</v>
      </c>
      <c r="F2154" t="str">
        <f>"000570"</f>
        <v>0</v>
      </c>
      <c r="G2154" t="s">
        <v>21</v>
      </c>
    </row>
    <row r="2155" spans="1:7">
      <c r="A2155">
        <v>2154</v>
      </c>
      <c r="B2155" t="str">
        <f>"013702"</f>
        <v>0</v>
      </c>
      <c r="C2155" t="s">
        <v>3846</v>
      </c>
      <c r="D2155" t="s">
        <v>3847</v>
      </c>
      <c r="E2155" t="str">
        <f>"3200100391306"</f>
        <v>0</v>
      </c>
      <c r="F2155" t="str">
        <f>"000570"</f>
        <v>0</v>
      </c>
      <c r="G2155" t="s">
        <v>21</v>
      </c>
    </row>
    <row r="2156" spans="1:7">
      <c r="A2156">
        <v>2155</v>
      </c>
      <c r="B2156" t="str">
        <f>"013785"</f>
        <v>0</v>
      </c>
      <c r="C2156" t="s">
        <v>3848</v>
      </c>
      <c r="D2156" t="s">
        <v>3849</v>
      </c>
      <c r="E2156" t="str">
        <f>"3200101069114"</f>
        <v>0</v>
      </c>
      <c r="F2156" t="str">
        <f>"000570"</f>
        <v>0</v>
      </c>
      <c r="G2156" t="s">
        <v>21</v>
      </c>
    </row>
    <row r="2157" spans="1:7">
      <c r="A2157">
        <v>2156</v>
      </c>
      <c r="B2157" t="str">
        <f>"013787"</f>
        <v>0</v>
      </c>
      <c r="C2157" t="s">
        <v>1827</v>
      </c>
      <c r="D2157" t="s">
        <v>3850</v>
      </c>
      <c r="E2157" t="str">
        <f>"3200700572697"</f>
        <v>0</v>
      </c>
      <c r="F2157" t="str">
        <f>"000570"</f>
        <v>0</v>
      </c>
      <c r="G2157" t="s">
        <v>21</v>
      </c>
    </row>
    <row r="2158" spans="1:7">
      <c r="A2158">
        <v>2157</v>
      </c>
      <c r="B2158" t="str">
        <f>"014162"</f>
        <v>0</v>
      </c>
      <c r="C2158" t="s">
        <v>3851</v>
      </c>
      <c r="D2158" t="s">
        <v>3852</v>
      </c>
      <c r="E2158" t="str">
        <f>"3200100477448"</f>
        <v>0</v>
      </c>
      <c r="F2158" t="str">
        <f>"000570"</f>
        <v>0</v>
      </c>
      <c r="G2158" t="s">
        <v>21</v>
      </c>
    </row>
    <row r="2159" spans="1:7">
      <c r="A2159">
        <v>2158</v>
      </c>
      <c r="B2159" t="str">
        <f>"014504"</f>
        <v>0</v>
      </c>
      <c r="C2159" t="s">
        <v>3853</v>
      </c>
      <c r="D2159" t="s">
        <v>3854</v>
      </c>
      <c r="E2159" t="str">
        <f>"3200601088819"</f>
        <v>0</v>
      </c>
      <c r="F2159" t="str">
        <f>"000570"</f>
        <v>0</v>
      </c>
      <c r="G2159" t="s">
        <v>21</v>
      </c>
    </row>
    <row r="2160" spans="1:7">
      <c r="A2160">
        <v>2159</v>
      </c>
      <c r="B2160" t="str">
        <f>"015905"</f>
        <v>0</v>
      </c>
      <c r="C2160" t="s">
        <v>3855</v>
      </c>
      <c r="D2160" t="s">
        <v>3856</v>
      </c>
      <c r="E2160" t="str">
        <f>"3200200511524"</f>
        <v>0</v>
      </c>
      <c r="F2160" t="str">
        <f>"000570"</f>
        <v>0</v>
      </c>
      <c r="G2160" t="s">
        <v>21</v>
      </c>
    </row>
    <row r="2161" spans="1:7">
      <c r="A2161">
        <v>2160</v>
      </c>
      <c r="B2161" t="str">
        <f>"016658"</f>
        <v>0</v>
      </c>
      <c r="C2161" t="s">
        <v>470</v>
      </c>
      <c r="D2161" t="s">
        <v>3857</v>
      </c>
      <c r="E2161" t="str">
        <f>"3200400182311"</f>
        <v>0</v>
      </c>
      <c r="F2161" t="str">
        <f>"000570"</f>
        <v>0</v>
      </c>
      <c r="G2161" t="s">
        <v>21</v>
      </c>
    </row>
    <row r="2162" spans="1:7">
      <c r="A2162">
        <v>2161</v>
      </c>
      <c r="B2162" t="str">
        <f>"017465"</f>
        <v>0</v>
      </c>
      <c r="C2162" t="s">
        <v>3858</v>
      </c>
      <c r="D2162" t="s">
        <v>3859</v>
      </c>
      <c r="E2162" t="str">
        <f>"3200100715306"</f>
        <v>0</v>
      </c>
      <c r="F2162" t="str">
        <f>"000570"</f>
        <v>0</v>
      </c>
      <c r="G2162" t="s">
        <v>21</v>
      </c>
    </row>
    <row r="2163" spans="1:7">
      <c r="A2163">
        <v>2162</v>
      </c>
      <c r="B2163" t="str">
        <f>"017625"</f>
        <v>0</v>
      </c>
      <c r="C2163" t="s">
        <v>3860</v>
      </c>
      <c r="D2163" t="s">
        <v>3861</v>
      </c>
      <c r="E2163" t="str">
        <f>"3250500045260"</f>
        <v>0</v>
      </c>
      <c r="F2163" t="str">
        <f>"000570"</f>
        <v>0</v>
      </c>
      <c r="G2163" t="s">
        <v>21</v>
      </c>
    </row>
    <row r="2164" spans="1:7">
      <c r="A2164">
        <v>2163</v>
      </c>
      <c r="B2164" t="str">
        <f>"018889"</f>
        <v>0</v>
      </c>
      <c r="C2164" t="s">
        <v>3862</v>
      </c>
      <c r="D2164" t="s">
        <v>3863</v>
      </c>
      <c r="E2164" t="str">
        <f>"3200100906977"</f>
        <v>0</v>
      </c>
      <c r="F2164" t="str">
        <f>"000570"</f>
        <v>0</v>
      </c>
      <c r="G2164" t="s">
        <v>21</v>
      </c>
    </row>
    <row r="2165" spans="1:7">
      <c r="A2165">
        <v>2164</v>
      </c>
      <c r="B2165" t="str">
        <f>"019105"</f>
        <v>0</v>
      </c>
      <c r="C2165" t="s">
        <v>3864</v>
      </c>
      <c r="D2165" t="s">
        <v>3865</v>
      </c>
      <c r="E2165" t="str">
        <f>"3410200068394"</f>
        <v>0</v>
      </c>
      <c r="F2165" t="str">
        <f>"000570"</f>
        <v>0</v>
      </c>
      <c r="G2165" t="s">
        <v>21</v>
      </c>
    </row>
    <row r="2166" spans="1:7">
      <c r="A2166">
        <v>2165</v>
      </c>
      <c r="B2166" t="str">
        <f>"019835"</f>
        <v>0</v>
      </c>
      <c r="C2166" t="s">
        <v>3866</v>
      </c>
      <c r="D2166" t="s">
        <v>3867</v>
      </c>
      <c r="E2166" t="str">
        <f>"3340500246540"</f>
        <v>0</v>
      </c>
      <c r="F2166" t="str">
        <f>"000570"</f>
        <v>0</v>
      </c>
      <c r="G2166" t="s">
        <v>21</v>
      </c>
    </row>
    <row r="2167" spans="1:7">
      <c r="A2167">
        <v>2166</v>
      </c>
      <c r="B2167" t="str">
        <f>"020275"</f>
        <v>0</v>
      </c>
      <c r="C2167" t="s">
        <v>2535</v>
      </c>
      <c r="D2167" t="s">
        <v>3868</v>
      </c>
      <c r="E2167" t="str">
        <f>"3200700188081"</f>
        <v>0</v>
      </c>
      <c r="F2167" t="str">
        <f>"000570"</f>
        <v>0</v>
      </c>
      <c r="G2167" t="s">
        <v>21</v>
      </c>
    </row>
    <row r="2168" spans="1:7">
      <c r="A2168">
        <v>2167</v>
      </c>
      <c r="B2168" t="str">
        <f>"020425"</f>
        <v>0</v>
      </c>
      <c r="C2168" t="s">
        <v>321</v>
      </c>
      <c r="D2168" t="s">
        <v>3869</v>
      </c>
      <c r="E2168" t="str">
        <f>"3220500010989"</f>
        <v>0</v>
      </c>
      <c r="F2168" t="str">
        <f>"000570"</f>
        <v>0</v>
      </c>
      <c r="G2168" t="s">
        <v>21</v>
      </c>
    </row>
    <row r="2169" spans="1:7">
      <c r="A2169">
        <v>2168</v>
      </c>
      <c r="B2169" t="str">
        <f>"022504"</f>
        <v>0</v>
      </c>
      <c r="C2169" t="s">
        <v>3870</v>
      </c>
      <c r="D2169" t="s">
        <v>3792</v>
      </c>
      <c r="E2169" t="str">
        <f>"3400800146043"</f>
        <v>0</v>
      </c>
      <c r="F2169" t="str">
        <f>"000570"</f>
        <v>0</v>
      </c>
      <c r="G2169" t="s">
        <v>21</v>
      </c>
    </row>
    <row r="2170" spans="1:7">
      <c r="A2170">
        <v>2169</v>
      </c>
      <c r="B2170" t="str">
        <f>"012303"</f>
        <v>0</v>
      </c>
      <c r="C2170" t="s">
        <v>1076</v>
      </c>
      <c r="D2170" t="s">
        <v>1814</v>
      </c>
      <c r="E2170" t="str">
        <f>"3210100459954"</f>
        <v>0</v>
      </c>
      <c r="F2170" t="str">
        <f>"000570"</f>
        <v>0</v>
      </c>
      <c r="G2170" t="s">
        <v>21</v>
      </c>
    </row>
    <row r="2171" spans="1:7">
      <c r="A2171">
        <v>2170</v>
      </c>
      <c r="B2171" t="str">
        <f>"012390"</f>
        <v>0</v>
      </c>
      <c r="C2171" t="s">
        <v>3871</v>
      </c>
      <c r="D2171" t="s">
        <v>3872</v>
      </c>
      <c r="E2171" t="str">
        <f>"3200700220634"</f>
        <v>0</v>
      </c>
      <c r="F2171" t="str">
        <f>"000570"</f>
        <v>0</v>
      </c>
      <c r="G2171" t="s">
        <v>21</v>
      </c>
    </row>
    <row r="2172" spans="1:7">
      <c r="A2172">
        <v>2171</v>
      </c>
      <c r="B2172" t="str">
        <f>"014375"</f>
        <v>0</v>
      </c>
      <c r="C2172" t="s">
        <v>767</v>
      </c>
      <c r="D2172" t="s">
        <v>3873</v>
      </c>
      <c r="E2172" t="str">
        <f>"3200900167788"</f>
        <v>0</v>
      </c>
      <c r="F2172" t="str">
        <f>"000570"</f>
        <v>0</v>
      </c>
      <c r="G2172" t="s">
        <v>21</v>
      </c>
    </row>
    <row r="2173" spans="1:7">
      <c r="A2173">
        <v>2172</v>
      </c>
      <c r="B2173" t="str">
        <f>"015324"</f>
        <v>0</v>
      </c>
      <c r="C2173" t="s">
        <v>3537</v>
      </c>
      <c r="D2173" t="s">
        <v>3874</v>
      </c>
      <c r="E2173" t="str">
        <f>"3660700033709"</f>
        <v>0</v>
      </c>
      <c r="F2173" t="str">
        <f>"000570"</f>
        <v>0</v>
      </c>
      <c r="G2173" t="s">
        <v>21</v>
      </c>
    </row>
    <row r="2174" spans="1:7">
      <c r="A2174">
        <v>2173</v>
      </c>
      <c r="B2174" t="str">
        <f>"016502"</f>
        <v>0</v>
      </c>
      <c r="C2174" t="s">
        <v>2659</v>
      </c>
      <c r="D2174" t="s">
        <v>3875</v>
      </c>
      <c r="E2174" t="str">
        <f>"3209800042523"</f>
        <v>0</v>
      </c>
      <c r="F2174" t="str">
        <f>"000570"</f>
        <v>0</v>
      </c>
      <c r="G2174" t="s">
        <v>21</v>
      </c>
    </row>
    <row r="2175" spans="1:7">
      <c r="A2175">
        <v>2174</v>
      </c>
      <c r="B2175" t="str">
        <f>"014945"</f>
        <v>0</v>
      </c>
      <c r="C2175" t="s">
        <v>3876</v>
      </c>
      <c r="D2175" t="s">
        <v>697</v>
      </c>
      <c r="E2175" t="str">
        <f>"3100503809644"</f>
        <v>0</v>
      </c>
      <c r="F2175" t="str">
        <f>"000570"</f>
        <v>0</v>
      </c>
      <c r="G2175" t="s">
        <v>21</v>
      </c>
    </row>
    <row r="2176" spans="1:7">
      <c r="A2176">
        <v>2175</v>
      </c>
      <c r="B2176" t="str">
        <f>"015572"</f>
        <v>0</v>
      </c>
      <c r="C2176" t="s">
        <v>3877</v>
      </c>
      <c r="D2176" t="s">
        <v>99</v>
      </c>
      <c r="E2176" t="str">
        <f>"3260300167809"</f>
        <v>0</v>
      </c>
      <c r="F2176" t="str">
        <f>"000570"</f>
        <v>0</v>
      </c>
      <c r="G2176" t="s">
        <v>21</v>
      </c>
    </row>
    <row r="2177" spans="1:7">
      <c r="A2177">
        <v>2176</v>
      </c>
      <c r="B2177" t="str">
        <f>"017676"</f>
        <v>0</v>
      </c>
      <c r="C2177" t="s">
        <v>3878</v>
      </c>
      <c r="D2177" t="s">
        <v>3879</v>
      </c>
      <c r="E2177" t="str">
        <f>"3100500536256"</f>
        <v>0</v>
      </c>
      <c r="F2177" t="str">
        <f>"000570"</f>
        <v>0</v>
      </c>
      <c r="G2177" t="s">
        <v>21</v>
      </c>
    </row>
    <row r="2178" spans="1:7">
      <c r="A2178">
        <v>2177</v>
      </c>
      <c r="B2178" t="str">
        <f>"018532"</f>
        <v>0</v>
      </c>
      <c r="C2178" t="s">
        <v>514</v>
      </c>
      <c r="D2178" t="s">
        <v>3880</v>
      </c>
      <c r="E2178" t="str">
        <f>"3200600741071"</f>
        <v>0</v>
      </c>
      <c r="F2178" t="str">
        <f>"000570"</f>
        <v>0</v>
      </c>
      <c r="G2178" t="s">
        <v>21</v>
      </c>
    </row>
    <row r="2179" spans="1:7">
      <c r="A2179">
        <v>2178</v>
      </c>
      <c r="B2179" t="str">
        <f>"022977"</f>
        <v>0</v>
      </c>
      <c r="C2179" t="s">
        <v>3881</v>
      </c>
      <c r="D2179" t="s">
        <v>3882</v>
      </c>
      <c r="E2179" t="str">
        <f>"1301200071951"</f>
        <v>0</v>
      </c>
      <c r="F2179" t="str">
        <f>"000570"</f>
        <v>0</v>
      </c>
      <c r="G2179" t="s">
        <v>21</v>
      </c>
    </row>
    <row r="2180" spans="1:7">
      <c r="A2180">
        <v>2179</v>
      </c>
      <c r="B2180" t="str">
        <f>"014271"</f>
        <v>0</v>
      </c>
      <c r="C2180" t="s">
        <v>3883</v>
      </c>
      <c r="D2180" t="s">
        <v>3884</v>
      </c>
      <c r="E2180" t="str">
        <f>"3102101640116"</f>
        <v>0</v>
      </c>
      <c r="F2180" t="str">
        <f>"000570"</f>
        <v>0</v>
      </c>
      <c r="G2180" t="s">
        <v>21</v>
      </c>
    </row>
    <row r="2181" spans="1:7">
      <c r="A2181">
        <v>2180</v>
      </c>
      <c r="B2181" t="str">
        <f>"025856"</f>
        <v>0</v>
      </c>
      <c r="C2181" t="s">
        <v>3885</v>
      </c>
      <c r="D2181" t="s">
        <v>3886</v>
      </c>
      <c r="E2181" t="str">
        <f>"1410400023151"</f>
        <v>0</v>
      </c>
      <c r="F2181" t="str">
        <f>"000570"</f>
        <v>0</v>
      </c>
      <c r="G2181" t="s">
        <v>21</v>
      </c>
    </row>
    <row r="2182" spans="1:7">
      <c r="A2182">
        <v>2181</v>
      </c>
      <c r="B2182" t="str">
        <f>"023979"</f>
        <v>0</v>
      </c>
      <c r="C2182" t="s">
        <v>3887</v>
      </c>
      <c r="D2182" t="s">
        <v>3888</v>
      </c>
      <c r="E2182" t="str">
        <f>"1100701021885"</f>
        <v>0</v>
      </c>
      <c r="F2182" t="str">
        <f>"000570"</f>
        <v>0</v>
      </c>
      <c r="G2182" t="s">
        <v>21</v>
      </c>
    </row>
    <row r="2183" spans="1:7">
      <c r="A2183">
        <v>2182</v>
      </c>
      <c r="B2183" t="str">
        <f>"026103"</f>
        <v>0</v>
      </c>
      <c r="C2183" t="s">
        <v>2994</v>
      </c>
      <c r="D2183" t="s">
        <v>3889</v>
      </c>
      <c r="E2183" t="str">
        <f>"1129900108113"</f>
        <v>0</v>
      </c>
      <c r="F2183" t="str">
        <f>"000570"</f>
        <v>0</v>
      </c>
      <c r="G2183" t="s">
        <v>21</v>
      </c>
    </row>
    <row r="2184" spans="1:7">
      <c r="A2184">
        <v>2183</v>
      </c>
      <c r="B2184" t="str">
        <f>"026306"</f>
        <v>0</v>
      </c>
      <c r="C2184" t="s">
        <v>3890</v>
      </c>
      <c r="D2184" t="s">
        <v>3891</v>
      </c>
      <c r="E2184" t="str">
        <f>"1102001228845"</f>
        <v>0</v>
      </c>
      <c r="F2184" t="str">
        <f>"000570"</f>
        <v>0</v>
      </c>
      <c r="G2184" t="s">
        <v>21</v>
      </c>
    </row>
    <row r="2185" spans="1:7">
      <c r="A2185">
        <v>2184</v>
      </c>
      <c r="B2185" t="str">
        <f>"009577"</f>
        <v>0</v>
      </c>
      <c r="C2185" t="s">
        <v>403</v>
      </c>
      <c r="D2185" t="s">
        <v>3892</v>
      </c>
      <c r="E2185" t="str">
        <f>"3460300738821"</f>
        <v>0</v>
      </c>
      <c r="F2185" t="str">
        <f>"000570"</f>
        <v>0</v>
      </c>
      <c r="G2185" t="s">
        <v>21</v>
      </c>
    </row>
    <row r="2186" spans="1:7">
      <c r="A2186">
        <v>2185</v>
      </c>
      <c r="B2186" t="str">
        <f>"010763"</f>
        <v>0</v>
      </c>
      <c r="C2186" t="s">
        <v>2634</v>
      </c>
      <c r="D2186" t="s">
        <v>3893</v>
      </c>
      <c r="E2186" t="str">
        <f>"3179900354005"</f>
        <v>0</v>
      </c>
      <c r="F2186" t="str">
        <f>"000570"</f>
        <v>0</v>
      </c>
      <c r="G2186" t="s">
        <v>21</v>
      </c>
    </row>
    <row r="2187" spans="1:7">
      <c r="A2187">
        <v>2186</v>
      </c>
      <c r="B2187" t="str">
        <f>"011179"</f>
        <v>0</v>
      </c>
      <c r="C2187" t="s">
        <v>3894</v>
      </c>
      <c r="D2187" t="s">
        <v>3895</v>
      </c>
      <c r="E2187" t="str">
        <f>"3160301185658"</f>
        <v>0</v>
      </c>
      <c r="F2187" t="str">
        <f>"000570"</f>
        <v>0</v>
      </c>
      <c r="G2187" t="s">
        <v>21</v>
      </c>
    </row>
    <row r="2188" spans="1:7">
      <c r="A2188">
        <v>2187</v>
      </c>
      <c r="B2188" t="str">
        <f>"011581"</f>
        <v>0</v>
      </c>
      <c r="C2188" t="s">
        <v>46</v>
      </c>
      <c r="D2188" t="s">
        <v>3896</v>
      </c>
      <c r="E2188" t="str">
        <f>"3180600464761"</f>
        <v>0</v>
      </c>
      <c r="F2188" t="str">
        <f>"000570"</f>
        <v>0</v>
      </c>
      <c r="G2188" t="s">
        <v>21</v>
      </c>
    </row>
    <row r="2189" spans="1:7">
      <c r="A2189">
        <v>2188</v>
      </c>
      <c r="B2189" t="str">
        <f>"011657"</f>
        <v>0</v>
      </c>
      <c r="C2189" t="s">
        <v>3897</v>
      </c>
      <c r="D2189" t="s">
        <v>3898</v>
      </c>
      <c r="E2189" t="str">
        <f>"3210500620841"</f>
        <v>0</v>
      </c>
      <c r="F2189" t="str">
        <f>"000570"</f>
        <v>0</v>
      </c>
      <c r="G2189" t="s">
        <v>21</v>
      </c>
    </row>
    <row r="2190" spans="1:7">
      <c r="A2190">
        <v>2189</v>
      </c>
      <c r="B2190" t="str">
        <f>"013724"</f>
        <v>0</v>
      </c>
      <c r="C2190" t="s">
        <v>3899</v>
      </c>
      <c r="D2190" t="s">
        <v>3900</v>
      </c>
      <c r="E2190" t="str">
        <f>"3250700035748"</f>
        <v>0</v>
      </c>
      <c r="F2190" t="str">
        <f>"000570"</f>
        <v>0</v>
      </c>
      <c r="G2190" t="s">
        <v>21</v>
      </c>
    </row>
    <row r="2191" spans="1:7">
      <c r="A2191">
        <v>2190</v>
      </c>
      <c r="B2191" t="str">
        <f>"013786"</f>
        <v>0</v>
      </c>
      <c r="C2191" t="s">
        <v>2441</v>
      </c>
      <c r="D2191" t="s">
        <v>3901</v>
      </c>
      <c r="E2191" t="str">
        <f>"3200800030098"</f>
        <v>0</v>
      </c>
      <c r="F2191" t="str">
        <f>"000570"</f>
        <v>0</v>
      </c>
      <c r="G2191" t="s">
        <v>21</v>
      </c>
    </row>
    <row r="2192" spans="1:7">
      <c r="A2192">
        <v>2191</v>
      </c>
      <c r="B2192" t="str">
        <f>"014044"</f>
        <v>0</v>
      </c>
      <c r="C2192" t="s">
        <v>3902</v>
      </c>
      <c r="D2192" t="s">
        <v>3903</v>
      </c>
      <c r="E2192" t="str">
        <f>"3200900294208"</f>
        <v>0</v>
      </c>
      <c r="F2192" t="str">
        <f>"000570"</f>
        <v>0</v>
      </c>
      <c r="G2192" t="s">
        <v>21</v>
      </c>
    </row>
    <row r="2193" spans="1:7">
      <c r="A2193">
        <v>2192</v>
      </c>
      <c r="B2193" t="str">
        <f>"015580"</f>
        <v>0</v>
      </c>
      <c r="C2193" t="s">
        <v>3904</v>
      </c>
      <c r="D2193" t="s">
        <v>3905</v>
      </c>
      <c r="E2193" t="str">
        <f>"3200900329214"</f>
        <v>0</v>
      </c>
      <c r="F2193" t="str">
        <f>"000570"</f>
        <v>0</v>
      </c>
      <c r="G2193" t="s">
        <v>21</v>
      </c>
    </row>
    <row r="2194" spans="1:7">
      <c r="A2194">
        <v>2193</v>
      </c>
      <c r="B2194" t="str">
        <f>"016132"</f>
        <v>0</v>
      </c>
      <c r="C2194" t="s">
        <v>3906</v>
      </c>
      <c r="D2194" t="s">
        <v>3907</v>
      </c>
      <c r="E2194" t="str">
        <f>"3301800200279"</f>
        <v>0</v>
      </c>
      <c r="F2194" t="str">
        <f>"000570"</f>
        <v>0</v>
      </c>
      <c r="G2194" t="s">
        <v>21</v>
      </c>
    </row>
    <row r="2195" spans="1:7">
      <c r="A2195">
        <v>2194</v>
      </c>
      <c r="B2195" t="str">
        <f>"016200"</f>
        <v>0</v>
      </c>
      <c r="C2195" t="s">
        <v>201</v>
      </c>
      <c r="D2195" t="s">
        <v>3908</v>
      </c>
      <c r="E2195" t="str">
        <f>"3670800399241"</f>
        <v>0</v>
      </c>
      <c r="F2195" t="str">
        <f>"000570"</f>
        <v>0</v>
      </c>
      <c r="G2195" t="s">
        <v>21</v>
      </c>
    </row>
    <row r="2196" spans="1:7">
      <c r="A2196">
        <v>2195</v>
      </c>
      <c r="B2196" t="str">
        <f>"016325"</f>
        <v>0</v>
      </c>
      <c r="C2196" t="s">
        <v>3909</v>
      </c>
      <c r="D2196" t="s">
        <v>3910</v>
      </c>
      <c r="E2196" t="str">
        <f>"3200200455489"</f>
        <v>0</v>
      </c>
      <c r="F2196" t="str">
        <f>"000570"</f>
        <v>0</v>
      </c>
      <c r="G2196" t="s">
        <v>21</v>
      </c>
    </row>
    <row r="2197" spans="1:7">
      <c r="A2197">
        <v>2196</v>
      </c>
      <c r="B2197" t="str">
        <f>"016577"</f>
        <v>0</v>
      </c>
      <c r="C2197" t="s">
        <v>3911</v>
      </c>
      <c r="D2197" t="s">
        <v>3912</v>
      </c>
      <c r="E2197" t="str">
        <f>"3200900126160"</f>
        <v>0</v>
      </c>
      <c r="F2197" t="str">
        <f>"000570"</f>
        <v>0</v>
      </c>
      <c r="G2197" t="s">
        <v>21</v>
      </c>
    </row>
    <row r="2198" spans="1:7">
      <c r="A2198">
        <v>2197</v>
      </c>
      <c r="B2198" t="str">
        <f>"016758"</f>
        <v>0</v>
      </c>
      <c r="C2198" t="s">
        <v>3913</v>
      </c>
      <c r="D2198" t="s">
        <v>3914</v>
      </c>
      <c r="E2198" t="str">
        <f>"3200500283152"</f>
        <v>0</v>
      </c>
      <c r="F2198" t="str">
        <f>"000570"</f>
        <v>0</v>
      </c>
      <c r="G2198" t="s">
        <v>21</v>
      </c>
    </row>
    <row r="2199" spans="1:7">
      <c r="A2199">
        <v>2198</v>
      </c>
      <c r="B2199" t="str">
        <f>"017751"</f>
        <v>0</v>
      </c>
      <c r="C2199" t="s">
        <v>3915</v>
      </c>
      <c r="D2199" t="s">
        <v>3916</v>
      </c>
      <c r="E2199" t="str">
        <f>"3200101080908"</f>
        <v>0</v>
      </c>
      <c r="F2199" t="str">
        <f>"000570"</f>
        <v>0</v>
      </c>
      <c r="G2199" t="s">
        <v>21</v>
      </c>
    </row>
    <row r="2200" spans="1:7">
      <c r="A2200">
        <v>2199</v>
      </c>
      <c r="B2200" t="str">
        <f>"020568"</f>
        <v>0</v>
      </c>
      <c r="C2200" t="s">
        <v>3917</v>
      </c>
      <c r="D2200" t="s">
        <v>3918</v>
      </c>
      <c r="E2200" t="str">
        <f>"3209900482959"</f>
        <v>0</v>
      </c>
      <c r="F2200" t="str">
        <f>"000570"</f>
        <v>0</v>
      </c>
      <c r="G2200" t="s">
        <v>21</v>
      </c>
    </row>
    <row r="2201" spans="1:7">
      <c r="A2201">
        <v>2200</v>
      </c>
      <c r="B2201" t="str">
        <f>"021383"</f>
        <v>0</v>
      </c>
      <c r="C2201" t="s">
        <v>3919</v>
      </c>
      <c r="D2201" t="s">
        <v>3920</v>
      </c>
      <c r="E2201" t="str">
        <f>"3209800120851"</f>
        <v>0</v>
      </c>
      <c r="F2201" t="str">
        <f>"000570"</f>
        <v>0</v>
      </c>
      <c r="G2201" t="s">
        <v>21</v>
      </c>
    </row>
    <row r="2202" spans="1:7">
      <c r="A2202">
        <v>2201</v>
      </c>
      <c r="B2202" t="str">
        <f>"021687"</f>
        <v>0</v>
      </c>
      <c r="C2202" t="s">
        <v>421</v>
      </c>
      <c r="D2202" t="s">
        <v>3921</v>
      </c>
      <c r="E2202" t="str">
        <f>"3240500114113"</f>
        <v>0</v>
      </c>
      <c r="F2202" t="str">
        <f>"000570"</f>
        <v>0</v>
      </c>
      <c r="G2202" t="s">
        <v>21</v>
      </c>
    </row>
    <row r="2203" spans="1:7">
      <c r="A2203">
        <v>2202</v>
      </c>
      <c r="B2203" t="str">
        <f>"021975"</f>
        <v>0</v>
      </c>
      <c r="C2203" t="s">
        <v>3922</v>
      </c>
      <c r="D2203" t="s">
        <v>3923</v>
      </c>
      <c r="E2203" t="str">
        <f>"3200100485785"</f>
        <v>0</v>
      </c>
      <c r="F2203" t="str">
        <f>"000570"</f>
        <v>0</v>
      </c>
      <c r="G2203" t="s">
        <v>21</v>
      </c>
    </row>
    <row r="2204" spans="1:7">
      <c r="A2204">
        <v>2203</v>
      </c>
      <c r="B2204" t="str">
        <f>"021988"</f>
        <v>0</v>
      </c>
      <c r="C2204" t="s">
        <v>3924</v>
      </c>
      <c r="D2204" t="s">
        <v>3925</v>
      </c>
      <c r="E2204" t="str">
        <f>"3200900290202"</f>
        <v>0</v>
      </c>
      <c r="F2204" t="str">
        <f>"000570"</f>
        <v>0</v>
      </c>
      <c r="G2204" t="s">
        <v>21</v>
      </c>
    </row>
    <row r="2205" spans="1:7">
      <c r="A2205">
        <v>2204</v>
      </c>
      <c r="B2205" t="str">
        <f>"022032"</f>
        <v>0</v>
      </c>
      <c r="C2205" t="s">
        <v>1200</v>
      </c>
      <c r="D2205" t="s">
        <v>3926</v>
      </c>
      <c r="E2205" t="str">
        <f>"1710500131564"</f>
        <v>0</v>
      </c>
      <c r="F2205" t="str">
        <f>"000570"</f>
        <v>0</v>
      </c>
      <c r="G2205" t="s">
        <v>21</v>
      </c>
    </row>
    <row r="2206" spans="1:7">
      <c r="A2206">
        <v>2205</v>
      </c>
      <c r="B2206" t="str">
        <f>"022243"</f>
        <v>0</v>
      </c>
      <c r="C2206" t="s">
        <v>3927</v>
      </c>
      <c r="D2206" t="s">
        <v>3928</v>
      </c>
      <c r="E2206" t="str">
        <f>"3200900072132"</f>
        <v>0</v>
      </c>
      <c r="F2206" t="str">
        <f>"000570"</f>
        <v>0</v>
      </c>
      <c r="G2206" t="s">
        <v>21</v>
      </c>
    </row>
    <row r="2207" spans="1:7">
      <c r="A2207">
        <v>2206</v>
      </c>
      <c r="B2207" t="str">
        <f>"022361"</f>
        <v>0</v>
      </c>
      <c r="C2207" t="s">
        <v>3929</v>
      </c>
      <c r="D2207" t="s">
        <v>3930</v>
      </c>
      <c r="E2207" t="str">
        <f>"3200600749897"</f>
        <v>0</v>
      </c>
      <c r="F2207" t="str">
        <f>"000570"</f>
        <v>0</v>
      </c>
      <c r="G2207" t="s">
        <v>21</v>
      </c>
    </row>
    <row r="2208" spans="1:7">
      <c r="A2208">
        <v>2207</v>
      </c>
      <c r="B2208" t="str">
        <f>"022506"</f>
        <v>0</v>
      </c>
      <c r="C2208" t="s">
        <v>3931</v>
      </c>
      <c r="D2208" t="s">
        <v>3932</v>
      </c>
      <c r="E2208" t="str">
        <f>"3200600614720"</f>
        <v>0</v>
      </c>
      <c r="F2208" t="str">
        <f>"000570"</f>
        <v>0</v>
      </c>
      <c r="G2208" t="s">
        <v>21</v>
      </c>
    </row>
    <row r="2209" spans="1:7">
      <c r="A2209">
        <v>2208</v>
      </c>
      <c r="B2209" t="str">
        <f>"022761"</f>
        <v>0</v>
      </c>
      <c r="C2209" t="s">
        <v>3933</v>
      </c>
      <c r="D2209" t="s">
        <v>3934</v>
      </c>
      <c r="E2209" t="str">
        <f>"3209700045776"</f>
        <v>0</v>
      </c>
      <c r="F2209" t="str">
        <f>"000570"</f>
        <v>0</v>
      </c>
      <c r="G2209" t="s">
        <v>21</v>
      </c>
    </row>
    <row r="2210" spans="1:7">
      <c r="A2210">
        <v>2209</v>
      </c>
      <c r="B2210" t="str">
        <f>"022976"</f>
        <v>0</v>
      </c>
      <c r="C2210" t="s">
        <v>3935</v>
      </c>
      <c r="D2210" t="s">
        <v>3936</v>
      </c>
      <c r="E2210" t="str">
        <f>"3341601051605"</f>
        <v>0</v>
      </c>
      <c r="F2210" t="str">
        <f>"000570"</f>
        <v>0</v>
      </c>
      <c r="G2210" t="s">
        <v>21</v>
      </c>
    </row>
    <row r="2211" spans="1:7">
      <c r="A2211">
        <v>2210</v>
      </c>
      <c r="B2211" t="str">
        <f>"023139"</f>
        <v>0</v>
      </c>
      <c r="C2211" t="s">
        <v>3937</v>
      </c>
      <c r="D2211" t="s">
        <v>3938</v>
      </c>
      <c r="E2211" t="str">
        <f>"3200200647116"</f>
        <v>0</v>
      </c>
      <c r="F2211" t="str">
        <f>"000570"</f>
        <v>0</v>
      </c>
      <c r="G2211" t="s">
        <v>21</v>
      </c>
    </row>
    <row r="2212" spans="1:7">
      <c r="A2212">
        <v>2211</v>
      </c>
      <c r="B2212" t="str">
        <f>"023319"</f>
        <v>0</v>
      </c>
      <c r="C2212" t="s">
        <v>3939</v>
      </c>
      <c r="D2212" t="s">
        <v>3940</v>
      </c>
      <c r="E2212" t="str">
        <f>"3450200014570"</f>
        <v>0</v>
      </c>
      <c r="F2212" t="str">
        <f>"000570"</f>
        <v>0</v>
      </c>
      <c r="G2212" t="s">
        <v>21</v>
      </c>
    </row>
    <row r="2213" spans="1:7">
      <c r="A2213">
        <v>2212</v>
      </c>
      <c r="B2213" t="str">
        <f>"023402"</f>
        <v>0</v>
      </c>
      <c r="C2213" t="s">
        <v>3941</v>
      </c>
      <c r="D2213" t="s">
        <v>3942</v>
      </c>
      <c r="E2213" t="str">
        <f>"1659900009056"</f>
        <v>0</v>
      </c>
      <c r="F2213" t="str">
        <f>"000570"</f>
        <v>0</v>
      </c>
      <c r="G2213" t="s">
        <v>21</v>
      </c>
    </row>
    <row r="2214" spans="1:7">
      <c r="A2214">
        <v>2213</v>
      </c>
      <c r="B2214" t="str">
        <f>"023942"</f>
        <v>0</v>
      </c>
      <c r="C2214" t="s">
        <v>1200</v>
      </c>
      <c r="D2214" t="s">
        <v>3943</v>
      </c>
      <c r="E2214" t="str">
        <f>"3340100812785"</f>
        <v>0</v>
      </c>
      <c r="F2214" t="str">
        <f>"000570"</f>
        <v>0</v>
      </c>
      <c r="G2214" t="s">
        <v>21</v>
      </c>
    </row>
    <row r="2215" spans="1:7">
      <c r="A2215">
        <v>2214</v>
      </c>
      <c r="B2215" t="str">
        <f>"024357"</f>
        <v>0</v>
      </c>
      <c r="C2215" t="s">
        <v>3944</v>
      </c>
      <c r="D2215" t="s">
        <v>3945</v>
      </c>
      <c r="E2215" t="str">
        <f>"3229900082021"</f>
        <v>0</v>
      </c>
      <c r="F2215" t="str">
        <f>"000570"</f>
        <v>0</v>
      </c>
      <c r="G2215" t="s">
        <v>21</v>
      </c>
    </row>
    <row r="2216" spans="1:7">
      <c r="A2216">
        <v>2215</v>
      </c>
      <c r="B2216" t="str">
        <f>"024754"</f>
        <v>0</v>
      </c>
      <c r="C2216" t="s">
        <v>3486</v>
      </c>
      <c r="D2216" t="s">
        <v>3946</v>
      </c>
      <c r="E2216" t="str">
        <f>"3200200674113"</f>
        <v>0</v>
      </c>
      <c r="F2216" t="str">
        <f>"000570"</f>
        <v>0</v>
      </c>
      <c r="G2216" t="s">
        <v>21</v>
      </c>
    </row>
    <row r="2217" spans="1:7">
      <c r="A2217">
        <v>2216</v>
      </c>
      <c r="B2217" t="str">
        <f>"025229"</f>
        <v>0</v>
      </c>
      <c r="C2217" t="s">
        <v>3947</v>
      </c>
      <c r="D2217" t="s">
        <v>3948</v>
      </c>
      <c r="E2217" t="str">
        <f>"3350500252094"</f>
        <v>0</v>
      </c>
      <c r="F2217" t="str">
        <f>"000570"</f>
        <v>0</v>
      </c>
      <c r="G2217" t="s">
        <v>21</v>
      </c>
    </row>
    <row r="2218" spans="1:7">
      <c r="A2218">
        <v>2217</v>
      </c>
      <c r="B2218" t="str">
        <f>"025476"</f>
        <v>0</v>
      </c>
      <c r="C2218" t="s">
        <v>3949</v>
      </c>
      <c r="D2218" t="s">
        <v>3950</v>
      </c>
      <c r="E2218" t="str">
        <f>"1309900081035"</f>
        <v>0</v>
      </c>
      <c r="F2218" t="str">
        <f>"000570"</f>
        <v>0</v>
      </c>
      <c r="G2218" t="s">
        <v>21</v>
      </c>
    </row>
    <row r="2219" spans="1:7">
      <c r="A2219">
        <v>2218</v>
      </c>
      <c r="B2219" t="str">
        <f>"025857"</f>
        <v>0</v>
      </c>
      <c r="C2219" t="s">
        <v>3951</v>
      </c>
      <c r="D2219" t="s">
        <v>3952</v>
      </c>
      <c r="E2219" t="str">
        <f>"3200600180851"</f>
        <v>0</v>
      </c>
      <c r="F2219" t="str">
        <f>"000570"</f>
        <v>0</v>
      </c>
      <c r="G2219" t="s">
        <v>21</v>
      </c>
    </row>
    <row r="2220" spans="1:7">
      <c r="A2220">
        <v>2219</v>
      </c>
      <c r="B2220" t="str">
        <f>"026102"</f>
        <v>0</v>
      </c>
      <c r="C2220" t="s">
        <v>3953</v>
      </c>
      <c r="D2220" t="s">
        <v>3954</v>
      </c>
      <c r="E2220" t="str">
        <f>"3101600554427"</f>
        <v>0</v>
      </c>
      <c r="F2220" t="str">
        <f>"000570"</f>
        <v>0</v>
      </c>
      <c r="G2220" t="s">
        <v>21</v>
      </c>
    </row>
    <row r="2221" spans="1:7">
      <c r="A2221">
        <v>2220</v>
      </c>
      <c r="B2221" t="str">
        <f>"026686"</f>
        <v>0</v>
      </c>
      <c r="C2221" t="s">
        <v>3955</v>
      </c>
      <c r="D2221" t="s">
        <v>3956</v>
      </c>
      <c r="E2221" t="str">
        <f>"1200100011116"</f>
        <v>0</v>
      </c>
      <c r="F2221" t="str">
        <f>"000570"</f>
        <v>0</v>
      </c>
      <c r="G2221" t="s">
        <v>21</v>
      </c>
    </row>
    <row r="2222" spans="1:7">
      <c r="A2222">
        <v>2221</v>
      </c>
      <c r="B2222" t="str">
        <f>"027334"</f>
        <v>0</v>
      </c>
      <c r="C2222" t="s">
        <v>3957</v>
      </c>
      <c r="D2222" t="s">
        <v>3958</v>
      </c>
      <c r="E2222" t="str">
        <f>"1320900155626"</f>
        <v>0</v>
      </c>
      <c r="F2222" t="str">
        <f>"000570"</f>
        <v>0</v>
      </c>
      <c r="G2222" t="s">
        <v>21</v>
      </c>
    </row>
    <row r="2223" spans="1:7">
      <c r="A2223">
        <v>2222</v>
      </c>
      <c r="B2223" t="str">
        <f>"027335"</f>
        <v>0</v>
      </c>
      <c r="C2223" t="s">
        <v>3959</v>
      </c>
      <c r="D2223" t="s">
        <v>3960</v>
      </c>
      <c r="E2223" t="str">
        <f>"1209700476916"</f>
        <v>0</v>
      </c>
      <c r="F2223" t="str">
        <f>"000570"</f>
        <v>0</v>
      </c>
      <c r="G2223" t="s">
        <v>21</v>
      </c>
    </row>
    <row r="2224" spans="1:7">
      <c r="A2224">
        <v>2223</v>
      </c>
      <c r="B2224" t="str">
        <f>"027336"</f>
        <v>0</v>
      </c>
      <c r="C2224" t="s">
        <v>1200</v>
      </c>
      <c r="D2224" t="s">
        <v>3961</v>
      </c>
      <c r="E2224" t="str">
        <f>"1859900060238"</f>
        <v>0</v>
      </c>
      <c r="F2224" t="str">
        <f>"000570"</f>
        <v>0</v>
      </c>
      <c r="G2224" t="s">
        <v>21</v>
      </c>
    </row>
    <row r="2225" spans="1:7">
      <c r="A2225">
        <v>2224</v>
      </c>
      <c r="B2225" t="str">
        <f>"018776"</f>
        <v>0</v>
      </c>
      <c r="C2225" t="s">
        <v>3962</v>
      </c>
      <c r="D2225" t="s">
        <v>3963</v>
      </c>
      <c r="E2225" t="str">
        <f>"3341100124014"</f>
        <v>0</v>
      </c>
      <c r="F2225" t="str">
        <f>"000570"</f>
        <v>0</v>
      </c>
      <c r="G2225" t="s">
        <v>21</v>
      </c>
    </row>
    <row r="2226" spans="1:7">
      <c r="A2226">
        <v>2225</v>
      </c>
      <c r="B2226" t="str">
        <f>"022443"</f>
        <v>0</v>
      </c>
      <c r="C2226" t="s">
        <v>608</v>
      </c>
      <c r="D2226" t="s">
        <v>3964</v>
      </c>
      <c r="E2226" t="str">
        <f>"1240600062712"</f>
        <v>0</v>
      </c>
      <c r="F2226" t="str">
        <f>"000570"</f>
        <v>0</v>
      </c>
      <c r="G2226" t="s">
        <v>21</v>
      </c>
    </row>
    <row r="2227" spans="1:7">
      <c r="A2227">
        <v>2226</v>
      </c>
      <c r="B2227" t="str">
        <f>"026474"</f>
        <v>0</v>
      </c>
      <c r="C2227" t="s">
        <v>3965</v>
      </c>
      <c r="D2227" t="s">
        <v>3966</v>
      </c>
      <c r="E2227" t="str">
        <f>"1200100012481"</f>
        <v>0</v>
      </c>
      <c r="F2227" t="str">
        <f>"000570"</f>
        <v>0</v>
      </c>
      <c r="G2227" t="s">
        <v>21</v>
      </c>
    </row>
    <row r="2228" spans="1:7">
      <c r="A2228">
        <v>2227</v>
      </c>
      <c r="B2228" t="str">
        <f>"025743"</f>
        <v>0</v>
      </c>
      <c r="C2228" t="s">
        <v>3967</v>
      </c>
      <c r="D2228" t="s">
        <v>3968</v>
      </c>
      <c r="E2228" t="str">
        <f>"1309900694762"</f>
        <v>0</v>
      </c>
      <c r="F2228" t="str">
        <f>"000570"</f>
        <v>0</v>
      </c>
      <c r="G2228" t="s">
        <v>21</v>
      </c>
    </row>
    <row r="2229" spans="1:7">
      <c r="A2229">
        <v>2228</v>
      </c>
      <c r="B2229" t="str">
        <f>"021736"</f>
        <v>0</v>
      </c>
      <c r="C2229" t="s">
        <v>1777</v>
      </c>
      <c r="D2229" t="s">
        <v>3969</v>
      </c>
      <c r="E2229" t="str">
        <f>"3341100024711"</f>
        <v>0</v>
      </c>
      <c r="F2229" t="str">
        <f>"000570"</f>
        <v>0</v>
      </c>
      <c r="G2229" t="s">
        <v>21</v>
      </c>
    </row>
    <row r="2230" spans="1:7">
      <c r="A2230">
        <v>2229</v>
      </c>
      <c r="B2230" t="str">
        <f>"026305"</f>
        <v>0</v>
      </c>
      <c r="C2230" t="s">
        <v>3970</v>
      </c>
      <c r="D2230" t="s">
        <v>3971</v>
      </c>
      <c r="E2230" t="str">
        <f>"1410490001411"</f>
        <v>0</v>
      </c>
      <c r="F2230" t="str">
        <f>"000570"</f>
        <v>0</v>
      </c>
      <c r="G2230" t="s">
        <v>21</v>
      </c>
    </row>
    <row r="2231" spans="1:7">
      <c r="A2231">
        <v>2230</v>
      </c>
      <c r="B2231" t="str">
        <f>"027095"</f>
        <v>0</v>
      </c>
      <c r="C2231" t="s">
        <v>3621</v>
      </c>
      <c r="D2231" t="s">
        <v>3972</v>
      </c>
      <c r="E2231" t="str">
        <f>"1411700127173"</f>
        <v>0</v>
      </c>
      <c r="F2231" t="str">
        <f>"000570"</f>
        <v>0</v>
      </c>
      <c r="G2231" t="s">
        <v>21</v>
      </c>
    </row>
    <row r="2232" spans="1:7">
      <c r="A2232">
        <v>2231</v>
      </c>
      <c r="B2232" t="str">
        <f>"026307"</f>
        <v>0</v>
      </c>
      <c r="C2232" t="s">
        <v>3973</v>
      </c>
      <c r="D2232" t="s">
        <v>3974</v>
      </c>
      <c r="E2232" t="str">
        <f>"1459900111707"</f>
        <v>0</v>
      </c>
      <c r="F2232" t="str">
        <f>"000570"</f>
        <v>0</v>
      </c>
      <c r="G2232" t="s">
        <v>21</v>
      </c>
    </row>
    <row r="2233" spans="1:7">
      <c r="A2233">
        <v>2232</v>
      </c>
      <c r="B2233" t="str">
        <f>"024929"</f>
        <v>0</v>
      </c>
      <c r="C2233" t="s">
        <v>3975</v>
      </c>
      <c r="D2233" t="s">
        <v>3976</v>
      </c>
      <c r="E2233" t="str">
        <f>"1471000080760"</f>
        <v>0</v>
      </c>
      <c r="F2233" t="str">
        <f>"000570"</f>
        <v>0</v>
      </c>
      <c r="G2233" t="s">
        <v>21</v>
      </c>
    </row>
    <row r="2234" spans="1:7">
      <c r="A2234">
        <v>2233</v>
      </c>
      <c r="B2234" t="str">
        <f>"026857"</f>
        <v>0</v>
      </c>
      <c r="C2234" t="s">
        <v>3977</v>
      </c>
      <c r="D2234" t="s">
        <v>3978</v>
      </c>
      <c r="E2234" t="str">
        <f>"1520800089590"</f>
        <v>0</v>
      </c>
      <c r="F2234" t="str">
        <f>"000570"</f>
        <v>0</v>
      </c>
      <c r="G2234" t="s">
        <v>21</v>
      </c>
    </row>
    <row r="2235" spans="1:7">
      <c r="A2235">
        <v>2234</v>
      </c>
      <c r="B2235" t="str">
        <f>"023398"</f>
        <v>0</v>
      </c>
      <c r="C2235" t="s">
        <v>3979</v>
      </c>
      <c r="D2235" t="s">
        <v>3980</v>
      </c>
      <c r="E2235" t="str">
        <f>"3570501032738"</f>
        <v>0</v>
      </c>
      <c r="F2235" t="str">
        <f>"000570"</f>
        <v>0</v>
      </c>
      <c r="G2235" t="s">
        <v>21</v>
      </c>
    </row>
    <row r="2236" spans="1:7">
      <c r="A2236">
        <v>2235</v>
      </c>
      <c r="B2236" t="str">
        <f>"025094"</f>
        <v>0</v>
      </c>
      <c r="C2236" t="s">
        <v>3981</v>
      </c>
      <c r="D2236" t="s">
        <v>3982</v>
      </c>
      <c r="E2236" t="str">
        <f>"1579900343470"</f>
        <v>0</v>
      </c>
      <c r="F2236" t="str">
        <f>"000570"</f>
        <v>0</v>
      </c>
      <c r="G2236" t="s">
        <v>21</v>
      </c>
    </row>
    <row r="2237" spans="1:7">
      <c r="A2237">
        <v>2236</v>
      </c>
      <c r="B2237" t="str">
        <f>"027337"</f>
        <v>0</v>
      </c>
      <c r="C2237" t="s">
        <v>3983</v>
      </c>
      <c r="D2237" t="s">
        <v>3984</v>
      </c>
      <c r="E2237" t="str">
        <f>"1769900336871"</f>
        <v>0</v>
      </c>
      <c r="F2237" t="str">
        <f>"000570"</f>
        <v>0</v>
      </c>
      <c r="G2237" t="s">
        <v>21</v>
      </c>
    </row>
    <row r="2238" spans="1:7">
      <c r="A2238">
        <v>2237</v>
      </c>
      <c r="B2238" t="str">
        <f>"026105"</f>
        <v>0</v>
      </c>
      <c r="C2238" t="s">
        <v>3985</v>
      </c>
      <c r="D2238" t="s">
        <v>3986</v>
      </c>
      <c r="E2238" t="str">
        <f>"1840100216294"</f>
        <v>0</v>
      </c>
      <c r="F2238" t="str">
        <f>"000570"</f>
        <v>0</v>
      </c>
      <c r="G2238" t="s">
        <v>21</v>
      </c>
    </row>
    <row r="2239" spans="1:7">
      <c r="A2239">
        <v>2238</v>
      </c>
      <c r="B2239" t="str">
        <f>"012044"</f>
        <v>0</v>
      </c>
      <c r="C2239" t="s">
        <v>3987</v>
      </c>
      <c r="D2239" t="s">
        <v>3988</v>
      </c>
      <c r="E2239" t="str">
        <f>"3200200491442"</f>
        <v>0</v>
      </c>
      <c r="F2239" t="str">
        <f>"000570"</f>
        <v>0</v>
      </c>
      <c r="G2239" t="s">
        <v>21</v>
      </c>
    </row>
    <row r="2240" spans="1:7">
      <c r="A2240">
        <v>2239</v>
      </c>
      <c r="B2240" t="str">
        <f>"012301"</f>
        <v>0</v>
      </c>
      <c r="C2240" t="s">
        <v>887</v>
      </c>
      <c r="D2240" t="s">
        <v>3989</v>
      </c>
      <c r="E2240" t="str">
        <f>"3250100380428"</f>
        <v>0</v>
      </c>
      <c r="F2240" t="str">
        <f>"000570"</f>
        <v>0</v>
      </c>
      <c r="G2240" t="s">
        <v>21</v>
      </c>
    </row>
    <row r="2241" spans="1:7">
      <c r="A2241">
        <v>2240</v>
      </c>
      <c r="B2241" t="str">
        <f>"013694"</f>
        <v>0</v>
      </c>
      <c r="C2241" t="s">
        <v>3990</v>
      </c>
      <c r="D2241" t="s">
        <v>3991</v>
      </c>
      <c r="E2241" t="str">
        <f>"3200200516691"</f>
        <v>0</v>
      </c>
      <c r="F2241" t="str">
        <f>"000570"</f>
        <v>0</v>
      </c>
      <c r="G2241" t="s">
        <v>21</v>
      </c>
    </row>
    <row r="2242" spans="1:7">
      <c r="A2242">
        <v>2241</v>
      </c>
      <c r="B2242" t="str">
        <f>"014551"</f>
        <v>0</v>
      </c>
      <c r="C2242" t="s">
        <v>3992</v>
      </c>
      <c r="D2242" t="s">
        <v>3993</v>
      </c>
      <c r="E2242" t="str">
        <f>"3760700251438"</f>
        <v>0</v>
      </c>
      <c r="F2242" t="str">
        <f>"000570"</f>
        <v>0</v>
      </c>
      <c r="G2242" t="s">
        <v>21</v>
      </c>
    </row>
    <row r="2243" spans="1:7">
      <c r="A2243">
        <v>2242</v>
      </c>
      <c r="B2243" t="str">
        <f>"015573"</f>
        <v>0</v>
      </c>
      <c r="C2243" t="s">
        <v>3994</v>
      </c>
      <c r="D2243" t="s">
        <v>3995</v>
      </c>
      <c r="E2243" t="str">
        <f>"3800500116625"</f>
        <v>0</v>
      </c>
      <c r="F2243" t="str">
        <f>"000570"</f>
        <v>0</v>
      </c>
      <c r="G2243" t="s">
        <v>21</v>
      </c>
    </row>
    <row r="2244" spans="1:7">
      <c r="A2244">
        <v>2243</v>
      </c>
      <c r="B2244" t="str">
        <f>"016964"</f>
        <v>0</v>
      </c>
      <c r="C2244" t="s">
        <v>576</v>
      </c>
      <c r="D2244" t="s">
        <v>3996</v>
      </c>
      <c r="E2244" t="str">
        <f>"3669800018327"</f>
        <v>0</v>
      </c>
      <c r="F2244" t="str">
        <f>"000570"</f>
        <v>0</v>
      </c>
      <c r="G2244" t="s">
        <v>21</v>
      </c>
    </row>
    <row r="2245" spans="1:7">
      <c r="A2245">
        <v>2244</v>
      </c>
      <c r="B2245" t="str">
        <f>"018640"</f>
        <v>0</v>
      </c>
      <c r="C2245" t="s">
        <v>3997</v>
      </c>
      <c r="D2245" t="s">
        <v>3998</v>
      </c>
      <c r="E2245" t="str">
        <f>"3629900057162"</f>
        <v>0</v>
      </c>
      <c r="F2245" t="str">
        <f>"000570"</f>
        <v>0</v>
      </c>
      <c r="G2245" t="s">
        <v>21</v>
      </c>
    </row>
    <row r="2246" spans="1:7">
      <c r="A2246">
        <v>2245</v>
      </c>
      <c r="B2246" t="str">
        <f>"018641"</f>
        <v>0</v>
      </c>
      <c r="C2246" t="s">
        <v>878</v>
      </c>
      <c r="D2246" t="s">
        <v>3999</v>
      </c>
      <c r="E2246" t="str">
        <f>"3210500347932"</f>
        <v>0</v>
      </c>
      <c r="F2246" t="str">
        <f>"000570"</f>
        <v>0</v>
      </c>
      <c r="G2246" t="s">
        <v>21</v>
      </c>
    </row>
    <row r="2247" spans="1:7">
      <c r="A2247">
        <v>2246</v>
      </c>
      <c r="B2247" t="str">
        <f>"019030"</f>
        <v>0</v>
      </c>
      <c r="C2247" t="s">
        <v>3837</v>
      </c>
      <c r="D2247" t="s">
        <v>4000</v>
      </c>
      <c r="E2247" t="str">
        <f>"3619900154842"</f>
        <v>0</v>
      </c>
      <c r="F2247" t="str">
        <f>"000570"</f>
        <v>0</v>
      </c>
      <c r="G2247" t="s">
        <v>21</v>
      </c>
    </row>
    <row r="2248" spans="1:7">
      <c r="A2248">
        <v>2247</v>
      </c>
      <c r="B2248" t="str">
        <f>"019035"</f>
        <v>0</v>
      </c>
      <c r="C2248" t="s">
        <v>4001</v>
      </c>
      <c r="D2248" t="s">
        <v>4002</v>
      </c>
      <c r="E2248" t="str">
        <f>"3200400516635"</f>
        <v>0</v>
      </c>
      <c r="F2248" t="str">
        <f>"000570"</f>
        <v>0</v>
      </c>
      <c r="G2248" t="s">
        <v>21</v>
      </c>
    </row>
    <row r="2249" spans="1:7">
      <c r="A2249">
        <v>2248</v>
      </c>
      <c r="B2249" t="str">
        <f>"022957"</f>
        <v>0</v>
      </c>
      <c r="C2249" t="s">
        <v>4003</v>
      </c>
      <c r="D2249" t="s">
        <v>4004</v>
      </c>
      <c r="E2249" t="str">
        <f>"3739900301712"</f>
        <v>0</v>
      </c>
      <c r="F2249" t="str">
        <f>"000570"</f>
        <v>0</v>
      </c>
      <c r="G2249" t="s">
        <v>21</v>
      </c>
    </row>
    <row r="2250" spans="1:7">
      <c r="A2250">
        <v>2249</v>
      </c>
      <c r="B2250" t="str">
        <f>"023253"</f>
        <v>0</v>
      </c>
      <c r="C2250" t="s">
        <v>4005</v>
      </c>
      <c r="D2250" t="s">
        <v>4006</v>
      </c>
      <c r="E2250" t="str">
        <f>"3620101133102"</f>
        <v>0</v>
      </c>
      <c r="F2250" t="str">
        <f>"000570"</f>
        <v>0</v>
      </c>
      <c r="G2250" t="s">
        <v>21</v>
      </c>
    </row>
    <row r="2251" spans="1:7">
      <c r="A2251">
        <v>2250</v>
      </c>
      <c r="B2251" t="str">
        <f>"021306"</f>
        <v>0</v>
      </c>
      <c r="C2251" t="s">
        <v>1345</v>
      </c>
      <c r="D2251" t="s">
        <v>4007</v>
      </c>
      <c r="E2251" t="str">
        <f>"5100999112643"</f>
        <v>0</v>
      </c>
      <c r="F2251" t="str">
        <f>"000570"</f>
        <v>0</v>
      </c>
      <c r="G2251" t="s">
        <v>21</v>
      </c>
    </row>
    <row r="2252" spans="1:7">
      <c r="A2252">
        <v>2251</v>
      </c>
      <c r="B2252" t="str">
        <f>"021739"</f>
        <v>0</v>
      </c>
      <c r="C2252" t="s">
        <v>4008</v>
      </c>
      <c r="D2252" t="s">
        <v>4009</v>
      </c>
      <c r="E2252" t="str">
        <f>"3310701094691"</f>
        <v>0</v>
      </c>
      <c r="F2252" t="str">
        <f>"000570"</f>
        <v>0</v>
      </c>
      <c r="G2252" t="s">
        <v>21</v>
      </c>
    </row>
    <row r="2253" spans="1:7">
      <c r="A2253">
        <v>2252</v>
      </c>
      <c r="B2253" t="str">
        <f>"022505"</f>
        <v>0</v>
      </c>
      <c r="C2253" t="s">
        <v>4010</v>
      </c>
      <c r="D2253" t="s">
        <v>4011</v>
      </c>
      <c r="E2253" t="str">
        <f>"3470400373174"</f>
        <v>0</v>
      </c>
      <c r="F2253" t="str">
        <f>"000570"</f>
        <v>0</v>
      </c>
      <c r="G2253" t="s">
        <v>21</v>
      </c>
    </row>
    <row r="2254" spans="1:7">
      <c r="A2254">
        <v>2253</v>
      </c>
      <c r="B2254" t="str">
        <f>"021151"</f>
        <v>0</v>
      </c>
      <c r="C2254" t="s">
        <v>4012</v>
      </c>
      <c r="D2254" t="s">
        <v>4013</v>
      </c>
      <c r="E2254" t="str">
        <f>"3730100771783"</f>
        <v>0</v>
      </c>
      <c r="F2254" t="str">
        <f>"000570"</f>
        <v>0</v>
      </c>
      <c r="G2254" t="s">
        <v>21</v>
      </c>
    </row>
    <row r="2255" spans="1:7">
      <c r="A2255">
        <v>2254</v>
      </c>
      <c r="B2255" t="str">
        <f>"026196"</f>
        <v>0</v>
      </c>
      <c r="C2255" t="s">
        <v>4014</v>
      </c>
      <c r="D2255" t="s">
        <v>4015</v>
      </c>
      <c r="E2255" t="str">
        <f>"1769900214694"</f>
        <v>0</v>
      </c>
      <c r="F2255" t="str">
        <f>"000570"</f>
        <v>0</v>
      </c>
      <c r="G2255" t="s">
        <v>21</v>
      </c>
    </row>
    <row r="2256" spans="1:7">
      <c r="A2256">
        <v>2255</v>
      </c>
      <c r="B2256" t="str">
        <f>"027192"</f>
        <v>0</v>
      </c>
      <c r="C2256" t="s">
        <v>4016</v>
      </c>
      <c r="D2256" t="s">
        <v>4017</v>
      </c>
      <c r="E2256" t="str">
        <f>"1102700130852"</f>
        <v>0</v>
      </c>
      <c r="F2256" t="str">
        <f>"000570"</f>
        <v>0</v>
      </c>
      <c r="G2256" t="s">
        <v>21</v>
      </c>
    </row>
    <row r="2257" spans="1:7">
      <c r="A2257">
        <v>2256</v>
      </c>
      <c r="B2257" t="str">
        <f>"021515"</f>
        <v>0</v>
      </c>
      <c r="C2257" t="s">
        <v>445</v>
      </c>
      <c r="D2257" t="s">
        <v>196</v>
      </c>
      <c r="E2257" t="str">
        <f>"3410101159774"</f>
        <v>0</v>
      </c>
      <c r="F2257" t="str">
        <f>"000570"</f>
        <v>0</v>
      </c>
      <c r="G2257" t="s">
        <v>21</v>
      </c>
    </row>
    <row r="2258" spans="1:7">
      <c r="A2258">
        <v>2257</v>
      </c>
      <c r="B2258" t="str">
        <f>"020178"</f>
        <v>0</v>
      </c>
      <c r="C2258" t="s">
        <v>4018</v>
      </c>
      <c r="D2258" t="s">
        <v>4019</v>
      </c>
      <c r="E2258" t="str">
        <f>"3340300245361"</f>
        <v>0</v>
      </c>
      <c r="F2258" t="str">
        <f>"000570"</f>
        <v>0</v>
      </c>
      <c r="G2258" t="s">
        <v>21</v>
      </c>
    </row>
    <row r="2259" spans="1:7">
      <c r="A2259">
        <v>2258</v>
      </c>
      <c r="B2259" t="str">
        <f>"026909"</f>
        <v>0</v>
      </c>
      <c r="C2259" t="s">
        <v>4020</v>
      </c>
      <c r="D2259" t="s">
        <v>4021</v>
      </c>
      <c r="E2259" t="str">
        <f>"1529900489164"</f>
        <v>0</v>
      </c>
      <c r="F2259" t="str">
        <f>"000570"</f>
        <v>0</v>
      </c>
      <c r="G2259" t="s">
        <v>21</v>
      </c>
    </row>
    <row r="2260" spans="1:7">
      <c r="A2260">
        <v>2259</v>
      </c>
      <c r="B2260" t="str">
        <f>"017154"</f>
        <v>0</v>
      </c>
      <c r="C2260" t="s">
        <v>4022</v>
      </c>
      <c r="D2260" t="s">
        <v>4023</v>
      </c>
      <c r="E2260" t="str">
        <f>"3720900974646"</f>
        <v>0</v>
      </c>
      <c r="F2260" t="str">
        <f>"000570"</f>
        <v>0</v>
      </c>
      <c r="G2260" t="s">
        <v>21</v>
      </c>
    </row>
    <row r="2261" spans="1:7">
      <c r="A2261">
        <v>2260</v>
      </c>
      <c r="B2261" t="str">
        <f>"025387"</f>
        <v>0</v>
      </c>
      <c r="C2261" t="s">
        <v>4024</v>
      </c>
      <c r="D2261" t="s">
        <v>4025</v>
      </c>
      <c r="E2261" t="str">
        <f>"3760600332801"</f>
        <v>0</v>
      </c>
      <c r="F2261" t="str">
        <f>"000570"</f>
        <v>0</v>
      </c>
      <c r="G2261" t="s">
        <v>21</v>
      </c>
    </row>
    <row r="2262" spans="1:7">
      <c r="A2262">
        <v>2261</v>
      </c>
      <c r="B2262" t="str">
        <f>"000804"</f>
        <v>0</v>
      </c>
      <c r="C2262" t="s">
        <v>4026</v>
      </c>
      <c r="D2262" t="s">
        <v>4027</v>
      </c>
      <c r="E2262" t="str">
        <f>"3180100151942"</f>
        <v>0</v>
      </c>
      <c r="F2262" t="str">
        <f>"000610"</f>
        <v>0</v>
      </c>
      <c r="G2262" t="s">
        <v>21</v>
      </c>
    </row>
    <row r="2263" spans="1:7">
      <c r="A2263">
        <v>2262</v>
      </c>
      <c r="B2263" t="str">
        <f>"002678"</f>
        <v>0</v>
      </c>
      <c r="C2263" t="s">
        <v>1093</v>
      </c>
      <c r="D2263" t="s">
        <v>4028</v>
      </c>
      <c r="E2263" t="str">
        <f>"3180100151411"</f>
        <v>0</v>
      </c>
      <c r="F2263" t="str">
        <f>"000610"</f>
        <v>0</v>
      </c>
      <c r="G2263" t="s">
        <v>21</v>
      </c>
    </row>
    <row r="2264" spans="1:7">
      <c r="A2264">
        <v>2263</v>
      </c>
      <c r="B2264" t="str">
        <f>"002681"</f>
        <v>0</v>
      </c>
      <c r="C2264" t="s">
        <v>104</v>
      </c>
      <c r="D2264" t="s">
        <v>4029</v>
      </c>
      <c r="E2264" t="str">
        <f>"3180300003149"</f>
        <v>0</v>
      </c>
      <c r="F2264" t="str">
        <f>"000610"</f>
        <v>0</v>
      </c>
      <c r="G2264" t="s">
        <v>21</v>
      </c>
    </row>
    <row r="2265" spans="1:7">
      <c r="A2265">
        <v>2264</v>
      </c>
      <c r="B2265" t="str">
        <f>"002722"</f>
        <v>0</v>
      </c>
      <c r="C2265" t="s">
        <v>4030</v>
      </c>
      <c r="D2265" t="s">
        <v>4031</v>
      </c>
      <c r="E2265" t="str">
        <f>"3180500398562"</f>
        <v>0</v>
      </c>
      <c r="F2265" t="str">
        <f>"000610"</f>
        <v>0</v>
      </c>
      <c r="G2265" t="s">
        <v>21</v>
      </c>
    </row>
    <row r="2266" spans="1:7">
      <c r="A2266">
        <v>2265</v>
      </c>
      <c r="B2266" t="str">
        <f>"003321"</f>
        <v>0</v>
      </c>
      <c r="C2266" t="s">
        <v>4032</v>
      </c>
      <c r="D2266" t="s">
        <v>4033</v>
      </c>
      <c r="E2266" t="str">
        <f>"3180400227049"</f>
        <v>0</v>
      </c>
      <c r="F2266" t="str">
        <f>"000610"</f>
        <v>0</v>
      </c>
      <c r="G2266" t="s">
        <v>21</v>
      </c>
    </row>
    <row r="2267" spans="1:7">
      <c r="A2267">
        <v>2266</v>
      </c>
      <c r="B2267" t="str">
        <f>"003405"</f>
        <v>0</v>
      </c>
      <c r="C2267" t="s">
        <v>4034</v>
      </c>
      <c r="D2267" t="s">
        <v>4035</v>
      </c>
      <c r="E2267" t="str">
        <f>"3250500015182"</f>
        <v>0</v>
      </c>
      <c r="F2267" t="str">
        <f>"000610"</f>
        <v>0</v>
      </c>
      <c r="G2267" t="s">
        <v>21</v>
      </c>
    </row>
    <row r="2268" spans="1:7">
      <c r="A2268">
        <v>2267</v>
      </c>
      <c r="B2268" t="str">
        <f>"003678"</f>
        <v>0</v>
      </c>
      <c r="C2268" t="s">
        <v>778</v>
      </c>
      <c r="D2268" t="s">
        <v>4036</v>
      </c>
      <c r="E2268" t="str">
        <f>"3180500047671"</f>
        <v>0</v>
      </c>
      <c r="F2268" t="str">
        <f>"000610"</f>
        <v>0</v>
      </c>
      <c r="G2268" t="s">
        <v>21</v>
      </c>
    </row>
    <row r="2269" spans="1:7">
      <c r="A2269">
        <v>2268</v>
      </c>
      <c r="B2269" t="str">
        <f>"003703"</f>
        <v>0</v>
      </c>
      <c r="C2269" t="s">
        <v>4037</v>
      </c>
      <c r="D2269" t="s">
        <v>4038</v>
      </c>
      <c r="E2269" t="str">
        <f>"3189900021707"</f>
        <v>0</v>
      </c>
      <c r="F2269" t="str">
        <f>"000610"</f>
        <v>0</v>
      </c>
      <c r="G2269" t="s">
        <v>21</v>
      </c>
    </row>
    <row r="2270" spans="1:7">
      <c r="A2270">
        <v>2269</v>
      </c>
      <c r="B2270" t="str">
        <f>"003704"</f>
        <v>0</v>
      </c>
      <c r="C2270" t="s">
        <v>4039</v>
      </c>
      <c r="D2270" t="s">
        <v>4040</v>
      </c>
      <c r="E2270" t="str">
        <f>"3180400371743"</f>
        <v>0</v>
      </c>
      <c r="F2270" t="str">
        <f>"000610"</f>
        <v>0</v>
      </c>
      <c r="G2270" t="s">
        <v>21</v>
      </c>
    </row>
    <row r="2271" spans="1:7">
      <c r="A2271">
        <v>2270</v>
      </c>
      <c r="B2271" t="str">
        <f>"003868"</f>
        <v>0</v>
      </c>
      <c r="C2271" t="s">
        <v>4041</v>
      </c>
      <c r="D2271" t="s">
        <v>4042</v>
      </c>
      <c r="E2271" t="str">
        <f>"3189900016045"</f>
        <v>0</v>
      </c>
      <c r="F2271" t="str">
        <f>"000610"</f>
        <v>0</v>
      </c>
      <c r="G2271" t="s">
        <v>21</v>
      </c>
    </row>
    <row r="2272" spans="1:7">
      <c r="A2272">
        <v>2271</v>
      </c>
      <c r="B2272" t="str">
        <f>"003947"</f>
        <v>0</v>
      </c>
      <c r="C2272" t="s">
        <v>4043</v>
      </c>
      <c r="D2272" t="s">
        <v>4044</v>
      </c>
      <c r="E2272" t="str">
        <f>"3180500048219"</f>
        <v>0</v>
      </c>
      <c r="F2272" t="str">
        <f>"000610"</f>
        <v>0</v>
      </c>
      <c r="G2272" t="s">
        <v>21</v>
      </c>
    </row>
    <row r="2273" spans="1:7">
      <c r="A2273">
        <v>2272</v>
      </c>
      <c r="B2273" t="str">
        <f>"004016"</f>
        <v>0</v>
      </c>
      <c r="C2273" t="s">
        <v>2096</v>
      </c>
      <c r="D2273" t="s">
        <v>3378</v>
      </c>
      <c r="E2273" t="str">
        <f>"3439900040881"</f>
        <v>0</v>
      </c>
      <c r="F2273" t="str">
        <f>"000610"</f>
        <v>0</v>
      </c>
      <c r="G2273" t="s">
        <v>21</v>
      </c>
    </row>
    <row r="2274" spans="1:7">
      <c r="A2274">
        <v>2273</v>
      </c>
      <c r="B2274" t="str">
        <f>"004048"</f>
        <v>0</v>
      </c>
      <c r="C2274" t="s">
        <v>4045</v>
      </c>
      <c r="D2274" t="s">
        <v>4046</v>
      </c>
      <c r="E2274" t="str">
        <f>"3189900046467"</f>
        <v>0</v>
      </c>
      <c r="F2274" t="str">
        <f>"000610"</f>
        <v>0</v>
      </c>
      <c r="G2274" t="s">
        <v>21</v>
      </c>
    </row>
    <row r="2275" spans="1:7">
      <c r="A2275">
        <v>2274</v>
      </c>
      <c r="B2275" t="str">
        <f>"004327"</f>
        <v>0</v>
      </c>
      <c r="C2275" t="s">
        <v>4047</v>
      </c>
      <c r="D2275" t="s">
        <v>4048</v>
      </c>
      <c r="E2275" t="str">
        <f>"3301200483971"</f>
        <v>0</v>
      </c>
      <c r="F2275" t="str">
        <f>"000610"</f>
        <v>0</v>
      </c>
      <c r="G2275" t="s">
        <v>21</v>
      </c>
    </row>
    <row r="2276" spans="1:7">
      <c r="A2276">
        <v>2275</v>
      </c>
      <c r="B2276" t="str">
        <f>"005022"</f>
        <v>0</v>
      </c>
      <c r="C2276" t="s">
        <v>4049</v>
      </c>
      <c r="D2276" t="s">
        <v>4050</v>
      </c>
      <c r="E2276" t="str">
        <f>"3250100022190"</f>
        <v>0</v>
      </c>
      <c r="F2276" t="str">
        <f>"000610"</f>
        <v>0</v>
      </c>
      <c r="G2276" t="s">
        <v>21</v>
      </c>
    </row>
    <row r="2277" spans="1:7">
      <c r="A2277">
        <v>2276</v>
      </c>
      <c r="B2277" t="str">
        <f>"005263"</f>
        <v>0</v>
      </c>
      <c r="C2277" t="s">
        <v>1819</v>
      </c>
      <c r="D2277" t="s">
        <v>4051</v>
      </c>
      <c r="E2277" t="str">
        <f>"5450100012041"</f>
        <v>0</v>
      </c>
      <c r="F2277" t="str">
        <f>"000610"</f>
        <v>0</v>
      </c>
      <c r="G2277" t="s">
        <v>21</v>
      </c>
    </row>
    <row r="2278" spans="1:7">
      <c r="A2278">
        <v>2277</v>
      </c>
      <c r="B2278" t="str">
        <f>"006773"</f>
        <v>0</v>
      </c>
      <c r="C2278" t="s">
        <v>60</v>
      </c>
      <c r="D2278" t="s">
        <v>4052</v>
      </c>
      <c r="E2278" t="str">
        <f>"3180500283170"</f>
        <v>0</v>
      </c>
      <c r="F2278" t="str">
        <f>"000610"</f>
        <v>0</v>
      </c>
      <c r="G2278" t="s">
        <v>21</v>
      </c>
    </row>
    <row r="2279" spans="1:7">
      <c r="A2279">
        <v>2278</v>
      </c>
      <c r="B2279" t="str">
        <f>"006775"</f>
        <v>0</v>
      </c>
      <c r="C2279" t="s">
        <v>1837</v>
      </c>
      <c r="D2279" t="s">
        <v>4053</v>
      </c>
      <c r="E2279" t="str">
        <f>"3180100405600"</f>
        <v>0</v>
      </c>
      <c r="F2279" t="str">
        <f>"000610"</f>
        <v>0</v>
      </c>
      <c r="G2279" t="s">
        <v>21</v>
      </c>
    </row>
    <row r="2280" spans="1:7">
      <c r="A2280">
        <v>2279</v>
      </c>
      <c r="B2280" t="str">
        <f>"007739"</f>
        <v>0</v>
      </c>
      <c r="C2280" t="s">
        <v>923</v>
      </c>
      <c r="D2280" t="s">
        <v>4054</v>
      </c>
      <c r="E2280" t="str">
        <f>"3259900147165"</f>
        <v>0</v>
      </c>
      <c r="F2280" t="str">
        <f>"000610"</f>
        <v>0</v>
      </c>
      <c r="G2280" t="s">
        <v>21</v>
      </c>
    </row>
    <row r="2281" spans="1:7">
      <c r="A2281">
        <v>2280</v>
      </c>
      <c r="B2281" t="str">
        <f>"008052"</f>
        <v>0</v>
      </c>
      <c r="C2281" t="s">
        <v>4055</v>
      </c>
      <c r="D2281" t="s">
        <v>4056</v>
      </c>
      <c r="E2281" t="str">
        <f>"3649900065033"</f>
        <v>0</v>
      </c>
      <c r="F2281" t="str">
        <f>"000610"</f>
        <v>0</v>
      </c>
      <c r="G2281" t="s">
        <v>21</v>
      </c>
    </row>
    <row r="2282" spans="1:7">
      <c r="A2282">
        <v>2281</v>
      </c>
      <c r="B2282" t="str">
        <f>"008063"</f>
        <v>0</v>
      </c>
      <c r="C2282" t="s">
        <v>520</v>
      </c>
      <c r="D2282" t="s">
        <v>4057</v>
      </c>
      <c r="E2282" t="str">
        <f>"3141400314643"</f>
        <v>0</v>
      </c>
      <c r="F2282" t="str">
        <f>"000610"</f>
        <v>0</v>
      </c>
      <c r="G2282" t="s">
        <v>21</v>
      </c>
    </row>
    <row r="2283" spans="1:7">
      <c r="A2283">
        <v>2282</v>
      </c>
      <c r="B2283" t="str">
        <f>"008586"</f>
        <v>0</v>
      </c>
      <c r="C2283" t="s">
        <v>651</v>
      </c>
      <c r="D2283" t="s">
        <v>4058</v>
      </c>
      <c r="E2283" t="str">
        <f>"3180500472959"</f>
        <v>0</v>
      </c>
      <c r="F2283" t="str">
        <f>"000610"</f>
        <v>0</v>
      </c>
      <c r="G2283" t="s">
        <v>21</v>
      </c>
    </row>
    <row r="2284" spans="1:7">
      <c r="A2284">
        <v>2283</v>
      </c>
      <c r="B2284" t="str">
        <f>"008614"</f>
        <v>0</v>
      </c>
      <c r="C2284" t="s">
        <v>4059</v>
      </c>
      <c r="D2284" t="s">
        <v>4060</v>
      </c>
      <c r="E2284" t="str">
        <f>"3180600583469"</f>
        <v>0</v>
      </c>
      <c r="F2284" t="str">
        <f>"000610"</f>
        <v>0</v>
      </c>
      <c r="G2284" t="s">
        <v>21</v>
      </c>
    </row>
    <row r="2285" spans="1:7">
      <c r="A2285">
        <v>2284</v>
      </c>
      <c r="B2285" t="str">
        <f>"009135"</f>
        <v>0</v>
      </c>
      <c r="C2285" t="s">
        <v>755</v>
      </c>
      <c r="D2285" t="s">
        <v>4061</v>
      </c>
      <c r="E2285" t="str">
        <f>"3189900042704"</f>
        <v>0</v>
      </c>
      <c r="F2285" t="str">
        <f>"000610"</f>
        <v>0</v>
      </c>
      <c r="G2285" t="s">
        <v>21</v>
      </c>
    </row>
    <row r="2286" spans="1:7">
      <c r="A2286">
        <v>2285</v>
      </c>
      <c r="B2286" t="str">
        <f>"009137"</f>
        <v>0</v>
      </c>
      <c r="C2286" t="s">
        <v>4062</v>
      </c>
      <c r="D2286" t="s">
        <v>4063</v>
      </c>
      <c r="E2286" t="str">
        <f>"3180100295308"</f>
        <v>0</v>
      </c>
      <c r="F2286" t="str">
        <f>"000610"</f>
        <v>0</v>
      </c>
      <c r="G2286" t="s">
        <v>21</v>
      </c>
    </row>
    <row r="2287" spans="1:7">
      <c r="A2287">
        <v>2286</v>
      </c>
      <c r="B2287" t="str">
        <f>"009303"</f>
        <v>0</v>
      </c>
      <c r="C2287" t="s">
        <v>3404</v>
      </c>
      <c r="D2287" t="s">
        <v>4064</v>
      </c>
      <c r="E2287" t="str">
        <f>"3180300091552"</f>
        <v>0</v>
      </c>
      <c r="F2287" t="str">
        <f>"000610"</f>
        <v>0</v>
      </c>
      <c r="G2287" t="s">
        <v>21</v>
      </c>
    </row>
    <row r="2288" spans="1:7">
      <c r="A2288">
        <v>2287</v>
      </c>
      <c r="B2288" t="str">
        <f>"009453"</f>
        <v>0</v>
      </c>
      <c r="C2288" t="s">
        <v>3354</v>
      </c>
      <c r="D2288" t="s">
        <v>4065</v>
      </c>
      <c r="E2288" t="str">
        <f>"3189900032644"</f>
        <v>0</v>
      </c>
      <c r="F2288" t="str">
        <f>"000610"</f>
        <v>0</v>
      </c>
      <c r="G2288" t="s">
        <v>21</v>
      </c>
    </row>
    <row r="2289" spans="1:7">
      <c r="A2289">
        <v>2288</v>
      </c>
      <c r="B2289" t="str">
        <f>"009653"</f>
        <v>0</v>
      </c>
      <c r="C2289" t="s">
        <v>4066</v>
      </c>
      <c r="D2289" t="s">
        <v>4067</v>
      </c>
      <c r="E2289" t="str">
        <f>"3180400378284"</f>
        <v>0</v>
      </c>
      <c r="F2289" t="str">
        <f>"000610"</f>
        <v>0</v>
      </c>
      <c r="G2289" t="s">
        <v>21</v>
      </c>
    </row>
    <row r="2290" spans="1:7">
      <c r="A2290">
        <v>2289</v>
      </c>
      <c r="B2290" t="str">
        <f>"010407"</f>
        <v>0</v>
      </c>
      <c r="C2290" t="s">
        <v>1641</v>
      </c>
      <c r="D2290" t="s">
        <v>4068</v>
      </c>
      <c r="E2290" t="str">
        <f>"3360101243741"</f>
        <v>0</v>
      </c>
      <c r="F2290" t="str">
        <f>"000610"</f>
        <v>0</v>
      </c>
      <c r="G2290" t="s">
        <v>21</v>
      </c>
    </row>
    <row r="2291" spans="1:7">
      <c r="A2291">
        <v>2290</v>
      </c>
      <c r="B2291" t="str">
        <f>"010932"</f>
        <v>0</v>
      </c>
      <c r="C2291" t="s">
        <v>3825</v>
      </c>
      <c r="D2291" t="s">
        <v>4069</v>
      </c>
      <c r="E2291" t="str">
        <f>"3101600862628"</f>
        <v>0</v>
      </c>
      <c r="F2291" t="str">
        <f>"000610"</f>
        <v>0</v>
      </c>
      <c r="G2291" t="s">
        <v>21</v>
      </c>
    </row>
    <row r="2292" spans="1:7">
      <c r="A2292">
        <v>2291</v>
      </c>
      <c r="B2292" t="str">
        <f>"010937"</f>
        <v>0</v>
      </c>
      <c r="C2292" t="s">
        <v>4070</v>
      </c>
      <c r="D2292" t="s">
        <v>4071</v>
      </c>
      <c r="E2292" t="str">
        <f>"3101100437375"</f>
        <v>0</v>
      </c>
      <c r="F2292" t="str">
        <f>"000610"</f>
        <v>0</v>
      </c>
      <c r="G2292" t="s">
        <v>21</v>
      </c>
    </row>
    <row r="2293" spans="1:7">
      <c r="A2293">
        <v>2292</v>
      </c>
      <c r="B2293" t="str">
        <f>"010960"</f>
        <v>0</v>
      </c>
      <c r="C2293" t="s">
        <v>1162</v>
      </c>
      <c r="D2293" t="s">
        <v>4072</v>
      </c>
      <c r="E2293" t="str">
        <f>"3180400483916"</f>
        <v>0</v>
      </c>
      <c r="F2293" t="str">
        <f>"000610"</f>
        <v>0</v>
      </c>
      <c r="G2293" t="s">
        <v>21</v>
      </c>
    </row>
    <row r="2294" spans="1:7">
      <c r="A2294">
        <v>2293</v>
      </c>
      <c r="B2294" t="str">
        <f>"011527"</f>
        <v>0</v>
      </c>
      <c r="C2294" t="s">
        <v>520</v>
      </c>
      <c r="D2294" t="s">
        <v>4073</v>
      </c>
      <c r="E2294" t="str">
        <f>"3600700119051"</f>
        <v>0</v>
      </c>
      <c r="F2294" t="str">
        <f>"000610"</f>
        <v>0</v>
      </c>
      <c r="G2294" t="s">
        <v>21</v>
      </c>
    </row>
    <row r="2295" spans="1:7">
      <c r="A2295">
        <v>2294</v>
      </c>
      <c r="B2295" t="str">
        <f>"012103"</f>
        <v>0</v>
      </c>
      <c r="C2295" t="s">
        <v>4074</v>
      </c>
      <c r="D2295" t="s">
        <v>4075</v>
      </c>
      <c r="E2295" t="str">
        <f>"3140100168152"</f>
        <v>0</v>
      </c>
      <c r="F2295" t="str">
        <f>"000610"</f>
        <v>0</v>
      </c>
      <c r="G2295" t="s">
        <v>21</v>
      </c>
    </row>
    <row r="2296" spans="1:7">
      <c r="A2296">
        <v>2295</v>
      </c>
      <c r="B2296" t="str">
        <f>"012624"</f>
        <v>0</v>
      </c>
      <c r="C2296" t="s">
        <v>4076</v>
      </c>
      <c r="D2296" t="s">
        <v>4077</v>
      </c>
      <c r="E2296" t="str">
        <f>"3180400447324"</f>
        <v>0</v>
      </c>
      <c r="F2296" t="str">
        <f>"000610"</f>
        <v>0</v>
      </c>
      <c r="G2296" t="s">
        <v>21</v>
      </c>
    </row>
    <row r="2297" spans="1:7">
      <c r="A2297">
        <v>2296</v>
      </c>
      <c r="B2297" t="str">
        <f>"012991"</f>
        <v>0</v>
      </c>
      <c r="C2297" t="s">
        <v>433</v>
      </c>
      <c r="D2297" t="s">
        <v>4078</v>
      </c>
      <c r="E2297" t="str">
        <f>"3189900071356"</f>
        <v>0</v>
      </c>
      <c r="F2297" t="str">
        <f>"000610"</f>
        <v>0</v>
      </c>
      <c r="G2297" t="s">
        <v>21</v>
      </c>
    </row>
    <row r="2298" spans="1:7">
      <c r="A2298">
        <v>2297</v>
      </c>
      <c r="B2298" t="str">
        <f>"014300"</f>
        <v>0</v>
      </c>
      <c r="C2298" t="s">
        <v>4079</v>
      </c>
      <c r="D2298" t="s">
        <v>4080</v>
      </c>
      <c r="E2298" t="str">
        <f>"3180600662873"</f>
        <v>0</v>
      </c>
      <c r="F2298" t="str">
        <f>"000610"</f>
        <v>0</v>
      </c>
      <c r="G2298" t="s">
        <v>21</v>
      </c>
    </row>
    <row r="2299" spans="1:7">
      <c r="A2299">
        <v>2298</v>
      </c>
      <c r="B2299" t="str">
        <f>"014387"</f>
        <v>0</v>
      </c>
      <c r="C2299" t="s">
        <v>4081</v>
      </c>
      <c r="D2299" t="s">
        <v>4082</v>
      </c>
      <c r="E2299" t="str">
        <f>"3609900876937"</f>
        <v>0</v>
      </c>
      <c r="F2299" t="str">
        <f>"000610"</f>
        <v>0</v>
      </c>
      <c r="G2299" t="s">
        <v>21</v>
      </c>
    </row>
    <row r="2300" spans="1:7">
      <c r="A2300">
        <v>2299</v>
      </c>
      <c r="B2300" t="str">
        <f>"015749"</f>
        <v>0</v>
      </c>
      <c r="C2300" t="s">
        <v>130</v>
      </c>
      <c r="D2300" t="s">
        <v>4083</v>
      </c>
      <c r="E2300" t="str">
        <f>"3189900018471"</f>
        <v>0</v>
      </c>
      <c r="F2300" t="str">
        <f>"000610"</f>
        <v>0</v>
      </c>
      <c r="G2300" t="s">
        <v>21</v>
      </c>
    </row>
    <row r="2301" spans="1:7">
      <c r="A2301">
        <v>2300</v>
      </c>
      <c r="B2301" t="str">
        <f>"016465"</f>
        <v>0</v>
      </c>
      <c r="C2301" t="s">
        <v>4084</v>
      </c>
      <c r="D2301" t="s">
        <v>4085</v>
      </c>
      <c r="E2301" t="str">
        <f>"4180600003762"</f>
        <v>0</v>
      </c>
      <c r="F2301" t="str">
        <f>"000610"</f>
        <v>0</v>
      </c>
      <c r="G2301" t="s">
        <v>21</v>
      </c>
    </row>
    <row r="2302" spans="1:7">
      <c r="A2302">
        <v>2301</v>
      </c>
      <c r="B2302" t="str">
        <f>"017374"</f>
        <v>0</v>
      </c>
      <c r="C2302" t="s">
        <v>2193</v>
      </c>
      <c r="D2302" t="s">
        <v>4086</v>
      </c>
      <c r="E2302" t="str">
        <f>"3659900692666"</f>
        <v>0</v>
      </c>
      <c r="F2302" t="str">
        <f>"000610"</f>
        <v>0</v>
      </c>
      <c r="G2302" t="s">
        <v>21</v>
      </c>
    </row>
    <row r="2303" spans="1:7">
      <c r="A2303">
        <v>2302</v>
      </c>
      <c r="B2303" t="str">
        <f>"017424"</f>
        <v>0</v>
      </c>
      <c r="C2303" t="s">
        <v>1718</v>
      </c>
      <c r="D2303" t="s">
        <v>4087</v>
      </c>
      <c r="E2303" t="str">
        <f>"3180600464435"</f>
        <v>0</v>
      </c>
      <c r="F2303" t="str">
        <f>"000610"</f>
        <v>0</v>
      </c>
      <c r="G2303" t="s">
        <v>21</v>
      </c>
    </row>
    <row r="2304" spans="1:7">
      <c r="A2304">
        <v>2303</v>
      </c>
      <c r="B2304" t="str">
        <f>"017620"</f>
        <v>0</v>
      </c>
      <c r="C2304" t="s">
        <v>4088</v>
      </c>
      <c r="D2304" t="s">
        <v>4089</v>
      </c>
      <c r="E2304" t="str">
        <f>"3180400117758"</f>
        <v>0</v>
      </c>
      <c r="F2304" t="str">
        <f>"000610"</f>
        <v>0</v>
      </c>
      <c r="G2304" t="s">
        <v>21</v>
      </c>
    </row>
    <row r="2305" spans="1:7">
      <c r="A2305">
        <v>2304</v>
      </c>
      <c r="B2305" t="str">
        <f>"017662"</f>
        <v>0</v>
      </c>
      <c r="C2305" t="s">
        <v>694</v>
      </c>
      <c r="D2305" t="s">
        <v>4090</v>
      </c>
      <c r="E2305" t="str">
        <f>"3189900041996"</f>
        <v>0</v>
      </c>
      <c r="F2305" t="str">
        <f>"000610"</f>
        <v>0</v>
      </c>
      <c r="G2305" t="s">
        <v>21</v>
      </c>
    </row>
    <row r="2306" spans="1:7">
      <c r="A2306">
        <v>2305</v>
      </c>
      <c r="B2306" t="str">
        <f>"018799"</f>
        <v>0</v>
      </c>
      <c r="C2306" t="s">
        <v>4091</v>
      </c>
      <c r="D2306" t="s">
        <v>4092</v>
      </c>
      <c r="E2306" t="str">
        <f>"3189900001773"</f>
        <v>0</v>
      </c>
      <c r="F2306" t="str">
        <f>"000610"</f>
        <v>0</v>
      </c>
      <c r="G2306" t="s">
        <v>21</v>
      </c>
    </row>
    <row r="2307" spans="1:7">
      <c r="A2307">
        <v>2306</v>
      </c>
      <c r="B2307" t="str">
        <f>"018800"</f>
        <v>0</v>
      </c>
      <c r="C2307" t="s">
        <v>488</v>
      </c>
      <c r="D2307" t="s">
        <v>4093</v>
      </c>
      <c r="E2307" t="str">
        <f>"3720100252557"</f>
        <v>0</v>
      </c>
      <c r="F2307" t="str">
        <f>"000610"</f>
        <v>0</v>
      </c>
      <c r="G2307" t="s">
        <v>21</v>
      </c>
    </row>
    <row r="2308" spans="1:7">
      <c r="A2308">
        <v>2307</v>
      </c>
      <c r="B2308" t="str">
        <f>"018866"</f>
        <v>0</v>
      </c>
      <c r="C2308" t="s">
        <v>1628</v>
      </c>
      <c r="D2308" t="s">
        <v>4094</v>
      </c>
      <c r="E2308" t="str">
        <f>"3840800120547"</f>
        <v>0</v>
      </c>
      <c r="F2308" t="str">
        <f>"000610"</f>
        <v>0</v>
      </c>
      <c r="G2308" t="s">
        <v>21</v>
      </c>
    </row>
    <row r="2309" spans="1:7">
      <c r="A2309">
        <v>2308</v>
      </c>
      <c r="B2309" t="str">
        <f>"019340"</f>
        <v>0</v>
      </c>
      <c r="C2309" t="s">
        <v>4095</v>
      </c>
      <c r="D2309" t="s">
        <v>4096</v>
      </c>
      <c r="E2309" t="str">
        <f>"3180400077977"</f>
        <v>0</v>
      </c>
      <c r="F2309" t="str">
        <f>"000610"</f>
        <v>0</v>
      </c>
      <c r="G2309" t="s">
        <v>21</v>
      </c>
    </row>
    <row r="2310" spans="1:7">
      <c r="A2310">
        <v>2309</v>
      </c>
      <c r="B2310" t="str">
        <f>"006538"</f>
        <v>0</v>
      </c>
      <c r="C2310" t="s">
        <v>4097</v>
      </c>
      <c r="D2310" t="s">
        <v>4098</v>
      </c>
      <c r="E2310" t="str">
        <f>"3189900094909"</f>
        <v>0</v>
      </c>
      <c r="F2310" t="str">
        <f>"000610"</f>
        <v>0</v>
      </c>
      <c r="G2310" t="s">
        <v>21</v>
      </c>
    </row>
    <row r="2311" spans="1:7">
      <c r="A2311">
        <v>2310</v>
      </c>
      <c r="B2311" t="str">
        <f>"006540"</f>
        <v>0</v>
      </c>
      <c r="C2311" t="s">
        <v>2773</v>
      </c>
      <c r="D2311" t="s">
        <v>4099</v>
      </c>
      <c r="E2311" t="str">
        <f>"3180100152531"</f>
        <v>0</v>
      </c>
      <c r="F2311" t="str">
        <f>"000610"</f>
        <v>0</v>
      </c>
      <c r="G2311" t="s">
        <v>21</v>
      </c>
    </row>
    <row r="2312" spans="1:7">
      <c r="A2312">
        <v>2311</v>
      </c>
      <c r="B2312" t="str">
        <f>"008666"</f>
        <v>0</v>
      </c>
      <c r="C2312" t="s">
        <v>3812</v>
      </c>
      <c r="D2312" t="s">
        <v>2057</v>
      </c>
      <c r="E2312" t="str">
        <f>"3180100080646"</f>
        <v>0</v>
      </c>
      <c r="F2312" t="str">
        <f>"000610"</f>
        <v>0</v>
      </c>
      <c r="G2312" t="s">
        <v>21</v>
      </c>
    </row>
    <row r="2313" spans="1:7">
      <c r="A2313">
        <v>2312</v>
      </c>
      <c r="B2313" t="str">
        <f>"009090"</f>
        <v>0</v>
      </c>
      <c r="C2313" t="s">
        <v>4100</v>
      </c>
      <c r="D2313" t="s">
        <v>4101</v>
      </c>
      <c r="E2313" t="str">
        <f>"3180100424329"</f>
        <v>0</v>
      </c>
      <c r="F2313" t="str">
        <f>"000610"</f>
        <v>0</v>
      </c>
      <c r="G2313" t="s">
        <v>21</v>
      </c>
    </row>
    <row r="2314" spans="1:7">
      <c r="A2314">
        <v>2313</v>
      </c>
      <c r="B2314" t="str">
        <f>"009134"</f>
        <v>0</v>
      </c>
      <c r="C2314" t="s">
        <v>4102</v>
      </c>
      <c r="D2314" t="s">
        <v>4103</v>
      </c>
      <c r="E2314" t="str">
        <f>"5180100032290"</f>
        <v>0</v>
      </c>
      <c r="F2314" t="str">
        <f>"000610"</f>
        <v>0</v>
      </c>
      <c r="G2314" t="s">
        <v>21</v>
      </c>
    </row>
    <row r="2315" spans="1:7">
      <c r="A2315">
        <v>2314</v>
      </c>
      <c r="B2315" t="str">
        <f>"012458"</f>
        <v>0</v>
      </c>
      <c r="C2315" t="s">
        <v>2331</v>
      </c>
      <c r="D2315" t="s">
        <v>4104</v>
      </c>
      <c r="E2315" t="str">
        <f>"3180100136994"</f>
        <v>0</v>
      </c>
      <c r="F2315" t="str">
        <f>"000610"</f>
        <v>0</v>
      </c>
      <c r="G2315" t="s">
        <v>21</v>
      </c>
    </row>
    <row r="2316" spans="1:7">
      <c r="A2316">
        <v>2315</v>
      </c>
      <c r="B2316" t="str">
        <f>"013560"</f>
        <v>0</v>
      </c>
      <c r="C2316" t="s">
        <v>4105</v>
      </c>
      <c r="D2316" t="s">
        <v>4106</v>
      </c>
      <c r="E2316" t="str">
        <f>"3180100088981"</f>
        <v>0</v>
      </c>
      <c r="F2316" t="str">
        <f>"000610"</f>
        <v>0</v>
      </c>
      <c r="G2316" t="s">
        <v>21</v>
      </c>
    </row>
    <row r="2317" spans="1:7">
      <c r="A2317">
        <v>2316</v>
      </c>
      <c r="B2317" t="str">
        <f>"014122"</f>
        <v>0</v>
      </c>
      <c r="C2317" t="s">
        <v>4107</v>
      </c>
      <c r="D2317" t="s">
        <v>4108</v>
      </c>
      <c r="E2317" t="str">
        <f>"3180100086156"</f>
        <v>0</v>
      </c>
      <c r="F2317" t="str">
        <f>"000610"</f>
        <v>0</v>
      </c>
      <c r="G2317" t="s">
        <v>21</v>
      </c>
    </row>
    <row r="2318" spans="1:7">
      <c r="A2318">
        <v>2317</v>
      </c>
      <c r="B2318" t="str">
        <f>"016045"</f>
        <v>0</v>
      </c>
      <c r="C2318" t="s">
        <v>427</v>
      </c>
      <c r="D2318" t="s">
        <v>4094</v>
      </c>
      <c r="E2318" t="str">
        <f>"3180100432470"</f>
        <v>0</v>
      </c>
      <c r="F2318" t="str">
        <f>"000610"</f>
        <v>0</v>
      </c>
      <c r="G2318" t="s">
        <v>21</v>
      </c>
    </row>
    <row r="2319" spans="1:7">
      <c r="A2319">
        <v>2318</v>
      </c>
      <c r="B2319" t="str">
        <f>"017916"</f>
        <v>0</v>
      </c>
      <c r="C2319" t="s">
        <v>4109</v>
      </c>
      <c r="D2319" t="s">
        <v>4110</v>
      </c>
      <c r="E2319" t="str">
        <f>"3180400464482"</f>
        <v>0</v>
      </c>
      <c r="F2319" t="str">
        <f>"000610"</f>
        <v>0</v>
      </c>
      <c r="G2319" t="s">
        <v>21</v>
      </c>
    </row>
    <row r="2320" spans="1:7">
      <c r="A2320">
        <v>2319</v>
      </c>
      <c r="B2320" t="str">
        <f>"018026"</f>
        <v>0</v>
      </c>
      <c r="C2320" t="s">
        <v>4111</v>
      </c>
      <c r="D2320" t="s">
        <v>4112</v>
      </c>
      <c r="E2320" t="str">
        <f>"3721000162140"</f>
        <v>0</v>
      </c>
      <c r="F2320" t="str">
        <f>"000610"</f>
        <v>0</v>
      </c>
      <c r="G2320" t="s">
        <v>21</v>
      </c>
    </row>
    <row r="2321" spans="1:7">
      <c r="A2321">
        <v>2320</v>
      </c>
      <c r="B2321" t="str">
        <f>"010959"</f>
        <v>0</v>
      </c>
      <c r="C2321" t="s">
        <v>4113</v>
      </c>
      <c r="D2321" t="s">
        <v>4114</v>
      </c>
      <c r="E2321" t="str">
        <f>"3180400400336"</f>
        <v>0</v>
      </c>
      <c r="F2321" t="str">
        <f>"000610"</f>
        <v>0</v>
      </c>
      <c r="G2321" t="s">
        <v>21</v>
      </c>
    </row>
    <row r="2322" spans="1:7">
      <c r="A2322">
        <v>2321</v>
      </c>
      <c r="B2322" t="str">
        <f>"012705"</f>
        <v>0</v>
      </c>
      <c r="C2322" t="s">
        <v>4115</v>
      </c>
      <c r="D2322" t="s">
        <v>4116</v>
      </c>
      <c r="E2322" t="str">
        <f>"3180400366472"</f>
        <v>0</v>
      </c>
      <c r="F2322" t="str">
        <f>"000610"</f>
        <v>0</v>
      </c>
      <c r="G2322" t="s">
        <v>21</v>
      </c>
    </row>
    <row r="2323" spans="1:7">
      <c r="A2323">
        <v>2322</v>
      </c>
      <c r="B2323" t="str">
        <f>"017541"</f>
        <v>0</v>
      </c>
      <c r="C2323" t="s">
        <v>3080</v>
      </c>
      <c r="D2323" t="s">
        <v>4117</v>
      </c>
      <c r="E2323" t="str">
        <f>"5180699009201"</f>
        <v>0</v>
      </c>
      <c r="F2323" t="str">
        <f>"000610"</f>
        <v>0</v>
      </c>
      <c r="G2323" t="s">
        <v>21</v>
      </c>
    </row>
    <row r="2324" spans="1:7">
      <c r="A2324">
        <v>2323</v>
      </c>
      <c r="B2324" t="str">
        <f>"016762"</f>
        <v>0</v>
      </c>
      <c r="C2324" t="s">
        <v>4118</v>
      </c>
      <c r="D2324" t="s">
        <v>4119</v>
      </c>
      <c r="E2324" t="str">
        <f>"3189900036275"</f>
        <v>0</v>
      </c>
      <c r="F2324" t="str">
        <f>"000610"</f>
        <v>0</v>
      </c>
      <c r="G2324" t="s">
        <v>21</v>
      </c>
    </row>
    <row r="2325" spans="1:7">
      <c r="A2325">
        <v>2324</v>
      </c>
      <c r="B2325" t="str">
        <f>"026108"</f>
        <v>0</v>
      </c>
      <c r="C2325" t="s">
        <v>3601</v>
      </c>
      <c r="D2325" t="s">
        <v>4120</v>
      </c>
      <c r="E2325" t="str">
        <f>"5900500026354"</f>
        <v>0</v>
      </c>
      <c r="F2325" t="str">
        <f>"000610"</f>
        <v>0</v>
      </c>
      <c r="G2325" t="s">
        <v>21</v>
      </c>
    </row>
    <row r="2326" spans="1:7">
      <c r="A2326">
        <v>2325</v>
      </c>
      <c r="B2326" t="str">
        <f>"021867"</f>
        <v>0</v>
      </c>
      <c r="C2326" t="s">
        <v>451</v>
      </c>
      <c r="D2326" t="s">
        <v>4121</v>
      </c>
      <c r="E2326" t="str">
        <f>"3620400344253"</f>
        <v>0</v>
      </c>
      <c r="F2326" t="str">
        <f>"000610"</f>
        <v>0</v>
      </c>
      <c r="G2326" t="s">
        <v>21</v>
      </c>
    </row>
    <row r="2327" spans="1:7">
      <c r="A2327">
        <v>2326</v>
      </c>
      <c r="B2327" t="str">
        <f>"025819"</f>
        <v>0</v>
      </c>
      <c r="C2327" t="s">
        <v>4122</v>
      </c>
      <c r="D2327" t="s">
        <v>4123</v>
      </c>
      <c r="E2327" t="str">
        <f>"1710300020815"</f>
        <v>0</v>
      </c>
      <c r="F2327" t="str">
        <f>"000610"</f>
        <v>0</v>
      </c>
      <c r="G2327" t="s">
        <v>21</v>
      </c>
    </row>
    <row r="2328" spans="1:7">
      <c r="A2328">
        <v>2327</v>
      </c>
      <c r="B2328" t="str">
        <f>"010137"</f>
        <v>0</v>
      </c>
      <c r="C2328" t="s">
        <v>4124</v>
      </c>
      <c r="D2328" t="s">
        <v>4125</v>
      </c>
      <c r="E2328" t="str">
        <f>"3180400457931"</f>
        <v>0</v>
      </c>
      <c r="F2328" t="str">
        <f>"000610"</f>
        <v>0</v>
      </c>
      <c r="G2328" t="s">
        <v>21</v>
      </c>
    </row>
    <row r="2329" spans="1:7">
      <c r="A2329">
        <v>2328</v>
      </c>
      <c r="B2329" t="str">
        <f>"010543"</f>
        <v>0</v>
      </c>
      <c r="C2329" t="s">
        <v>4126</v>
      </c>
      <c r="D2329" t="s">
        <v>4127</v>
      </c>
      <c r="E2329" t="str">
        <f>"3199800104368"</f>
        <v>0</v>
      </c>
      <c r="F2329" t="str">
        <f>"000610"</f>
        <v>0</v>
      </c>
      <c r="G2329" t="s">
        <v>21</v>
      </c>
    </row>
    <row r="2330" spans="1:7">
      <c r="A2330">
        <v>2329</v>
      </c>
      <c r="B2330" t="str">
        <f>"010604"</f>
        <v>0</v>
      </c>
      <c r="C2330" t="s">
        <v>4128</v>
      </c>
      <c r="D2330" t="s">
        <v>4129</v>
      </c>
      <c r="E2330" t="str">
        <f>"3180300405816"</f>
        <v>0</v>
      </c>
      <c r="F2330" t="str">
        <f>"000610"</f>
        <v>0</v>
      </c>
      <c r="G2330" t="s">
        <v>21</v>
      </c>
    </row>
    <row r="2331" spans="1:7">
      <c r="A2331">
        <v>2330</v>
      </c>
      <c r="B2331" t="str">
        <f>"010931"</f>
        <v>0</v>
      </c>
      <c r="C2331" t="s">
        <v>4130</v>
      </c>
      <c r="D2331" t="s">
        <v>4131</v>
      </c>
      <c r="E2331" t="str">
        <f>"3180500598286"</f>
        <v>0</v>
      </c>
      <c r="F2331" t="str">
        <f>"000610"</f>
        <v>0</v>
      </c>
      <c r="G2331" t="s">
        <v>21</v>
      </c>
    </row>
    <row r="2332" spans="1:7">
      <c r="A2332">
        <v>2331</v>
      </c>
      <c r="B2332" t="str">
        <f>"010936"</f>
        <v>0</v>
      </c>
      <c r="C2332" t="s">
        <v>1643</v>
      </c>
      <c r="D2332" t="s">
        <v>4132</v>
      </c>
      <c r="E2332" t="str">
        <f>"3180400444422"</f>
        <v>0</v>
      </c>
      <c r="F2332" t="str">
        <f>"000610"</f>
        <v>0</v>
      </c>
      <c r="G2332" t="s">
        <v>21</v>
      </c>
    </row>
    <row r="2333" spans="1:7">
      <c r="A2333">
        <v>2332</v>
      </c>
      <c r="B2333" t="str">
        <f>"011545"</f>
        <v>0</v>
      </c>
      <c r="C2333" t="s">
        <v>4133</v>
      </c>
      <c r="D2333" t="s">
        <v>4134</v>
      </c>
      <c r="E2333" t="str">
        <f>"5160199037329"</f>
        <v>0</v>
      </c>
      <c r="F2333" t="str">
        <f>"000610"</f>
        <v>0</v>
      </c>
      <c r="G2333" t="s">
        <v>21</v>
      </c>
    </row>
    <row r="2334" spans="1:7">
      <c r="A2334">
        <v>2333</v>
      </c>
      <c r="B2334" t="str">
        <f>"011696"</f>
        <v>0</v>
      </c>
      <c r="C2334" t="s">
        <v>4128</v>
      </c>
      <c r="D2334" t="s">
        <v>4065</v>
      </c>
      <c r="E2334" t="str">
        <f>"3100200461676"</f>
        <v>0</v>
      </c>
      <c r="F2334" t="str">
        <f>"000610"</f>
        <v>0</v>
      </c>
      <c r="G2334" t="s">
        <v>21</v>
      </c>
    </row>
    <row r="2335" spans="1:7">
      <c r="A2335">
        <v>2334</v>
      </c>
      <c r="B2335" t="str">
        <f>"012747"</f>
        <v>0</v>
      </c>
      <c r="C2335" t="s">
        <v>3548</v>
      </c>
      <c r="D2335" t="s">
        <v>4135</v>
      </c>
      <c r="E2335" t="str">
        <f>"3180400230074"</f>
        <v>0</v>
      </c>
      <c r="F2335" t="str">
        <f>"000610"</f>
        <v>0</v>
      </c>
      <c r="G2335" t="s">
        <v>21</v>
      </c>
    </row>
    <row r="2336" spans="1:7">
      <c r="A2336">
        <v>2335</v>
      </c>
      <c r="B2336" t="str">
        <f>"013025"</f>
        <v>0</v>
      </c>
      <c r="C2336" t="s">
        <v>4136</v>
      </c>
      <c r="D2336" t="s">
        <v>4137</v>
      </c>
      <c r="E2336" t="str">
        <f>"3170100217480"</f>
        <v>0</v>
      </c>
      <c r="F2336" t="str">
        <f>"000610"</f>
        <v>0</v>
      </c>
      <c r="G2336" t="s">
        <v>21</v>
      </c>
    </row>
    <row r="2337" spans="1:7">
      <c r="A2337">
        <v>2336</v>
      </c>
      <c r="B2337" t="str">
        <f>"013996"</f>
        <v>0</v>
      </c>
      <c r="C2337" t="s">
        <v>4138</v>
      </c>
      <c r="D2337" t="s">
        <v>4139</v>
      </c>
      <c r="E2337" t="str">
        <f>"5180100004458"</f>
        <v>0</v>
      </c>
      <c r="F2337" t="str">
        <f>"000610"</f>
        <v>0</v>
      </c>
      <c r="G2337" t="s">
        <v>21</v>
      </c>
    </row>
    <row r="2338" spans="1:7">
      <c r="A2338">
        <v>2337</v>
      </c>
      <c r="B2338" t="str">
        <f>"014376"</f>
        <v>0</v>
      </c>
      <c r="C2338" t="s">
        <v>4140</v>
      </c>
      <c r="D2338" t="s">
        <v>4141</v>
      </c>
      <c r="E2338" t="str">
        <f>"3180200034352"</f>
        <v>0</v>
      </c>
      <c r="F2338" t="str">
        <f>"000610"</f>
        <v>0</v>
      </c>
      <c r="G2338" t="s">
        <v>21</v>
      </c>
    </row>
    <row r="2339" spans="1:7">
      <c r="A2339">
        <v>2338</v>
      </c>
      <c r="B2339" t="str">
        <f>"017084"</f>
        <v>0</v>
      </c>
      <c r="C2339" t="s">
        <v>3529</v>
      </c>
      <c r="D2339" t="s">
        <v>4142</v>
      </c>
      <c r="E2339" t="str">
        <f>"3650600225975"</f>
        <v>0</v>
      </c>
      <c r="F2339" t="str">
        <f>"000610"</f>
        <v>0</v>
      </c>
      <c r="G2339" t="s">
        <v>21</v>
      </c>
    </row>
    <row r="2340" spans="1:7">
      <c r="A2340">
        <v>2339</v>
      </c>
      <c r="B2340" t="str">
        <f>"018794"</f>
        <v>0</v>
      </c>
      <c r="C2340" t="s">
        <v>3112</v>
      </c>
      <c r="D2340" t="s">
        <v>4143</v>
      </c>
      <c r="E2340" t="str">
        <f>"3959900115381"</f>
        <v>0</v>
      </c>
      <c r="F2340" t="str">
        <f>"000610"</f>
        <v>0</v>
      </c>
      <c r="G2340" t="s">
        <v>21</v>
      </c>
    </row>
    <row r="2341" spans="1:7">
      <c r="A2341">
        <v>2340</v>
      </c>
      <c r="B2341" t="str">
        <f>"020608"</f>
        <v>0</v>
      </c>
      <c r="C2341" t="s">
        <v>2417</v>
      </c>
      <c r="D2341" t="s">
        <v>4144</v>
      </c>
      <c r="E2341" t="str">
        <f>"3180400485960"</f>
        <v>0</v>
      </c>
      <c r="F2341" t="str">
        <f>"000610"</f>
        <v>0</v>
      </c>
      <c r="G2341" t="s">
        <v>21</v>
      </c>
    </row>
    <row r="2342" spans="1:7">
      <c r="A2342">
        <v>2341</v>
      </c>
      <c r="B2342" t="str">
        <f>"021002"</f>
        <v>0</v>
      </c>
      <c r="C2342" t="s">
        <v>1021</v>
      </c>
      <c r="D2342" t="s">
        <v>4145</v>
      </c>
      <c r="E2342" t="str">
        <f>"3160101214590"</f>
        <v>0</v>
      </c>
      <c r="F2342" t="str">
        <f>"000610"</f>
        <v>0</v>
      </c>
      <c r="G2342" t="s">
        <v>21</v>
      </c>
    </row>
    <row r="2343" spans="1:7">
      <c r="A2343">
        <v>2342</v>
      </c>
      <c r="B2343" t="str">
        <f>"021460"</f>
        <v>0</v>
      </c>
      <c r="C2343" t="s">
        <v>3983</v>
      </c>
      <c r="D2343" t="s">
        <v>4146</v>
      </c>
      <c r="E2343" t="str">
        <f>"3710500068044"</f>
        <v>0</v>
      </c>
      <c r="F2343" t="str">
        <f>"000610"</f>
        <v>0</v>
      </c>
      <c r="G2343" t="s">
        <v>21</v>
      </c>
    </row>
    <row r="2344" spans="1:7">
      <c r="A2344">
        <v>2343</v>
      </c>
      <c r="B2344" t="str">
        <f>"021991"</f>
        <v>0</v>
      </c>
      <c r="C2344" t="s">
        <v>4147</v>
      </c>
      <c r="D2344" t="s">
        <v>4148</v>
      </c>
      <c r="E2344" t="str">
        <f>"3609700068951"</f>
        <v>0</v>
      </c>
      <c r="F2344" t="str">
        <f>"000610"</f>
        <v>0</v>
      </c>
      <c r="G2344" t="s">
        <v>21</v>
      </c>
    </row>
    <row r="2345" spans="1:7">
      <c r="A2345">
        <v>2344</v>
      </c>
      <c r="B2345" t="str">
        <f>"022038"</f>
        <v>0</v>
      </c>
      <c r="C2345" t="s">
        <v>4149</v>
      </c>
      <c r="D2345" t="s">
        <v>4150</v>
      </c>
      <c r="E2345" t="str">
        <f>"1189900006841"</f>
        <v>0</v>
      </c>
      <c r="F2345" t="str">
        <f>"000610"</f>
        <v>0</v>
      </c>
      <c r="G2345" t="s">
        <v>21</v>
      </c>
    </row>
    <row r="2346" spans="1:7">
      <c r="A2346">
        <v>2345</v>
      </c>
      <c r="B2346" t="str">
        <f>"022322"</f>
        <v>0</v>
      </c>
      <c r="C2346" t="s">
        <v>173</v>
      </c>
      <c r="D2346" t="s">
        <v>4151</v>
      </c>
      <c r="E2346" t="str">
        <f>"3180600264592"</f>
        <v>0</v>
      </c>
      <c r="F2346" t="str">
        <f>"000610"</f>
        <v>0</v>
      </c>
      <c r="G2346" t="s">
        <v>21</v>
      </c>
    </row>
    <row r="2347" spans="1:7">
      <c r="A2347">
        <v>2346</v>
      </c>
      <c r="B2347" t="str">
        <f>"022787"</f>
        <v>0</v>
      </c>
      <c r="C2347" t="s">
        <v>4152</v>
      </c>
      <c r="D2347" t="s">
        <v>4153</v>
      </c>
      <c r="E2347" t="str">
        <f>"1189900010563"</f>
        <v>0</v>
      </c>
      <c r="F2347" t="str">
        <f>"000610"</f>
        <v>0</v>
      </c>
      <c r="G2347" t="s">
        <v>21</v>
      </c>
    </row>
    <row r="2348" spans="1:7">
      <c r="A2348">
        <v>2347</v>
      </c>
      <c r="B2348" t="str">
        <f>"024930"</f>
        <v>0</v>
      </c>
      <c r="C2348" t="s">
        <v>4154</v>
      </c>
      <c r="D2348" t="s">
        <v>4155</v>
      </c>
      <c r="E2348" t="str">
        <f>"1179900208711"</f>
        <v>0</v>
      </c>
      <c r="F2348" t="str">
        <f>"000610"</f>
        <v>0</v>
      </c>
      <c r="G2348" t="s">
        <v>21</v>
      </c>
    </row>
    <row r="2349" spans="1:7">
      <c r="A2349">
        <v>2348</v>
      </c>
      <c r="B2349" t="str">
        <f>"025513"</f>
        <v>0</v>
      </c>
      <c r="C2349" t="s">
        <v>4156</v>
      </c>
      <c r="D2349" t="s">
        <v>4157</v>
      </c>
      <c r="E2349" t="str">
        <f>"3189800031859"</f>
        <v>0</v>
      </c>
      <c r="F2349" t="str">
        <f>"000610"</f>
        <v>0</v>
      </c>
      <c r="G2349" t="s">
        <v>21</v>
      </c>
    </row>
    <row r="2350" spans="1:7">
      <c r="A2350">
        <v>2349</v>
      </c>
      <c r="B2350" t="str">
        <f>"026106"</f>
        <v>0</v>
      </c>
      <c r="C2350" t="s">
        <v>4158</v>
      </c>
      <c r="D2350" t="s">
        <v>4159</v>
      </c>
      <c r="E2350" t="str">
        <f>"1610100091663"</f>
        <v>0</v>
      </c>
      <c r="F2350" t="str">
        <f>"000610"</f>
        <v>0</v>
      </c>
      <c r="G2350" t="s">
        <v>21</v>
      </c>
    </row>
    <row r="2351" spans="1:7">
      <c r="A2351">
        <v>2350</v>
      </c>
      <c r="B2351" t="str">
        <f>"025858"</f>
        <v>0</v>
      </c>
      <c r="C2351" t="s">
        <v>4160</v>
      </c>
      <c r="D2351" t="s">
        <v>4161</v>
      </c>
      <c r="E2351" t="str">
        <f>"5550500054459"</f>
        <v>0</v>
      </c>
      <c r="F2351" t="str">
        <f>"000610"</f>
        <v>0</v>
      </c>
      <c r="G2351" t="s">
        <v>21</v>
      </c>
    </row>
    <row r="2352" spans="1:7">
      <c r="A2352">
        <v>2351</v>
      </c>
      <c r="B2352" t="str">
        <f>"022660"</f>
        <v>0</v>
      </c>
      <c r="C2352" t="s">
        <v>4162</v>
      </c>
      <c r="D2352" t="s">
        <v>4163</v>
      </c>
      <c r="E2352" t="str">
        <f>"3539900221826"</f>
        <v>0</v>
      </c>
      <c r="F2352" t="str">
        <f>"000610"</f>
        <v>0</v>
      </c>
      <c r="G2352" t="s">
        <v>21</v>
      </c>
    </row>
    <row r="2353" spans="1:7">
      <c r="A2353">
        <v>2352</v>
      </c>
      <c r="B2353" t="str">
        <f>"023819"</f>
        <v>0</v>
      </c>
      <c r="C2353" t="s">
        <v>2760</v>
      </c>
      <c r="D2353" t="s">
        <v>4164</v>
      </c>
      <c r="E2353" t="str">
        <f>"3601100125964"</f>
        <v>0</v>
      </c>
      <c r="F2353" t="str">
        <f>"000610"</f>
        <v>0</v>
      </c>
      <c r="G2353" t="s">
        <v>21</v>
      </c>
    </row>
    <row r="2354" spans="1:7">
      <c r="A2354">
        <v>2353</v>
      </c>
      <c r="B2354" t="str">
        <f>"024600"</f>
        <v>0</v>
      </c>
      <c r="C2354" t="s">
        <v>4165</v>
      </c>
      <c r="D2354" t="s">
        <v>4166</v>
      </c>
      <c r="E2354" t="str">
        <f>"3600800652192"</f>
        <v>0</v>
      </c>
      <c r="F2354" t="str">
        <f>"000610"</f>
        <v>0</v>
      </c>
      <c r="G2354" t="s">
        <v>21</v>
      </c>
    </row>
    <row r="2355" spans="1:7">
      <c r="A2355">
        <v>2354</v>
      </c>
      <c r="B2355" t="str">
        <f>"025239"</f>
        <v>0</v>
      </c>
      <c r="C2355" t="s">
        <v>4167</v>
      </c>
      <c r="D2355" t="s">
        <v>4168</v>
      </c>
      <c r="E2355" t="str">
        <f>"1600100183142"</f>
        <v>0</v>
      </c>
      <c r="F2355" t="str">
        <f>"000610"</f>
        <v>0</v>
      </c>
      <c r="G2355" t="s">
        <v>21</v>
      </c>
    </row>
    <row r="2356" spans="1:7">
      <c r="A2356">
        <v>2355</v>
      </c>
      <c r="B2356" t="str">
        <f>"026110"</f>
        <v>0</v>
      </c>
      <c r="C2356" t="s">
        <v>4169</v>
      </c>
      <c r="D2356" t="s">
        <v>4170</v>
      </c>
      <c r="E2356" t="str">
        <f>"1609700007009"</f>
        <v>0</v>
      </c>
      <c r="F2356" t="str">
        <f>"000610"</f>
        <v>0</v>
      </c>
      <c r="G2356" t="s">
        <v>21</v>
      </c>
    </row>
    <row r="2357" spans="1:7">
      <c r="A2357">
        <v>2356</v>
      </c>
      <c r="B2357" t="str">
        <f>"025241"</f>
        <v>0</v>
      </c>
      <c r="C2357" t="s">
        <v>4171</v>
      </c>
      <c r="D2357" t="s">
        <v>4172</v>
      </c>
      <c r="E2357" t="str">
        <f>"1610800016559"</f>
        <v>0</v>
      </c>
      <c r="F2357" t="str">
        <f>"000610"</f>
        <v>0</v>
      </c>
      <c r="G2357" t="s">
        <v>21</v>
      </c>
    </row>
    <row r="2358" spans="1:7">
      <c r="A2358">
        <v>2357</v>
      </c>
      <c r="B2358" t="str">
        <f>"022024"</f>
        <v>0</v>
      </c>
      <c r="C2358" t="s">
        <v>4173</v>
      </c>
      <c r="D2358" t="s">
        <v>4174</v>
      </c>
      <c r="E2358" t="str">
        <f>"3550100586597"</f>
        <v>0</v>
      </c>
      <c r="F2358" t="str">
        <f>"000610"</f>
        <v>0</v>
      </c>
      <c r="G2358" t="s">
        <v>21</v>
      </c>
    </row>
    <row r="2359" spans="1:7">
      <c r="A2359">
        <v>2358</v>
      </c>
      <c r="B2359" t="str">
        <f>"022116"</f>
        <v>0</v>
      </c>
      <c r="C2359" t="s">
        <v>4175</v>
      </c>
      <c r="D2359" t="s">
        <v>4176</v>
      </c>
      <c r="E2359" t="str">
        <f>"3180400419851"</f>
        <v>0</v>
      </c>
      <c r="F2359" t="str">
        <f>"000610"</f>
        <v>0</v>
      </c>
      <c r="G2359" t="s">
        <v>21</v>
      </c>
    </row>
    <row r="2360" spans="1:7">
      <c r="A2360">
        <v>2359</v>
      </c>
      <c r="B2360" t="str">
        <f>"025402"</f>
        <v>0</v>
      </c>
      <c r="C2360" t="s">
        <v>4177</v>
      </c>
      <c r="D2360" t="s">
        <v>4178</v>
      </c>
      <c r="E2360" t="str">
        <f>"1620490006241"</f>
        <v>0</v>
      </c>
      <c r="F2360" t="str">
        <f>"000610"</f>
        <v>0</v>
      </c>
      <c r="G2360" t="s">
        <v>21</v>
      </c>
    </row>
    <row r="2361" spans="1:7">
      <c r="A2361">
        <v>2360</v>
      </c>
      <c r="B2361" t="str">
        <f>"025403"</f>
        <v>0</v>
      </c>
      <c r="C2361" t="s">
        <v>1402</v>
      </c>
      <c r="D2361" t="s">
        <v>4179</v>
      </c>
      <c r="E2361" t="str">
        <f>"1729900007311"</f>
        <v>0</v>
      </c>
      <c r="F2361" t="str">
        <f>"000610"</f>
        <v>0</v>
      </c>
      <c r="G2361" t="s">
        <v>21</v>
      </c>
    </row>
    <row r="2362" spans="1:7">
      <c r="A2362">
        <v>2361</v>
      </c>
      <c r="B2362" t="str">
        <f>"025581"</f>
        <v>0</v>
      </c>
      <c r="C2362" t="s">
        <v>4180</v>
      </c>
      <c r="D2362" t="s">
        <v>4181</v>
      </c>
      <c r="E2362" t="str">
        <f>"1720200094027"</f>
        <v>0</v>
      </c>
      <c r="F2362" t="str">
        <f>"000610"</f>
        <v>0</v>
      </c>
      <c r="G2362" t="s">
        <v>21</v>
      </c>
    </row>
    <row r="2363" spans="1:7">
      <c r="A2363">
        <v>2362</v>
      </c>
      <c r="B2363" t="str">
        <f>"025582"</f>
        <v>0</v>
      </c>
      <c r="C2363" t="s">
        <v>4182</v>
      </c>
      <c r="D2363" t="s">
        <v>4183</v>
      </c>
      <c r="E2363" t="str">
        <f>"1101401007624"</f>
        <v>0</v>
      </c>
      <c r="F2363" t="str">
        <f>"000610"</f>
        <v>0</v>
      </c>
      <c r="G2363" t="s">
        <v>21</v>
      </c>
    </row>
    <row r="2364" spans="1:7">
      <c r="A2364">
        <v>2363</v>
      </c>
      <c r="B2364" t="str">
        <f>"026309"</f>
        <v>0</v>
      </c>
      <c r="C2364" t="s">
        <v>4184</v>
      </c>
      <c r="D2364" t="s">
        <v>4185</v>
      </c>
      <c r="E2364" t="str">
        <f>"1729800078179"</f>
        <v>0</v>
      </c>
      <c r="F2364" t="str">
        <f>"000610"</f>
        <v>0</v>
      </c>
      <c r="G2364" t="s">
        <v>21</v>
      </c>
    </row>
    <row r="2365" spans="1:7">
      <c r="A2365">
        <v>2364</v>
      </c>
      <c r="B2365" t="str">
        <f>"026310"</f>
        <v>0</v>
      </c>
      <c r="C2365" t="s">
        <v>4186</v>
      </c>
      <c r="D2365" t="s">
        <v>4187</v>
      </c>
      <c r="E2365" t="str">
        <f>"1730200159137"</f>
        <v>0</v>
      </c>
      <c r="F2365" t="str">
        <f>"000610"</f>
        <v>0</v>
      </c>
      <c r="G2365" t="s">
        <v>21</v>
      </c>
    </row>
    <row r="2366" spans="1:7">
      <c r="A2366">
        <v>2365</v>
      </c>
      <c r="B2366" t="str">
        <f>"027096"</f>
        <v>0</v>
      </c>
      <c r="C2366" t="s">
        <v>4188</v>
      </c>
      <c r="D2366" t="s">
        <v>4189</v>
      </c>
      <c r="E2366" t="str">
        <f>"1909900335961"</f>
        <v>0</v>
      </c>
      <c r="F2366" t="str">
        <f>"000610"</f>
        <v>0</v>
      </c>
      <c r="G2366" t="s">
        <v>21</v>
      </c>
    </row>
    <row r="2367" spans="1:7">
      <c r="A2367">
        <v>2366</v>
      </c>
      <c r="B2367" t="str">
        <f>"017234"</f>
        <v>0</v>
      </c>
      <c r="C2367" t="s">
        <v>927</v>
      </c>
      <c r="D2367" t="s">
        <v>4190</v>
      </c>
      <c r="E2367" t="str">
        <f>"3102101179869"</f>
        <v>0</v>
      </c>
      <c r="F2367" t="str">
        <f>"000610"</f>
        <v>0</v>
      </c>
      <c r="G2367" t="s">
        <v>21</v>
      </c>
    </row>
    <row r="2368" spans="1:7">
      <c r="A2368">
        <v>2367</v>
      </c>
      <c r="B2368" t="str">
        <f>"021626"</f>
        <v>0</v>
      </c>
      <c r="C2368" t="s">
        <v>4191</v>
      </c>
      <c r="D2368" t="s">
        <v>4192</v>
      </c>
      <c r="E2368" t="str">
        <f>"3150100094485"</f>
        <v>0</v>
      </c>
      <c r="F2368" t="str">
        <f>"000610"</f>
        <v>0</v>
      </c>
      <c r="G2368" t="s">
        <v>21</v>
      </c>
    </row>
    <row r="2369" spans="1:7">
      <c r="A2369">
        <v>2368</v>
      </c>
      <c r="B2369" t="str">
        <f>"012456"</f>
        <v>0</v>
      </c>
      <c r="C2369" t="s">
        <v>4193</v>
      </c>
      <c r="D2369" t="s">
        <v>4194</v>
      </c>
      <c r="E2369" t="str">
        <f>"3189900019711"</f>
        <v>0</v>
      </c>
      <c r="F2369" t="str">
        <f>"000610"</f>
        <v>0</v>
      </c>
      <c r="G2369" t="s">
        <v>21</v>
      </c>
    </row>
    <row r="2370" spans="1:7">
      <c r="A2370">
        <v>2369</v>
      </c>
      <c r="B2370" t="str">
        <f>"012984"</f>
        <v>0</v>
      </c>
      <c r="C2370" t="s">
        <v>4195</v>
      </c>
      <c r="D2370" t="s">
        <v>4196</v>
      </c>
      <c r="E2370" t="str">
        <f>"3180400253996"</f>
        <v>0</v>
      </c>
      <c r="F2370" t="str">
        <f>"000610"</f>
        <v>0</v>
      </c>
      <c r="G2370" t="s">
        <v>21</v>
      </c>
    </row>
    <row r="2371" spans="1:7">
      <c r="A2371">
        <v>2370</v>
      </c>
      <c r="B2371" t="str">
        <f>"015057"</f>
        <v>0</v>
      </c>
      <c r="C2371" t="s">
        <v>4197</v>
      </c>
      <c r="D2371" t="s">
        <v>4198</v>
      </c>
      <c r="E2371" t="str">
        <f>"3180400254186"</f>
        <v>0</v>
      </c>
      <c r="F2371" t="str">
        <f>"000610"</f>
        <v>0</v>
      </c>
      <c r="G2371" t="s">
        <v>21</v>
      </c>
    </row>
    <row r="2372" spans="1:7">
      <c r="A2372">
        <v>2371</v>
      </c>
      <c r="B2372" t="str">
        <f>"015697"</f>
        <v>0</v>
      </c>
      <c r="C2372" t="s">
        <v>4199</v>
      </c>
      <c r="D2372" t="s">
        <v>4200</v>
      </c>
      <c r="E2372" t="str">
        <f>"3180500245847"</f>
        <v>0</v>
      </c>
      <c r="F2372" t="str">
        <f>"000610"</f>
        <v>0</v>
      </c>
      <c r="G2372" t="s">
        <v>21</v>
      </c>
    </row>
    <row r="2373" spans="1:7">
      <c r="A2373">
        <v>2372</v>
      </c>
      <c r="B2373" t="str">
        <f>"016402"</f>
        <v>0</v>
      </c>
      <c r="C2373" t="s">
        <v>4201</v>
      </c>
      <c r="D2373" t="s">
        <v>4202</v>
      </c>
      <c r="E2373" t="str">
        <f>"3560100397051"</f>
        <v>0</v>
      </c>
      <c r="F2373" t="str">
        <f>"000610"</f>
        <v>0</v>
      </c>
      <c r="G2373" t="s">
        <v>21</v>
      </c>
    </row>
    <row r="2374" spans="1:7">
      <c r="A2374">
        <v>2373</v>
      </c>
      <c r="B2374" t="str">
        <f>"017904"</f>
        <v>0</v>
      </c>
      <c r="C2374" t="s">
        <v>4203</v>
      </c>
      <c r="D2374" t="s">
        <v>4204</v>
      </c>
      <c r="E2374" t="str">
        <f>"3180400254453"</f>
        <v>0</v>
      </c>
      <c r="F2374" t="str">
        <f>"000610"</f>
        <v>0</v>
      </c>
      <c r="G2374" t="s">
        <v>21</v>
      </c>
    </row>
    <row r="2375" spans="1:7">
      <c r="A2375">
        <v>2374</v>
      </c>
      <c r="B2375" t="str">
        <f>"019099"</f>
        <v>0</v>
      </c>
      <c r="C2375" t="s">
        <v>4205</v>
      </c>
      <c r="D2375" t="s">
        <v>4206</v>
      </c>
      <c r="E2375" t="str">
        <f>"3180100150598"</f>
        <v>0</v>
      </c>
      <c r="F2375" t="str">
        <f>"000610"</f>
        <v>0</v>
      </c>
      <c r="G2375" t="s">
        <v>21</v>
      </c>
    </row>
    <row r="2376" spans="1:7">
      <c r="A2376">
        <v>2375</v>
      </c>
      <c r="B2376" t="str">
        <f>"020401"</f>
        <v>0</v>
      </c>
      <c r="C2376" t="s">
        <v>3491</v>
      </c>
      <c r="D2376" t="s">
        <v>4207</v>
      </c>
      <c r="E2376" t="str">
        <f>"3189900025770"</f>
        <v>0</v>
      </c>
      <c r="F2376" t="str">
        <f>"000610"</f>
        <v>0</v>
      </c>
      <c r="G2376" t="s">
        <v>21</v>
      </c>
    </row>
    <row r="2377" spans="1:7">
      <c r="A2377">
        <v>2376</v>
      </c>
      <c r="B2377" t="str">
        <f>"022254"</f>
        <v>0</v>
      </c>
      <c r="C2377" t="s">
        <v>4208</v>
      </c>
      <c r="D2377" t="s">
        <v>4209</v>
      </c>
      <c r="E2377" t="str">
        <f>"3180600569571"</f>
        <v>0</v>
      </c>
      <c r="F2377" t="str">
        <f>"000610"</f>
        <v>0</v>
      </c>
      <c r="G2377" t="s">
        <v>21</v>
      </c>
    </row>
    <row r="2378" spans="1:7">
      <c r="A2378">
        <v>2377</v>
      </c>
      <c r="B2378" t="str">
        <f>"023987"</f>
        <v>0</v>
      </c>
      <c r="C2378" t="s">
        <v>4210</v>
      </c>
      <c r="D2378" t="s">
        <v>4211</v>
      </c>
      <c r="E2378" t="str">
        <f>"3300400376107"</f>
        <v>0</v>
      </c>
      <c r="F2378" t="str">
        <f>"000610"</f>
        <v>0</v>
      </c>
      <c r="G2378" t="s">
        <v>21</v>
      </c>
    </row>
    <row r="2379" spans="1:7">
      <c r="A2379">
        <v>2378</v>
      </c>
      <c r="B2379" t="str">
        <f>"026312"</f>
        <v>0</v>
      </c>
      <c r="C2379" t="s">
        <v>36</v>
      </c>
      <c r="D2379" t="s">
        <v>4212</v>
      </c>
      <c r="E2379" t="str">
        <f>"1189900054765"</f>
        <v>0</v>
      </c>
      <c r="F2379" t="str">
        <f>"000610"</f>
        <v>0</v>
      </c>
      <c r="G2379" t="s">
        <v>21</v>
      </c>
    </row>
    <row r="2380" spans="1:7">
      <c r="A2380">
        <v>2379</v>
      </c>
      <c r="B2380" t="str">
        <f>"018955"</f>
        <v>0</v>
      </c>
      <c r="C2380" t="s">
        <v>2331</v>
      </c>
      <c r="D2380" t="s">
        <v>4213</v>
      </c>
      <c r="E2380" t="str">
        <f>"2180600001143"</f>
        <v>0</v>
      </c>
      <c r="F2380" t="str">
        <f>"000610"</f>
        <v>0</v>
      </c>
      <c r="G2380" t="s">
        <v>21</v>
      </c>
    </row>
    <row r="2381" spans="1:7">
      <c r="A2381">
        <v>2380</v>
      </c>
      <c r="B2381" t="str">
        <f>"023674"</f>
        <v>0</v>
      </c>
      <c r="C2381" t="s">
        <v>4214</v>
      </c>
      <c r="D2381" t="s">
        <v>4215</v>
      </c>
      <c r="E2381" t="str">
        <f>"3440900353164"</f>
        <v>0</v>
      </c>
      <c r="F2381" t="str">
        <f>"000610"</f>
        <v>0</v>
      </c>
      <c r="G2381" t="s">
        <v>21</v>
      </c>
    </row>
    <row r="2382" spans="1:7">
      <c r="A2382">
        <v>2381</v>
      </c>
      <c r="B2382" t="str">
        <f>"015393"</f>
        <v>0</v>
      </c>
      <c r="C2382" t="s">
        <v>389</v>
      </c>
      <c r="D2382" t="s">
        <v>4216</v>
      </c>
      <c r="E2382" t="str">
        <f>"3660600519570"</f>
        <v>0</v>
      </c>
      <c r="F2382" t="str">
        <f>"000610"</f>
        <v>0</v>
      </c>
      <c r="G2382" t="s">
        <v>21</v>
      </c>
    </row>
    <row r="2383" spans="1:7">
      <c r="A2383">
        <v>2382</v>
      </c>
      <c r="B2383" t="str">
        <f>"023168"</f>
        <v>0</v>
      </c>
      <c r="C2383" t="s">
        <v>4217</v>
      </c>
      <c r="D2383" t="s">
        <v>4218</v>
      </c>
      <c r="E2383" t="str">
        <f>"1520600003551"</f>
        <v>0</v>
      </c>
      <c r="F2383" t="str">
        <f>"000610"</f>
        <v>0</v>
      </c>
      <c r="G2383" t="s">
        <v>21</v>
      </c>
    </row>
    <row r="2384" spans="1:7">
      <c r="A2384">
        <v>2383</v>
      </c>
      <c r="B2384" t="str">
        <f>"026656"</f>
        <v>0</v>
      </c>
      <c r="C2384" t="s">
        <v>4219</v>
      </c>
      <c r="D2384" t="s">
        <v>4220</v>
      </c>
      <c r="E2384" t="str">
        <f>"1601100010036"</f>
        <v>0</v>
      </c>
      <c r="F2384" t="str">
        <f>"000610"</f>
        <v>0</v>
      </c>
      <c r="G2384" t="s">
        <v>21</v>
      </c>
    </row>
    <row r="2385" spans="1:7">
      <c r="A2385">
        <v>2384</v>
      </c>
      <c r="B2385" t="str">
        <f>"012702"</f>
        <v>0</v>
      </c>
      <c r="C2385" t="s">
        <v>311</v>
      </c>
      <c r="D2385" t="s">
        <v>4221</v>
      </c>
      <c r="E2385" t="str">
        <f>"3610200105140"</f>
        <v>0</v>
      </c>
      <c r="F2385" t="str">
        <f>"000610"</f>
        <v>0</v>
      </c>
      <c r="G2385" t="s">
        <v>21</v>
      </c>
    </row>
    <row r="2386" spans="1:7">
      <c r="A2386">
        <v>2385</v>
      </c>
      <c r="B2386" t="str">
        <f>"015236"</f>
        <v>0</v>
      </c>
      <c r="C2386" t="s">
        <v>3987</v>
      </c>
      <c r="D2386" t="s">
        <v>4222</v>
      </c>
      <c r="E2386" t="str">
        <f>"3610300015568"</f>
        <v>0</v>
      </c>
      <c r="F2386" t="str">
        <f>"000610"</f>
        <v>0</v>
      </c>
      <c r="G2386" t="s">
        <v>21</v>
      </c>
    </row>
    <row r="2387" spans="1:7">
      <c r="A2387">
        <v>2386</v>
      </c>
      <c r="B2387" t="str">
        <f>"020735"</f>
        <v>0</v>
      </c>
      <c r="C2387" t="s">
        <v>4223</v>
      </c>
      <c r="D2387" t="s">
        <v>4224</v>
      </c>
      <c r="E2387" t="str">
        <f>"3400900006979"</f>
        <v>0</v>
      </c>
      <c r="F2387" t="str">
        <f>"000610"</f>
        <v>0</v>
      </c>
      <c r="G2387" t="s">
        <v>21</v>
      </c>
    </row>
    <row r="2388" spans="1:7">
      <c r="A2388">
        <v>2387</v>
      </c>
      <c r="B2388" t="str">
        <f>"016104"</f>
        <v>0</v>
      </c>
      <c r="C2388" t="s">
        <v>4225</v>
      </c>
      <c r="D2388" t="s">
        <v>4226</v>
      </c>
      <c r="E2388" t="str">
        <f>"3720400487126"</f>
        <v>0</v>
      </c>
      <c r="F2388" t="str">
        <f>"000610"</f>
        <v>0</v>
      </c>
      <c r="G2388" t="s">
        <v>21</v>
      </c>
    </row>
    <row r="2389" spans="1:7">
      <c r="A2389">
        <v>2388</v>
      </c>
      <c r="B2389" t="str">
        <f>"026311"</f>
        <v>0</v>
      </c>
      <c r="C2389" t="s">
        <v>433</v>
      </c>
      <c r="D2389" t="s">
        <v>65</v>
      </c>
      <c r="E2389" t="str">
        <f>"1909800373560"</f>
        <v>0</v>
      </c>
      <c r="F2389" t="str">
        <f>"000610"</f>
        <v>0</v>
      </c>
      <c r="G2389" t="s">
        <v>21</v>
      </c>
    </row>
    <row r="2390" spans="1:7">
      <c r="A2390">
        <v>2389</v>
      </c>
      <c r="B2390" t="str">
        <f>"016935"</f>
        <v>0</v>
      </c>
      <c r="C2390" t="s">
        <v>4227</v>
      </c>
      <c r="D2390" t="s">
        <v>75</v>
      </c>
      <c r="E2390" t="str">
        <f>"3130200166810"</f>
        <v>0</v>
      </c>
      <c r="F2390" t="str">
        <f>"000610"</f>
        <v>0</v>
      </c>
      <c r="G2390" t="s">
        <v>21</v>
      </c>
    </row>
    <row r="2391" spans="1:7">
      <c r="A2391">
        <v>2390</v>
      </c>
      <c r="B2391" t="str">
        <f>"015619"</f>
        <v>0</v>
      </c>
      <c r="C2391" t="s">
        <v>411</v>
      </c>
      <c r="D2391" t="s">
        <v>4228</v>
      </c>
      <c r="E2391" t="str">
        <f>"3189900036097"</f>
        <v>0</v>
      </c>
      <c r="F2391" t="str">
        <f>"000610"</f>
        <v>0</v>
      </c>
      <c r="G2391" t="s">
        <v>21</v>
      </c>
    </row>
    <row r="2392" spans="1:7">
      <c r="A2392">
        <v>2391</v>
      </c>
      <c r="B2392" t="str">
        <f>"016934"</f>
        <v>0</v>
      </c>
      <c r="C2392" t="s">
        <v>4229</v>
      </c>
      <c r="D2392" t="s">
        <v>4230</v>
      </c>
      <c r="E2392" t="str">
        <f>"3180100223170"</f>
        <v>0</v>
      </c>
      <c r="F2392" t="str">
        <f>"000610"</f>
        <v>0</v>
      </c>
      <c r="G2392" t="s">
        <v>21</v>
      </c>
    </row>
    <row r="2393" spans="1:7">
      <c r="A2393">
        <v>2392</v>
      </c>
      <c r="B2393" t="str">
        <f>"017433"</f>
        <v>0</v>
      </c>
      <c r="C2393" t="s">
        <v>3841</v>
      </c>
      <c r="D2393" t="s">
        <v>4231</v>
      </c>
      <c r="E2393" t="str">
        <f>"3600900597169"</f>
        <v>0</v>
      </c>
      <c r="F2393" t="str">
        <f>"000610"</f>
        <v>0</v>
      </c>
      <c r="G2393" t="s">
        <v>21</v>
      </c>
    </row>
    <row r="2394" spans="1:7">
      <c r="A2394">
        <v>2393</v>
      </c>
      <c r="B2394" t="str">
        <f>"019692"</f>
        <v>0</v>
      </c>
      <c r="C2394" t="s">
        <v>955</v>
      </c>
      <c r="D2394" t="s">
        <v>4232</v>
      </c>
      <c r="E2394" t="str">
        <f>"3600900518935"</f>
        <v>0</v>
      </c>
      <c r="F2394" t="str">
        <f>"000610"</f>
        <v>0</v>
      </c>
      <c r="G2394" t="s">
        <v>21</v>
      </c>
    </row>
    <row r="2395" spans="1:7">
      <c r="A2395">
        <v>2394</v>
      </c>
      <c r="B2395" t="str">
        <f>"019751"</f>
        <v>0</v>
      </c>
      <c r="C2395" t="s">
        <v>4233</v>
      </c>
      <c r="D2395" t="s">
        <v>4234</v>
      </c>
      <c r="E2395" t="str">
        <f>"3180100220031"</f>
        <v>0</v>
      </c>
      <c r="F2395" t="str">
        <f>"000610"</f>
        <v>0</v>
      </c>
      <c r="G2395" t="s">
        <v>21</v>
      </c>
    </row>
    <row r="2396" spans="1:7">
      <c r="A2396">
        <v>2395</v>
      </c>
      <c r="B2396" t="str">
        <f>"020499"</f>
        <v>0</v>
      </c>
      <c r="C2396" t="s">
        <v>3812</v>
      </c>
      <c r="D2396" t="s">
        <v>4235</v>
      </c>
      <c r="E2396" t="str">
        <f>"3189900037824"</f>
        <v>0</v>
      </c>
      <c r="F2396" t="str">
        <f>"000610"</f>
        <v>0</v>
      </c>
      <c r="G2396" t="s">
        <v>21</v>
      </c>
    </row>
    <row r="2397" spans="1:7">
      <c r="A2397">
        <v>2396</v>
      </c>
      <c r="B2397" t="str">
        <f>"021153"</f>
        <v>0</v>
      </c>
      <c r="C2397" t="s">
        <v>3837</v>
      </c>
      <c r="D2397" t="s">
        <v>4236</v>
      </c>
      <c r="E2397" t="str">
        <f>"3720900161939"</f>
        <v>0</v>
      </c>
      <c r="F2397" t="str">
        <f>"000610"</f>
        <v>0</v>
      </c>
      <c r="G2397" t="s">
        <v>21</v>
      </c>
    </row>
    <row r="2398" spans="1:7">
      <c r="A2398">
        <v>2397</v>
      </c>
      <c r="B2398" t="str">
        <f>"021273"</f>
        <v>0</v>
      </c>
      <c r="C2398" t="s">
        <v>935</v>
      </c>
      <c r="D2398" t="s">
        <v>4237</v>
      </c>
      <c r="E2398" t="str">
        <f>"3189900088666"</f>
        <v>0</v>
      </c>
      <c r="F2398" t="str">
        <f>"000610"</f>
        <v>0</v>
      </c>
      <c r="G2398" t="s">
        <v>21</v>
      </c>
    </row>
    <row r="2399" spans="1:7">
      <c r="A2399">
        <v>2398</v>
      </c>
      <c r="B2399" t="str">
        <f>"024474"</f>
        <v>0</v>
      </c>
      <c r="C2399" t="s">
        <v>4238</v>
      </c>
      <c r="D2399" t="s">
        <v>4239</v>
      </c>
      <c r="E2399" t="str">
        <f>"3180400254224"</f>
        <v>0</v>
      </c>
      <c r="F2399" t="str">
        <f>"000610"</f>
        <v>0</v>
      </c>
      <c r="G2399" t="s">
        <v>21</v>
      </c>
    </row>
    <row r="2400" spans="1:7">
      <c r="A2400">
        <v>2399</v>
      </c>
      <c r="B2400" t="str">
        <f>"024528"</f>
        <v>0</v>
      </c>
      <c r="C2400" t="s">
        <v>4240</v>
      </c>
      <c r="D2400" t="s">
        <v>4075</v>
      </c>
      <c r="E2400" t="str">
        <f>"1309900094145"</f>
        <v>0</v>
      </c>
      <c r="F2400" t="str">
        <f>"000610"</f>
        <v>0</v>
      </c>
      <c r="G2400" t="s">
        <v>21</v>
      </c>
    </row>
    <row r="2401" spans="1:7">
      <c r="A2401">
        <v>2400</v>
      </c>
      <c r="B2401" t="str">
        <f>"013889"</f>
        <v>0</v>
      </c>
      <c r="C2401" t="s">
        <v>4241</v>
      </c>
      <c r="D2401" t="s">
        <v>4242</v>
      </c>
      <c r="E2401" t="str">
        <f>"3500600252612"</f>
        <v>0</v>
      </c>
      <c r="F2401" t="str">
        <f>"000610"</f>
        <v>0</v>
      </c>
      <c r="G2401" t="s">
        <v>21</v>
      </c>
    </row>
    <row r="2402" spans="1:7">
      <c r="A2402">
        <v>2401</v>
      </c>
      <c r="B2402" t="str">
        <f>"000540"</f>
        <v>0</v>
      </c>
      <c r="C2402" t="s">
        <v>4243</v>
      </c>
      <c r="D2402" t="s">
        <v>4244</v>
      </c>
      <c r="E2402" t="str">
        <f>"3369900114533"</f>
        <v>0</v>
      </c>
      <c r="F2402" t="str">
        <f>"000650"</f>
        <v>0</v>
      </c>
      <c r="G2402" t="s">
        <v>21</v>
      </c>
    </row>
    <row r="2403" spans="1:7">
      <c r="A2403">
        <v>2402</v>
      </c>
      <c r="B2403" t="str">
        <f>"001166"</f>
        <v>0</v>
      </c>
      <c r="C2403" t="s">
        <v>98</v>
      </c>
      <c r="D2403" t="s">
        <v>4245</v>
      </c>
      <c r="E2403" t="str">
        <f>"3361000204237"</f>
        <v>0</v>
      </c>
      <c r="F2403" t="str">
        <f>"000650"</f>
        <v>0</v>
      </c>
      <c r="G2403" t="s">
        <v>21</v>
      </c>
    </row>
    <row r="2404" spans="1:7">
      <c r="A2404">
        <v>2403</v>
      </c>
      <c r="B2404" t="str">
        <f>"001168"</f>
        <v>0</v>
      </c>
      <c r="C2404" t="s">
        <v>4246</v>
      </c>
      <c r="D2404" t="s">
        <v>4247</v>
      </c>
      <c r="E2404" t="str">
        <f>"3361300021294"</f>
        <v>0</v>
      </c>
      <c r="F2404" t="str">
        <f>"000650"</f>
        <v>0</v>
      </c>
      <c r="G2404" t="s">
        <v>21</v>
      </c>
    </row>
    <row r="2405" spans="1:7">
      <c r="A2405">
        <v>2404</v>
      </c>
      <c r="B2405" t="str">
        <f>"002232"</f>
        <v>0</v>
      </c>
      <c r="C2405" t="s">
        <v>953</v>
      </c>
      <c r="D2405" t="s">
        <v>4248</v>
      </c>
      <c r="E2405" t="str">
        <f>"3361000181296"</f>
        <v>0</v>
      </c>
      <c r="F2405" t="str">
        <f>"000650"</f>
        <v>0</v>
      </c>
      <c r="G2405" t="s">
        <v>21</v>
      </c>
    </row>
    <row r="2406" spans="1:7">
      <c r="A2406">
        <v>2405</v>
      </c>
      <c r="B2406" t="str">
        <f>"002499"</f>
        <v>0</v>
      </c>
      <c r="C2406" t="s">
        <v>4249</v>
      </c>
      <c r="D2406" t="s">
        <v>4250</v>
      </c>
      <c r="E2406" t="str">
        <f>"3360100057111"</f>
        <v>0</v>
      </c>
      <c r="F2406" t="str">
        <f>"000650"</f>
        <v>0</v>
      </c>
      <c r="G2406" t="s">
        <v>21</v>
      </c>
    </row>
    <row r="2407" spans="1:7">
      <c r="A2407">
        <v>2406</v>
      </c>
      <c r="B2407" t="str">
        <f>"002834"</f>
        <v>0</v>
      </c>
      <c r="C2407" t="s">
        <v>4251</v>
      </c>
      <c r="D2407" t="s">
        <v>4252</v>
      </c>
      <c r="E2407" t="str">
        <f>"3360400182477"</f>
        <v>0</v>
      </c>
      <c r="F2407" t="str">
        <f>"000650"</f>
        <v>0</v>
      </c>
      <c r="G2407" t="s">
        <v>21</v>
      </c>
    </row>
    <row r="2408" spans="1:7">
      <c r="A2408">
        <v>2407</v>
      </c>
      <c r="B2408" t="str">
        <f>"002885"</f>
        <v>0</v>
      </c>
      <c r="C2408" t="s">
        <v>4253</v>
      </c>
      <c r="D2408" t="s">
        <v>4254</v>
      </c>
      <c r="E2408" t="str">
        <f>"5361000011508"</f>
        <v>0</v>
      </c>
      <c r="F2408" t="str">
        <f>"000650"</f>
        <v>0</v>
      </c>
      <c r="G2408" t="s">
        <v>21</v>
      </c>
    </row>
    <row r="2409" spans="1:7">
      <c r="A2409">
        <v>2408</v>
      </c>
      <c r="B2409" t="str">
        <f>"004186"</f>
        <v>0</v>
      </c>
      <c r="C2409" t="s">
        <v>4255</v>
      </c>
      <c r="D2409" t="s">
        <v>4256</v>
      </c>
      <c r="E2409" t="str">
        <f>"3360500271609"</f>
        <v>0</v>
      </c>
      <c r="F2409" t="str">
        <f>"000650"</f>
        <v>0</v>
      </c>
      <c r="G2409" t="s">
        <v>21</v>
      </c>
    </row>
    <row r="2410" spans="1:7">
      <c r="A2410">
        <v>2409</v>
      </c>
      <c r="B2410" t="str">
        <f>"004446"</f>
        <v>0</v>
      </c>
      <c r="C2410" t="s">
        <v>4257</v>
      </c>
      <c r="D2410" t="s">
        <v>4258</v>
      </c>
      <c r="E2410" t="str">
        <f>"3361000184864"</f>
        <v>0</v>
      </c>
      <c r="F2410" t="str">
        <f>"000650"</f>
        <v>0</v>
      </c>
      <c r="G2410" t="s">
        <v>21</v>
      </c>
    </row>
    <row r="2411" spans="1:7">
      <c r="A2411">
        <v>2410</v>
      </c>
      <c r="B2411" t="str">
        <f>"004651"</f>
        <v>0</v>
      </c>
      <c r="C2411" t="s">
        <v>3082</v>
      </c>
      <c r="D2411" t="s">
        <v>4244</v>
      </c>
      <c r="E2411" t="str">
        <f>"3369900114550"</f>
        <v>0</v>
      </c>
      <c r="F2411" t="str">
        <f>"000650"</f>
        <v>0</v>
      </c>
      <c r="G2411" t="s">
        <v>21</v>
      </c>
    </row>
    <row r="2412" spans="1:7">
      <c r="A2412">
        <v>2411</v>
      </c>
      <c r="B2412" t="str">
        <f>"005071"</f>
        <v>0</v>
      </c>
      <c r="C2412" t="s">
        <v>4259</v>
      </c>
      <c r="D2412" t="s">
        <v>4260</v>
      </c>
      <c r="E2412" t="str">
        <f>"3360100009052"</f>
        <v>0</v>
      </c>
      <c r="F2412" t="str">
        <f>"000650"</f>
        <v>0</v>
      </c>
      <c r="G2412" t="s">
        <v>21</v>
      </c>
    </row>
    <row r="2413" spans="1:7">
      <c r="A2413">
        <v>2412</v>
      </c>
      <c r="B2413" t="str">
        <f>"005072"</f>
        <v>0</v>
      </c>
      <c r="C2413" t="s">
        <v>2103</v>
      </c>
      <c r="D2413" t="s">
        <v>4261</v>
      </c>
      <c r="E2413" t="str">
        <f>"5360600051976"</f>
        <v>0</v>
      </c>
      <c r="F2413" t="str">
        <f>"000650"</f>
        <v>0</v>
      </c>
      <c r="G2413" t="s">
        <v>21</v>
      </c>
    </row>
    <row r="2414" spans="1:7">
      <c r="A2414">
        <v>2413</v>
      </c>
      <c r="B2414" t="str">
        <f>"005089"</f>
        <v>0</v>
      </c>
      <c r="C2414" t="s">
        <v>4262</v>
      </c>
      <c r="D2414" t="s">
        <v>4263</v>
      </c>
      <c r="E2414" t="str">
        <f>"3360300116057"</f>
        <v>0</v>
      </c>
      <c r="F2414" t="str">
        <f>"000650"</f>
        <v>0</v>
      </c>
      <c r="G2414" t="s">
        <v>21</v>
      </c>
    </row>
    <row r="2415" spans="1:7">
      <c r="A2415">
        <v>2414</v>
      </c>
      <c r="B2415" t="str">
        <f>"005395"</f>
        <v>0</v>
      </c>
      <c r="C2415" t="s">
        <v>4264</v>
      </c>
      <c r="D2415" t="s">
        <v>4265</v>
      </c>
      <c r="E2415" t="str">
        <f>"3309900262087"</f>
        <v>0</v>
      </c>
      <c r="F2415" t="str">
        <f>"000650"</f>
        <v>0</v>
      </c>
      <c r="G2415" t="s">
        <v>21</v>
      </c>
    </row>
    <row r="2416" spans="1:7">
      <c r="A2416">
        <v>2415</v>
      </c>
      <c r="B2416" t="str">
        <f>"005888"</f>
        <v>0</v>
      </c>
      <c r="C2416" t="s">
        <v>370</v>
      </c>
      <c r="D2416" t="s">
        <v>4266</v>
      </c>
      <c r="E2416" t="str">
        <f>"3470400044227"</f>
        <v>0</v>
      </c>
      <c r="F2416" t="str">
        <f>"000650"</f>
        <v>0</v>
      </c>
      <c r="G2416" t="s">
        <v>21</v>
      </c>
    </row>
    <row r="2417" spans="1:7">
      <c r="A2417">
        <v>2416</v>
      </c>
      <c r="B2417" t="str">
        <f>"005968"</f>
        <v>0</v>
      </c>
      <c r="C2417" t="s">
        <v>4267</v>
      </c>
      <c r="D2417" t="s">
        <v>4268</v>
      </c>
      <c r="E2417" t="str">
        <f>"3360101485168"</f>
        <v>0</v>
      </c>
      <c r="F2417" t="str">
        <f>"000650"</f>
        <v>0</v>
      </c>
      <c r="G2417" t="s">
        <v>21</v>
      </c>
    </row>
    <row r="2418" spans="1:7">
      <c r="A2418">
        <v>2417</v>
      </c>
      <c r="B2418" t="str">
        <f>"006103"</f>
        <v>0</v>
      </c>
      <c r="C2418" t="s">
        <v>4269</v>
      </c>
      <c r="D2418" t="s">
        <v>4270</v>
      </c>
      <c r="E2418" t="str">
        <f>"3360100108379"</f>
        <v>0</v>
      </c>
      <c r="F2418" t="str">
        <f>"000650"</f>
        <v>0</v>
      </c>
      <c r="G2418" t="s">
        <v>21</v>
      </c>
    </row>
    <row r="2419" spans="1:7">
      <c r="A2419">
        <v>2418</v>
      </c>
      <c r="B2419" t="str">
        <f>"006106"</f>
        <v>0</v>
      </c>
      <c r="C2419" t="s">
        <v>4271</v>
      </c>
      <c r="D2419" t="s">
        <v>4272</v>
      </c>
      <c r="E2419" t="str">
        <f>"3670600359475"</f>
        <v>0</v>
      </c>
      <c r="F2419" t="str">
        <f>"000650"</f>
        <v>0</v>
      </c>
      <c r="G2419" t="s">
        <v>21</v>
      </c>
    </row>
    <row r="2420" spans="1:7">
      <c r="A2420">
        <v>2419</v>
      </c>
      <c r="B2420" t="str">
        <f>"006245"</f>
        <v>0</v>
      </c>
      <c r="C2420" t="s">
        <v>2948</v>
      </c>
      <c r="D2420" t="s">
        <v>4273</v>
      </c>
      <c r="E2420" t="str">
        <f>"3360600602968"</f>
        <v>0</v>
      </c>
      <c r="F2420" t="str">
        <f>"000650"</f>
        <v>0</v>
      </c>
      <c r="G2420" t="s">
        <v>21</v>
      </c>
    </row>
    <row r="2421" spans="1:7">
      <c r="A2421">
        <v>2420</v>
      </c>
      <c r="B2421" t="str">
        <f>"006444"</f>
        <v>0</v>
      </c>
      <c r="C2421" t="s">
        <v>4274</v>
      </c>
      <c r="D2421" t="s">
        <v>4275</v>
      </c>
      <c r="E2421" t="str">
        <f>"3360101110539"</f>
        <v>0</v>
      </c>
      <c r="F2421" t="str">
        <f>"000650"</f>
        <v>0</v>
      </c>
      <c r="G2421" t="s">
        <v>21</v>
      </c>
    </row>
    <row r="2422" spans="1:7">
      <c r="A2422">
        <v>2421</v>
      </c>
      <c r="B2422" t="str">
        <f>"006545"</f>
        <v>0</v>
      </c>
      <c r="C2422" t="s">
        <v>4276</v>
      </c>
      <c r="D2422" t="s">
        <v>4277</v>
      </c>
      <c r="E2422" t="str">
        <f>"3360600602984"</f>
        <v>0</v>
      </c>
      <c r="F2422" t="str">
        <f>"000650"</f>
        <v>0</v>
      </c>
      <c r="G2422" t="s">
        <v>21</v>
      </c>
    </row>
    <row r="2423" spans="1:7">
      <c r="A2423">
        <v>2422</v>
      </c>
      <c r="B2423" t="str">
        <f>"006546"</f>
        <v>0</v>
      </c>
      <c r="C2423" t="s">
        <v>4278</v>
      </c>
      <c r="D2423" t="s">
        <v>4279</v>
      </c>
      <c r="E2423" t="str">
        <f>"3361000362568"</f>
        <v>0</v>
      </c>
      <c r="F2423" t="str">
        <f>"000650"</f>
        <v>0</v>
      </c>
      <c r="G2423" t="s">
        <v>21</v>
      </c>
    </row>
    <row r="2424" spans="1:7">
      <c r="A2424">
        <v>2423</v>
      </c>
      <c r="B2424" t="str">
        <f>"006547"</f>
        <v>0</v>
      </c>
      <c r="C2424" t="s">
        <v>4280</v>
      </c>
      <c r="D2424" t="s">
        <v>4281</v>
      </c>
      <c r="E2424" t="str">
        <f>"3361200544287"</f>
        <v>0</v>
      </c>
      <c r="F2424" t="str">
        <f>"000650"</f>
        <v>0</v>
      </c>
      <c r="G2424" t="s">
        <v>21</v>
      </c>
    </row>
    <row r="2425" spans="1:7">
      <c r="A2425">
        <v>2424</v>
      </c>
      <c r="B2425" t="str">
        <f>"006701"</f>
        <v>0</v>
      </c>
      <c r="C2425" t="s">
        <v>4282</v>
      </c>
      <c r="D2425" t="s">
        <v>4283</v>
      </c>
      <c r="E2425" t="str">
        <f>"3340500289877"</f>
        <v>0</v>
      </c>
      <c r="F2425" t="str">
        <f>"000650"</f>
        <v>0</v>
      </c>
      <c r="G2425" t="s">
        <v>21</v>
      </c>
    </row>
    <row r="2426" spans="1:7">
      <c r="A2426">
        <v>2425</v>
      </c>
      <c r="B2426" t="str">
        <f>"006776"</f>
        <v>0</v>
      </c>
      <c r="C2426" t="s">
        <v>4284</v>
      </c>
      <c r="D2426" t="s">
        <v>4285</v>
      </c>
      <c r="E2426" t="str">
        <f>"3360101247577"</f>
        <v>0</v>
      </c>
      <c r="F2426" t="str">
        <f>"000650"</f>
        <v>0</v>
      </c>
      <c r="G2426" t="s">
        <v>21</v>
      </c>
    </row>
    <row r="2427" spans="1:7">
      <c r="A2427">
        <v>2426</v>
      </c>
      <c r="B2427" t="str">
        <f>"006777"</f>
        <v>0</v>
      </c>
      <c r="C2427" t="s">
        <v>46</v>
      </c>
      <c r="D2427" t="s">
        <v>4279</v>
      </c>
      <c r="E2427" t="str">
        <f>"3360101289890"</f>
        <v>0</v>
      </c>
      <c r="F2427" t="str">
        <f>"000650"</f>
        <v>0</v>
      </c>
      <c r="G2427" t="s">
        <v>21</v>
      </c>
    </row>
    <row r="2428" spans="1:7">
      <c r="A2428">
        <v>2427</v>
      </c>
      <c r="B2428" t="str">
        <f>"006778"</f>
        <v>0</v>
      </c>
      <c r="C2428" t="s">
        <v>4286</v>
      </c>
      <c r="D2428" t="s">
        <v>4287</v>
      </c>
      <c r="E2428" t="str">
        <f>"3360101283417"</f>
        <v>0</v>
      </c>
      <c r="F2428" t="str">
        <f>"000650"</f>
        <v>0</v>
      </c>
      <c r="G2428" t="s">
        <v>21</v>
      </c>
    </row>
    <row r="2429" spans="1:7">
      <c r="A2429">
        <v>2428</v>
      </c>
      <c r="B2429" t="str">
        <f>"006781"</f>
        <v>0</v>
      </c>
      <c r="C2429" t="s">
        <v>454</v>
      </c>
      <c r="D2429" t="s">
        <v>4288</v>
      </c>
      <c r="E2429" t="str">
        <f>"3360101379830"</f>
        <v>0</v>
      </c>
      <c r="F2429" t="str">
        <f>"000650"</f>
        <v>0</v>
      </c>
      <c r="G2429" t="s">
        <v>21</v>
      </c>
    </row>
    <row r="2430" spans="1:7">
      <c r="A2430">
        <v>2429</v>
      </c>
      <c r="B2430" t="str">
        <f>"006782"</f>
        <v>0</v>
      </c>
      <c r="C2430" t="s">
        <v>4289</v>
      </c>
      <c r="D2430" t="s">
        <v>4287</v>
      </c>
      <c r="E2430" t="str">
        <f>"3360101283425"</f>
        <v>0</v>
      </c>
      <c r="F2430" t="str">
        <f>"000650"</f>
        <v>0</v>
      </c>
      <c r="G2430" t="s">
        <v>21</v>
      </c>
    </row>
    <row r="2431" spans="1:7">
      <c r="A2431">
        <v>2430</v>
      </c>
      <c r="B2431" t="str">
        <f>"006830"</f>
        <v>0</v>
      </c>
      <c r="C2431" t="s">
        <v>4290</v>
      </c>
      <c r="D2431" t="s">
        <v>4291</v>
      </c>
      <c r="E2431" t="str">
        <f>"3340700376188"</f>
        <v>0</v>
      </c>
      <c r="F2431" t="str">
        <f>"000650"</f>
        <v>0</v>
      </c>
      <c r="G2431" t="s">
        <v>21</v>
      </c>
    </row>
    <row r="2432" spans="1:7">
      <c r="A2432">
        <v>2431</v>
      </c>
      <c r="B2432" t="str">
        <f>"006975"</f>
        <v>0</v>
      </c>
      <c r="C2432" t="s">
        <v>4292</v>
      </c>
      <c r="D2432" t="s">
        <v>4293</v>
      </c>
      <c r="E2432" t="str">
        <f>"3361100160622"</f>
        <v>0</v>
      </c>
      <c r="F2432" t="str">
        <f>"000650"</f>
        <v>0</v>
      </c>
      <c r="G2432" t="s">
        <v>21</v>
      </c>
    </row>
    <row r="2433" spans="1:7">
      <c r="A2433">
        <v>2432</v>
      </c>
      <c r="B2433" t="str">
        <f>"007136"</f>
        <v>0</v>
      </c>
      <c r="C2433" t="s">
        <v>4294</v>
      </c>
      <c r="D2433" t="s">
        <v>4295</v>
      </c>
      <c r="E2433" t="str">
        <f>"3360101322404"</f>
        <v>0</v>
      </c>
      <c r="F2433" t="str">
        <f>"000650"</f>
        <v>0</v>
      </c>
      <c r="G2433" t="s">
        <v>21</v>
      </c>
    </row>
    <row r="2434" spans="1:7">
      <c r="A2434">
        <v>2433</v>
      </c>
      <c r="B2434" t="str">
        <f>"007139"</f>
        <v>0</v>
      </c>
      <c r="C2434" t="s">
        <v>802</v>
      </c>
      <c r="D2434" t="s">
        <v>4296</v>
      </c>
      <c r="E2434" t="str">
        <f>"3369900153407"</f>
        <v>0</v>
      </c>
      <c r="F2434" t="str">
        <f>"000650"</f>
        <v>0</v>
      </c>
      <c r="G2434" t="s">
        <v>21</v>
      </c>
    </row>
    <row r="2435" spans="1:7">
      <c r="A2435">
        <v>2434</v>
      </c>
      <c r="B2435" t="str">
        <f>"007158"</f>
        <v>0</v>
      </c>
      <c r="C2435" t="s">
        <v>4297</v>
      </c>
      <c r="D2435" t="s">
        <v>4298</v>
      </c>
      <c r="E2435" t="str">
        <f>"3302000216422"</f>
        <v>0</v>
      </c>
      <c r="F2435" t="str">
        <f>"000650"</f>
        <v>0</v>
      </c>
      <c r="G2435" t="s">
        <v>21</v>
      </c>
    </row>
    <row r="2436" spans="1:7">
      <c r="A2436">
        <v>2435</v>
      </c>
      <c r="B2436" t="str">
        <f>"007370"</f>
        <v>0</v>
      </c>
      <c r="C2436" t="s">
        <v>4299</v>
      </c>
      <c r="D2436" t="s">
        <v>4300</v>
      </c>
      <c r="E2436" t="str">
        <f>"3361200638796"</f>
        <v>0</v>
      </c>
      <c r="F2436" t="str">
        <f>"000650"</f>
        <v>0</v>
      </c>
      <c r="G2436" t="s">
        <v>21</v>
      </c>
    </row>
    <row r="2437" spans="1:7">
      <c r="A2437">
        <v>2436</v>
      </c>
      <c r="B2437" t="str">
        <f>"007522"</f>
        <v>0</v>
      </c>
      <c r="C2437" t="s">
        <v>3316</v>
      </c>
      <c r="D2437" t="s">
        <v>4301</v>
      </c>
      <c r="E2437" t="str">
        <f>"3560100837247"</f>
        <v>0</v>
      </c>
      <c r="F2437" t="str">
        <f>"000650"</f>
        <v>0</v>
      </c>
      <c r="G2437" t="s">
        <v>21</v>
      </c>
    </row>
    <row r="2438" spans="1:7">
      <c r="A2438">
        <v>2437</v>
      </c>
      <c r="B2438" t="str">
        <f>"007908"</f>
        <v>0</v>
      </c>
      <c r="C2438" t="s">
        <v>4302</v>
      </c>
      <c r="D2438" t="s">
        <v>4303</v>
      </c>
      <c r="E2438" t="str">
        <f>"3400900718537"</f>
        <v>0</v>
      </c>
      <c r="F2438" t="str">
        <f>"000650"</f>
        <v>0</v>
      </c>
      <c r="G2438" t="s">
        <v>21</v>
      </c>
    </row>
    <row r="2439" spans="1:7">
      <c r="A2439">
        <v>2438</v>
      </c>
      <c r="B2439" t="str">
        <f>"007909"</f>
        <v>0</v>
      </c>
      <c r="C2439" t="s">
        <v>231</v>
      </c>
      <c r="D2439" t="s">
        <v>4304</v>
      </c>
      <c r="E2439" t="str">
        <f>"3360400182515"</f>
        <v>0</v>
      </c>
      <c r="F2439" t="str">
        <f>"000650"</f>
        <v>0</v>
      </c>
      <c r="G2439" t="s">
        <v>21</v>
      </c>
    </row>
    <row r="2440" spans="1:7">
      <c r="A2440">
        <v>2439</v>
      </c>
      <c r="B2440" t="str">
        <f>"007910"</f>
        <v>0</v>
      </c>
      <c r="C2440" t="s">
        <v>4305</v>
      </c>
      <c r="D2440" t="s">
        <v>4306</v>
      </c>
      <c r="E2440" t="str">
        <f>"5360600004293"</f>
        <v>0</v>
      </c>
      <c r="F2440" t="str">
        <f>"000650"</f>
        <v>0</v>
      </c>
      <c r="G2440" t="s">
        <v>21</v>
      </c>
    </row>
    <row r="2441" spans="1:7">
      <c r="A2441">
        <v>2440</v>
      </c>
      <c r="B2441" t="str">
        <f>"007973"</f>
        <v>0</v>
      </c>
      <c r="C2441" t="s">
        <v>4307</v>
      </c>
      <c r="D2441" t="s">
        <v>4308</v>
      </c>
      <c r="E2441" t="str">
        <f>"3400300011181"</f>
        <v>0</v>
      </c>
      <c r="F2441" t="str">
        <f>"000650"</f>
        <v>0</v>
      </c>
      <c r="G2441" t="s">
        <v>21</v>
      </c>
    </row>
    <row r="2442" spans="1:7">
      <c r="A2442">
        <v>2441</v>
      </c>
      <c r="B2442" t="str">
        <f>"007978"</f>
        <v>0</v>
      </c>
      <c r="C2442" t="s">
        <v>4309</v>
      </c>
      <c r="D2442" t="s">
        <v>4308</v>
      </c>
      <c r="E2442" t="str">
        <f>"3330501179374"</f>
        <v>0</v>
      </c>
      <c r="F2442" t="str">
        <f>"000650"</f>
        <v>0</v>
      </c>
      <c r="G2442" t="s">
        <v>21</v>
      </c>
    </row>
    <row r="2443" spans="1:7">
      <c r="A2443">
        <v>2442</v>
      </c>
      <c r="B2443" t="str">
        <f>"008191"</f>
        <v>0</v>
      </c>
      <c r="C2443" t="s">
        <v>239</v>
      </c>
      <c r="D2443" t="s">
        <v>4310</v>
      </c>
      <c r="E2443" t="str">
        <f>"3360300132851"</f>
        <v>0</v>
      </c>
      <c r="F2443" t="str">
        <f>"000650"</f>
        <v>0</v>
      </c>
      <c r="G2443" t="s">
        <v>21</v>
      </c>
    </row>
    <row r="2444" spans="1:7">
      <c r="A2444">
        <v>2443</v>
      </c>
      <c r="B2444" t="str">
        <f>"008192"</f>
        <v>0</v>
      </c>
      <c r="C2444" t="s">
        <v>4311</v>
      </c>
      <c r="D2444" t="s">
        <v>4312</v>
      </c>
      <c r="E2444" t="str">
        <f>"3360101252554"</f>
        <v>0</v>
      </c>
      <c r="F2444" t="str">
        <f>"000650"</f>
        <v>0</v>
      </c>
      <c r="G2444" t="s">
        <v>21</v>
      </c>
    </row>
    <row r="2445" spans="1:7">
      <c r="A2445">
        <v>2444</v>
      </c>
      <c r="B2445" t="str">
        <f>"008195"</f>
        <v>0</v>
      </c>
      <c r="C2445" t="s">
        <v>4313</v>
      </c>
      <c r="D2445" t="s">
        <v>4314</v>
      </c>
      <c r="E2445" t="str">
        <f>"3149900335671"</f>
        <v>0</v>
      </c>
      <c r="F2445" t="str">
        <f>"000650"</f>
        <v>0</v>
      </c>
      <c r="G2445" t="s">
        <v>21</v>
      </c>
    </row>
    <row r="2446" spans="1:7">
      <c r="A2446">
        <v>2445</v>
      </c>
      <c r="B2446" t="str">
        <f>"008391"</f>
        <v>0</v>
      </c>
      <c r="C2446" t="s">
        <v>2818</v>
      </c>
      <c r="D2446" t="s">
        <v>4300</v>
      </c>
      <c r="E2446" t="str">
        <f>"3411800448806"</f>
        <v>0</v>
      </c>
      <c r="F2446" t="str">
        <f>"000650"</f>
        <v>0</v>
      </c>
      <c r="G2446" t="s">
        <v>21</v>
      </c>
    </row>
    <row r="2447" spans="1:7">
      <c r="A2447">
        <v>2446</v>
      </c>
      <c r="B2447" t="str">
        <f>"009023"</f>
        <v>0</v>
      </c>
      <c r="C2447" t="s">
        <v>4315</v>
      </c>
      <c r="D2447" t="s">
        <v>4316</v>
      </c>
      <c r="E2447" t="str">
        <f>"3360100493345"</f>
        <v>0</v>
      </c>
      <c r="F2447" t="str">
        <f>"000650"</f>
        <v>0</v>
      </c>
      <c r="G2447" t="s">
        <v>21</v>
      </c>
    </row>
    <row r="2448" spans="1:7">
      <c r="A2448">
        <v>2447</v>
      </c>
      <c r="B2448" t="str">
        <f>"009371"</f>
        <v>0</v>
      </c>
      <c r="C2448" t="s">
        <v>4317</v>
      </c>
      <c r="D2448" t="s">
        <v>4318</v>
      </c>
      <c r="E2448" t="str">
        <f>"3369900008440"</f>
        <v>0</v>
      </c>
      <c r="F2448" t="str">
        <f>"000650"</f>
        <v>0</v>
      </c>
      <c r="G2448" t="s">
        <v>21</v>
      </c>
    </row>
    <row r="2449" spans="1:7">
      <c r="A2449">
        <v>2448</v>
      </c>
      <c r="B2449" t="str">
        <f>"009418"</f>
        <v>0</v>
      </c>
      <c r="C2449" t="s">
        <v>802</v>
      </c>
      <c r="D2449" t="s">
        <v>4319</v>
      </c>
      <c r="E2449" t="str">
        <f>"3401600123733"</f>
        <v>0</v>
      </c>
      <c r="F2449" t="str">
        <f>"000650"</f>
        <v>0</v>
      </c>
      <c r="G2449" t="s">
        <v>21</v>
      </c>
    </row>
    <row r="2450" spans="1:7">
      <c r="A2450">
        <v>2449</v>
      </c>
      <c r="B2450" t="str">
        <f>"009504"</f>
        <v>0</v>
      </c>
      <c r="C2450" t="s">
        <v>3052</v>
      </c>
      <c r="D2450" t="s">
        <v>4320</v>
      </c>
      <c r="E2450" t="str">
        <f>"5100500050431"</f>
        <v>0</v>
      </c>
      <c r="F2450" t="str">
        <f>"000650"</f>
        <v>0</v>
      </c>
      <c r="G2450" t="s">
        <v>21</v>
      </c>
    </row>
    <row r="2451" spans="1:7">
      <c r="A2451">
        <v>2450</v>
      </c>
      <c r="B2451" t="str">
        <f>"009877"</f>
        <v>0</v>
      </c>
      <c r="C2451" t="s">
        <v>4321</v>
      </c>
      <c r="D2451" t="s">
        <v>4322</v>
      </c>
      <c r="E2451" t="str">
        <f>"5360790009810"</f>
        <v>0</v>
      </c>
      <c r="F2451" t="str">
        <f>"000650"</f>
        <v>0</v>
      </c>
      <c r="G2451" t="s">
        <v>21</v>
      </c>
    </row>
    <row r="2452" spans="1:7">
      <c r="A2452">
        <v>2451</v>
      </c>
      <c r="B2452" t="str">
        <f>"010665"</f>
        <v>0</v>
      </c>
      <c r="C2452" t="s">
        <v>878</v>
      </c>
      <c r="D2452" t="s">
        <v>4323</v>
      </c>
      <c r="E2452" t="str">
        <f>"3360101244322"</f>
        <v>0</v>
      </c>
      <c r="F2452" t="str">
        <f>"000650"</f>
        <v>0</v>
      </c>
      <c r="G2452" t="s">
        <v>21</v>
      </c>
    </row>
    <row r="2453" spans="1:7">
      <c r="A2453">
        <v>2452</v>
      </c>
      <c r="B2453" t="str">
        <f>"010711"</f>
        <v>0</v>
      </c>
      <c r="C2453" t="s">
        <v>4324</v>
      </c>
      <c r="D2453" t="s">
        <v>4325</v>
      </c>
      <c r="E2453" t="str">
        <f>"3400101661721"</f>
        <v>0</v>
      </c>
      <c r="F2453" t="str">
        <f>"000650"</f>
        <v>0</v>
      </c>
      <c r="G2453" t="s">
        <v>21</v>
      </c>
    </row>
    <row r="2454" spans="1:7">
      <c r="A2454">
        <v>2453</v>
      </c>
      <c r="B2454" t="str">
        <f>"011149"</f>
        <v>0</v>
      </c>
      <c r="C2454" t="s">
        <v>4084</v>
      </c>
      <c r="D2454" t="s">
        <v>4326</v>
      </c>
      <c r="E2454" t="str">
        <f>"3360101284855"</f>
        <v>0</v>
      </c>
      <c r="F2454" t="str">
        <f>"000650"</f>
        <v>0</v>
      </c>
      <c r="G2454" t="s">
        <v>21</v>
      </c>
    </row>
    <row r="2455" spans="1:7">
      <c r="A2455">
        <v>2454</v>
      </c>
      <c r="B2455" t="str">
        <f>"011204"</f>
        <v>0</v>
      </c>
      <c r="C2455" t="s">
        <v>731</v>
      </c>
      <c r="D2455" t="s">
        <v>4327</v>
      </c>
      <c r="E2455" t="str">
        <f>"3430900472601"</f>
        <v>0</v>
      </c>
      <c r="F2455" t="str">
        <f>"000650"</f>
        <v>0</v>
      </c>
      <c r="G2455" t="s">
        <v>21</v>
      </c>
    </row>
    <row r="2456" spans="1:7">
      <c r="A2456">
        <v>2455</v>
      </c>
      <c r="B2456" t="str">
        <f>"011214"</f>
        <v>0</v>
      </c>
      <c r="C2456" t="s">
        <v>4328</v>
      </c>
      <c r="D2456" t="s">
        <v>4329</v>
      </c>
      <c r="E2456" t="str">
        <f>"3369900161531"</f>
        <v>0</v>
      </c>
      <c r="F2456" t="str">
        <f>"000650"</f>
        <v>0</v>
      </c>
      <c r="G2456" t="s">
        <v>21</v>
      </c>
    </row>
    <row r="2457" spans="1:7">
      <c r="A2457">
        <v>2456</v>
      </c>
      <c r="B2457" t="str">
        <f>"012065"</f>
        <v>0</v>
      </c>
      <c r="C2457" t="s">
        <v>32</v>
      </c>
      <c r="D2457" t="s">
        <v>4330</v>
      </c>
      <c r="E2457" t="str">
        <f>"3361001024526"</f>
        <v>0</v>
      </c>
      <c r="F2457" t="str">
        <f>"000650"</f>
        <v>0</v>
      </c>
      <c r="G2457" t="s">
        <v>21</v>
      </c>
    </row>
    <row r="2458" spans="1:7">
      <c r="A2458">
        <v>2457</v>
      </c>
      <c r="B2458" t="str">
        <f>"012254"</f>
        <v>0</v>
      </c>
      <c r="C2458" t="s">
        <v>1258</v>
      </c>
      <c r="D2458" t="s">
        <v>4331</v>
      </c>
      <c r="E2458" t="str">
        <f>"3360400183635"</f>
        <v>0</v>
      </c>
      <c r="F2458" t="str">
        <f>"000650"</f>
        <v>0</v>
      </c>
      <c r="G2458" t="s">
        <v>21</v>
      </c>
    </row>
    <row r="2459" spans="1:7">
      <c r="A2459">
        <v>2458</v>
      </c>
      <c r="B2459" t="str">
        <f>"012713"</f>
        <v>0</v>
      </c>
      <c r="C2459" t="s">
        <v>1777</v>
      </c>
      <c r="D2459" t="s">
        <v>4332</v>
      </c>
      <c r="E2459" t="str">
        <f>"3609800115209"</f>
        <v>0</v>
      </c>
      <c r="F2459" t="str">
        <f>"000650"</f>
        <v>0</v>
      </c>
      <c r="G2459" t="s">
        <v>21</v>
      </c>
    </row>
    <row r="2460" spans="1:7">
      <c r="A2460">
        <v>2459</v>
      </c>
      <c r="B2460" t="str">
        <f>"012715"</f>
        <v>0</v>
      </c>
      <c r="C2460" t="s">
        <v>4333</v>
      </c>
      <c r="D2460" t="s">
        <v>4334</v>
      </c>
      <c r="E2460" t="str">
        <f>"3360200377258"</f>
        <v>0</v>
      </c>
      <c r="F2460" t="str">
        <f>"000650"</f>
        <v>0</v>
      </c>
      <c r="G2460" t="s">
        <v>21</v>
      </c>
    </row>
    <row r="2461" spans="1:7">
      <c r="A2461">
        <v>2460</v>
      </c>
      <c r="B2461" t="str">
        <f>"012716"</f>
        <v>0</v>
      </c>
      <c r="C2461" t="s">
        <v>4335</v>
      </c>
      <c r="D2461" t="s">
        <v>4336</v>
      </c>
      <c r="E2461" t="str">
        <f>"3360101345145"</f>
        <v>0</v>
      </c>
      <c r="F2461" t="str">
        <f>"000650"</f>
        <v>0</v>
      </c>
      <c r="G2461" t="s">
        <v>21</v>
      </c>
    </row>
    <row r="2462" spans="1:7">
      <c r="A2462">
        <v>2461</v>
      </c>
      <c r="B2462" t="str">
        <f>"012784"</f>
        <v>0</v>
      </c>
      <c r="C2462" t="s">
        <v>4337</v>
      </c>
      <c r="D2462" t="s">
        <v>4338</v>
      </c>
      <c r="E2462" t="str">
        <f>"3300900083532"</f>
        <v>0</v>
      </c>
      <c r="F2462" t="str">
        <f>"000650"</f>
        <v>0</v>
      </c>
      <c r="G2462" t="s">
        <v>21</v>
      </c>
    </row>
    <row r="2463" spans="1:7">
      <c r="A2463">
        <v>2462</v>
      </c>
      <c r="B2463" t="str">
        <f>"013259"</f>
        <v>0</v>
      </c>
      <c r="C2463" t="s">
        <v>4339</v>
      </c>
      <c r="D2463" t="s">
        <v>4340</v>
      </c>
      <c r="E2463" t="str">
        <f>"3361200082666"</f>
        <v>0</v>
      </c>
      <c r="F2463" t="str">
        <f>"000650"</f>
        <v>0</v>
      </c>
      <c r="G2463" t="s">
        <v>21</v>
      </c>
    </row>
    <row r="2464" spans="1:7">
      <c r="A2464">
        <v>2463</v>
      </c>
      <c r="B2464" t="str">
        <f>"014284"</f>
        <v>0</v>
      </c>
      <c r="C2464" t="s">
        <v>4341</v>
      </c>
      <c r="D2464" t="s">
        <v>4258</v>
      </c>
      <c r="E2464" t="str">
        <f>"3361000184856"</f>
        <v>0</v>
      </c>
      <c r="F2464" t="str">
        <f>"000650"</f>
        <v>0</v>
      </c>
      <c r="G2464" t="s">
        <v>21</v>
      </c>
    </row>
    <row r="2465" spans="1:7">
      <c r="A2465">
        <v>2464</v>
      </c>
      <c r="B2465" t="str">
        <f>"014332"</f>
        <v>0</v>
      </c>
      <c r="C2465" t="s">
        <v>4342</v>
      </c>
      <c r="D2465" t="s">
        <v>4343</v>
      </c>
      <c r="E2465" t="str">
        <f>"3369900117192"</f>
        <v>0</v>
      </c>
      <c r="F2465" t="str">
        <f>"000650"</f>
        <v>0</v>
      </c>
      <c r="G2465" t="s">
        <v>21</v>
      </c>
    </row>
    <row r="2466" spans="1:7">
      <c r="A2466">
        <v>2465</v>
      </c>
      <c r="B2466" t="str">
        <f>"014434"</f>
        <v>0</v>
      </c>
      <c r="C2466" t="s">
        <v>4344</v>
      </c>
      <c r="D2466" t="s">
        <v>4310</v>
      </c>
      <c r="E2466" t="str">
        <f>"3369900120282"</f>
        <v>0</v>
      </c>
      <c r="F2466" t="str">
        <f>"000650"</f>
        <v>0</v>
      </c>
      <c r="G2466" t="s">
        <v>21</v>
      </c>
    </row>
    <row r="2467" spans="1:7">
      <c r="A2467">
        <v>2466</v>
      </c>
      <c r="B2467" t="str">
        <f>"014890"</f>
        <v>0</v>
      </c>
      <c r="C2467" t="s">
        <v>4345</v>
      </c>
      <c r="D2467" t="s">
        <v>4346</v>
      </c>
      <c r="E2467" t="str">
        <f>"3160200019566"</f>
        <v>0</v>
      </c>
      <c r="F2467" t="str">
        <f>"000650"</f>
        <v>0</v>
      </c>
      <c r="G2467" t="s">
        <v>21</v>
      </c>
    </row>
    <row r="2468" spans="1:7">
      <c r="A2468">
        <v>2467</v>
      </c>
      <c r="B2468" t="str">
        <f>"015547"</f>
        <v>0</v>
      </c>
      <c r="C2468" t="s">
        <v>4347</v>
      </c>
      <c r="D2468" t="s">
        <v>4348</v>
      </c>
      <c r="E2468" t="str">
        <f>"3369900127228"</f>
        <v>0</v>
      </c>
      <c r="F2468" t="str">
        <f>"000650"</f>
        <v>0</v>
      </c>
      <c r="G2468" t="s">
        <v>21</v>
      </c>
    </row>
    <row r="2469" spans="1:7">
      <c r="A2469">
        <v>2468</v>
      </c>
      <c r="B2469" t="str">
        <f>"016171"</f>
        <v>0</v>
      </c>
      <c r="C2469" t="s">
        <v>2333</v>
      </c>
      <c r="D2469" t="s">
        <v>4349</v>
      </c>
      <c r="E2469" t="str">
        <f>"3360101284812"</f>
        <v>0</v>
      </c>
      <c r="F2469" t="str">
        <f>"000650"</f>
        <v>0</v>
      </c>
      <c r="G2469" t="s">
        <v>21</v>
      </c>
    </row>
    <row r="2470" spans="1:7">
      <c r="A2470">
        <v>2469</v>
      </c>
      <c r="B2470" t="str">
        <f>"016326"</f>
        <v>0</v>
      </c>
      <c r="C2470" t="s">
        <v>4350</v>
      </c>
      <c r="D2470" t="s">
        <v>4351</v>
      </c>
      <c r="E2470" t="str">
        <f>"3360300014106"</f>
        <v>0</v>
      </c>
      <c r="F2470" t="str">
        <f>"000650"</f>
        <v>0</v>
      </c>
      <c r="G2470" t="s">
        <v>21</v>
      </c>
    </row>
    <row r="2471" spans="1:7">
      <c r="A2471">
        <v>2470</v>
      </c>
      <c r="B2471" t="str">
        <f>"016463"</f>
        <v>0</v>
      </c>
      <c r="C2471" t="s">
        <v>4352</v>
      </c>
      <c r="D2471" t="s">
        <v>4353</v>
      </c>
      <c r="E2471" t="str">
        <f>"3360300043220"</f>
        <v>0</v>
      </c>
      <c r="F2471" t="str">
        <f>"000650"</f>
        <v>0</v>
      </c>
      <c r="G2471" t="s">
        <v>21</v>
      </c>
    </row>
    <row r="2472" spans="1:7">
      <c r="A2472">
        <v>2471</v>
      </c>
      <c r="B2472" t="str">
        <f>"016555"</f>
        <v>0</v>
      </c>
      <c r="C2472" t="s">
        <v>4280</v>
      </c>
      <c r="D2472" t="s">
        <v>4354</v>
      </c>
      <c r="E2472" t="str">
        <f>"3360300207737"</f>
        <v>0</v>
      </c>
      <c r="F2472" t="str">
        <f>"000650"</f>
        <v>0</v>
      </c>
      <c r="G2472" t="s">
        <v>21</v>
      </c>
    </row>
    <row r="2473" spans="1:7">
      <c r="A2473">
        <v>2472</v>
      </c>
      <c r="B2473" t="str">
        <f>"016556"</f>
        <v>0</v>
      </c>
      <c r="C2473" t="s">
        <v>4355</v>
      </c>
      <c r="D2473" t="s">
        <v>4356</v>
      </c>
      <c r="E2473" t="str">
        <f>"3360300169452"</f>
        <v>0</v>
      </c>
      <c r="F2473" t="str">
        <f>"000650"</f>
        <v>0</v>
      </c>
      <c r="G2473" t="s">
        <v>21</v>
      </c>
    </row>
    <row r="2474" spans="1:7">
      <c r="A2474">
        <v>2473</v>
      </c>
      <c r="B2474" t="str">
        <f>"020132"</f>
        <v>0</v>
      </c>
      <c r="C2474" t="s">
        <v>4357</v>
      </c>
      <c r="D2474" t="s">
        <v>4358</v>
      </c>
      <c r="E2474" t="str">
        <f>"3101701380297"</f>
        <v>0</v>
      </c>
      <c r="F2474" t="str">
        <f>"000650"</f>
        <v>0</v>
      </c>
      <c r="G2474" t="s">
        <v>21</v>
      </c>
    </row>
    <row r="2475" spans="1:7">
      <c r="A2475">
        <v>2474</v>
      </c>
      <c r="B2475" t="str">
        <f>"020238"</f>
        <v>0</v>
      </c>
      <c r="C2475" t="s">
        <v>4359</v>
      </c>
      <c r="D2475" t="s">
        <v>4360</v>
      </c>
      <c r="E2475" t="str">
        <f>"3360100007963"</f>
        <v>0</v>
      </c>
      <c r="F2475" t="str">
        <f>"000650"</f>
        <v>0</v>
      </c>
      <c r="G2475" t="s">
        <v>21</v>
      </c>
    </row>
    <row r="2476" spans="1:7">
      <c r="A2476">
        <v>2475</v>
      </c>
      <c r="B2476" t="str">
        <f>"006140"</f>
        <v>0</v>
      </c>
      <c r="C2476" t="s">
        <v>372</v>
      </c>
      <c r="D2476" t="s">
        <v>4361</v>
      </c>
      <c r="E2476" t="str">
        <f>"3360300098024"</f>
        <v>0</v>
      </c>
      <c r="F2476" t="str">
        <f>"000650"</f>
        <v>0</v>
      </c>
      <c r="G2476" t="s">
        <v>21</v>
      </c>
    </row>
    <row r="2477" spans="1:7">
      <c r="A2477">
        <v>2476</v>
      </c>
      <c r="B2477" t="str">
        <f>"007801"</f>
        <v>0</v>
      </c>
      <c r="C2477" t="s">
        <v>46</v>
      </c>
      <c r="D2477" t="s">
        <v>4362</v>
      </c>
      <c r="E2477" t="str">
        <f>"3100502329703"</f>
        <v>0</v>
      </c>
      <c r="F2477" t="str">
        <f>"000650"</f>
        <v>0</v>
      </c>
      <c r="G2477" t="s">
        <v>21</v>
      </c>
    </row>
    <row r="2478" spans="1:7">
      <c r="A2478">
        <v>2477</v>
      </c>
      <c r="B2478" t="str">
        <f>"016462"</f>
        <v>0</v>
      </c>
      <c r="C2478" t="s">
        <v>2076</v>
      </c>
      <c r="D2478" t="s">
        <v>4363</v>
      </c>
      <c r="E2478" t="str">
        <f>"3360101415097"</f>
        <v>0</v>
      </c>
      <c r="F2478" t="str">
        <f>"000650"</f>
        <v>0</v>
      </c>
      <c r="G2478" t="s">
        <v>21</v>
      </c>
    </row>
    <row r="2479" spans="1:7">
      <c r="A2479">
        <v>2478</v>
      </c>
      <c r="B2479" t="str">
        <f>"022941"</f>
        <v>0</v>
      </c>
      <c r="C2479" t="s">
        <v>4364</v>
      </c>
      <c r="D2479" t="s">
        <v>4365</v>
      </c>
      <c r="E2479" t="str">
        <f>"3360600771956"</f>
        <v>0</v>
      </c>
      <c r="F2479" t="str">
        <f>"000650"</f>
        <v>0</v>
      </c>
      <c r="G2479" t="s">
        <v>21</v>
      </c>
    </row>
    <row r="2480" spans="1:7">
      <c r="A2480">
        <v>2479</v>
      </c>
      <c r="B2480" t="str">
        <f>"027105"</f>
        <v>0</v>
      </c>
      <c r="C2480" t="s">
        <v>4366</v>
      </c>
      <c r="D2480" t="s">
        <v>4367</v>
      </c>
      <c r="E2480" t="str">
        <f>"1119900620043"</f>
        <v>0</v>
      </c>
      <c r="F2480" t="str">
        <f>"000650"</f>
        <v>0</v>
      </c>
      <c r="G2480" t="s">
        <v>21</v>
      </c>
    </row>
    <row r="2481" spans="1:7">
      <c r="A2481">
        <v>2480</v>
      </c>
      <c r="B2481" t="str">
        <f>"026316"</f>
        <v>0</v>
      </c>
      <c r="C2481" t="s">
        <v>4368</v>
      </c>
      <c r="D2481" t="s">
        <v>4369</v>
      </c>
      <c r="E2481" t="str">
        <f>"1102000030057"</f>
        <v>0</v>
      </c>
      <c r="F2481" t="str">
        <f>"000650"</f>
        <v>0</v>
      </c>
      <c r="G2481" t="s">
        <v>21</v>
      </c>
    </row>
    <row r="2482" spans="1:7">
      <c r="A2482">
        <v>2481</v>
      </c>
      <c r="B2482" t="str">
        <f>"024746"</f>
        <v>0</v>
      </c>
      <c r="C2482" t="s">
        <v>4370</v>
      </c>
      <c r="D2482" t="s">
        <v>4371</v>
      </c>
      <c r="E2482" t="str">
        <f>"3140700013079"</f>
        <v>0</v>
      </c>
      <c r="F2482" t="str">
        <f>"000650"</f>
        <v>0</v>
      </c>
      <c r="G2482" t="s">
        <v>21</v>
      </c>
    </row>
    <row r="2483" spans="1:7">
      <c r="A2483">
        <v>2482</v>
      </c>
      <c r="B2483" t="str">
        <f>"021505"</f>
        <v>0</v>
      </c>
      <c r="C2483" t="s">
        <v>4372</v>
      </c>
      <c r="D2483" t="s">
        <v>4373</v>
      </c>
      <c r="E2483" t="str">
        <f>"3220500257828"</f>
        <v>0</v>
      </c>
      <c r="F2483" t="str">
        <f>"000650"</f>
        <v>0</v>
      </c>
      <c r="G2483" t="s">
        <v>21</v>
      </c>
    </row>
    <row r="2484" spans="1:7">
      <c r="A2484">
        <v>2483</v>
      </c>
      <c r="B2484" t="str">
        <f>"012488"</f>
        <v>0</v>
      </c>
      <c r="C2484" t="s">
        <v>3566</v>
      </c>
      <c r="D2484" t="s">
        <v>4374</v>
      </c>
      <c r="E2484" t="str">
        <f>"3720600099782"</f>
        <v>0</v>
      </c>
      <c r="F2484" t="str">
        <f>"000650"</f>
        <v>0</v>
      </c>
      <c r="G2484" t="s">
        <v>21</v>
      </c>
    </row>
    <row r="2485" spans="1:7">
      <c r="A2485">
        <v>2484</v>
      </c>
      <c r="B2485" t="str">
        <f>"016025"</f>
        <v>0</v>
      </c>
      <c r="C2485" t="s">
        <v>4375</v>
      </c>
      <c r="D2485" t="s">
        <v>4376</v>
      </c>
      <c r="E2485" t="str">
        <f>"3301200288493"</f>
        <v>0</v>
      </c>
      <c r="F2485" t="str">
        <f>"000650"</f>
        <v>0</v>
      </c>
      <c r="G2485" t="s">
        <v>21</v>
      </c>
    </row>
    <row r="2486" spans="1:7">
      <c r="A2486">
        <v>2485</v>
      </c>
      <c r="B2486" t="str">
        <f>"016766"</f>
        <v>0</v>
      </c>
      <c r="C2486" t="s">
        <v>4377</v>
      </c>
      <c r="D2486" t="s">
        <v>4378</v>
      </c>
      <c r="E2486" t="str">
        <f>"3360900036810"</f>
        <v>0</v>
      </c>
      <c r="F2486" t="str">
        <f>"000650"</f>
        <v>0</v>
      </c>
      <c r="G2486" t="s">
        <v>21</v>
      </c>
    </row>
    <row r="2487" spans="1:7">
      <c r="A2487">
        <v>2486</v>
      </c>
      <c r="B2487" t="str">
        <f>"017108"</f>
        <v>0</v>
      </c>
      <c r="C2487" t="s">
        <v>4379</v>
      </c>
      <c r="D2487" t="s">
        <v>4380</v>
      </c>
      <c r="E2487" t="str">
        <f>"3302000647172"</f>
        <v>0</v>
      </c>
      <c r="F2487" t="str">
        <f>"000650"</f>
        <v>0</v>
      </c>
      <c r="G2487" t="s">
        <v>21</v>
      </c>
    </row>
    <row r="2488" spans="1:7">
      <c r="A2488">
        <v>2487</v>
      </c>
      <c r="B2488" t="str">
        <f>"025243"</f>
        <v>0</v>
      </c>
      <c r="C2488" t="s">
        <v>1225</v>
      </c>
      <c r="D2488" t="s">
        <v>4381</v>
      </c>
      <c r="E2488" t="str">
        <f>"2302200001359"</f>
        <v>0</v>
      </c>
      <c r="F2488" t="str">
        <f>"000650"</f>
        <v>0</v>
      </c>
      <c r="G2488" t="s">
        <v>21</v>
      </c>
    </row>
    <row r="2489" spans="1:7">
      <c r="A2489">
        <v>2488</v>
      </c>
      <c r="B2489" t="str">
        <f>"025704"</f>
        <v>0</v>
      </c>
      <c r="C2489" t="s">
        <v>4382</v>
      </c>
      <c r="D2489" t="s">
        <v>4383</v>
      </c>
      <c r="E2489" t="str">
        <f>"3309900817551"</f>
        <v>0</v>
      </c>
      <c r="F2489" t="str">
        <f>"000650"</f>
        <v>0</v>
      </c>
      <c r="G2489" t="s">
        <v>21</v>
      </c>
    </row>
    <row r="2490" spans="1:7">
      <c r="A2490">
        <v>2489</v>
      </c>
      <c r="B2490" t="str">
        <f>"026317"</f>
        <v>0</v>
      </c>
      <c r="C2490" t="s">
        <v>4384</v>
      </c>
      <c r="D2490" t="s">
        <v>2620</v>
      </c>
      <c r="E2490" t="str">
        <f>"1300800191591"</f>
        <v>0</v>
      </c>
      <c r="F2490" t="str">
        <f>"000650"</f>
        <v>0</v>
      </c>
      <c r="G2490" t="s">
        <v>21</v>
      </c>
    </row>
    <row r="2491" spans="1:7">
      <c r="A2491">
        <v>2490</v>
      </c>
      <c r="B2491" t="str">
        <f>"026568"</f>
        <v>0</v>
      </c>
      <c r="C2491" t="s">
        <v>3389</v>
      </c>
      <c r="D2491" t="s">
        <v>4385</v>
      </c>
      <c r="E2491" t="str">
        <f>"1309900865443"</f>
        <v>0</v>
      </c>
      <c r="F2491" t="str">
        <f>"000650"</f>
        <v>0</v>
      </c>
      <c r="G2491" t="s">
        <v>21</v>
      </c>
    </row>
    <row r="2492" spans="1:7">
      <c r="A2492">
        <v>2491</v>
      </c>
      <c r="B2492" t="str">
        <f>"027098"</f>
        <v>0</v>
      </c>
      <c r="C2492" t="s">
        <v>4386</v>
      </c>
      <c r="D2492" t="s">
        <v>4387</v>
      </c>
      <c r="E2492" t="str">
        <f>"1360600159472"</f>
        <v>0</v>
      </c>
      <c r="F2492" t="str">
        <f>"000650"</f>
        <v>0</v>
      </c>
      <c r="G2492" t="s">
        <v>21</v>
      </c>
    </row>
    <row r="2493" spans="1:7">
      <c r="A2493">
        <v>2492</v>
      </c>
      <c r="B2493" t="str">
        <f>"027103"</f>
        <v>0</v>
      </c>
      <c r="C2493" t="s">
        <v>4388</v>
      </c>
      <c r="D2493" t="s">
        <v>4389</v>
      </c>
      <c r="E2493" t="str">
        <f>"1300690001288"</f>
        <v>0</v>
      </c>
      <c r="F2493" t="str">
        <f>"000650"</f>
        <v>0</v>
      </c>
      <c r="G2493" t="s">
        <v>21</v>
      </c>
    </row>
    <row r="2494" spans="1:7">
      <c r="A2494">
        <v>2493</v>
      </c>
      <c r="B2494" t="str">
        <f>"017621"</f>
        <v>0</v>
      </c>
      <c r="C2494" t="s">
        <v>4390</v>
      </c>
      <c r="D2494" t="s">
        <v>4391</v>
      </c>
      <c r="E2494" t="str">
        <f>"3330300198231"</f>
        <v>0</v>
      </c>
      <c r="F2494" t="str">
        <f>"000650"</f>
        <v>0</v>
      </c>
      <c r="G2494" t="s">
        <v>21</v>
      </c>
    </row>
    <row r="2495" spans="1:7">
      <c r="A2495">
        <v>2494</v>
      </c>
      <c r="B2495" t="str">
        <f>"008074"</f>
        <v>0</v>
      </c>
      <c r="C2495" t="s">
        <v>4392</v>
      </c>
      <c r="D2495" t="s">
        <v>4393</v>
      </c>
      <c r="E2495" t="str">
        <f>"3301400788406"</f>
        <v>0</v>
      </c>
      <c r="F2495" t="str">
        <f>"000650"</f>
        <v>0</v>
      </c>
      <c r="G2495" t="s">
        <v>21</v>
      </c>
    </row>
    <row r="2496" spans="1:7">
      <c r="A2496">
        <v>2495</v>
      </c>
      <c r="B2496" t="str">
        <f>"008467"</f>
        <v>0</v>
      </c>
      <c r="C2496" t="s">
        <v>338</v>
      </c>
      <c r="D2496" t="s">
        <v>4394</v>
      </c>
      <c r="E2496" t="str">
        <f>"3369900004100"</f>
        <v>0</v>
      </c>
      <c r="F2496" t="str">
        <f>"000650"</f>
        <v>0</v>
      </c>
      <c r="G2496" t="s">
        <v>21</v>
      </c>
    </row>
    <row r="2497" spans="1:7">
      <c r="A2497">
        <v>2496</v>
      </c>
      <c r="B2497" t="str">
        <f>"008728"</f>
        <v>0</v>
      </c>
      <c r="C2497" t="s">
        <v>4395</v>
      </c>
      <c r="D2497" t="s">
        <v>4396</v>
      </c>
      <c r="E2497" t="str">
        <f>"3360400761124"</f>
        <v>0</v>
      </c>
      <c r="F2497" t="str">
        <f>"000650"</f>
        <v>0</v>
      </c>
      <c r="G2497" t="s">
        <v>21</v>
      </c>
    </row>
    <row r="2498" spans="1:7">
      <c r="A2498">
        <v>2497</v>
      </c>
      <c r="B2498" t="str">
        <f>"009028"</f>
        <v>0</v>
      </c>
      <c r="C2498" t="s">
        <v>4397</v>
      </c>
      <c r="D2498" t="s">
        <v>4322</v>
      </c>
      <c r="E2498" t="str">
        <f>"5360790009828"</f>
        <v>0</v>
      </c>
      <c r="F2498" t="str">
        <f>"000650"</f>
        <v>0</v>
      </c>
      <c r="G2498" t="s">
        <v>21</v>
      </c>
    </row>
    <row r="2499" spans="1:7">
      <c r="A2499">
        <v>2498</v>
      </c>
      <c r="B2499" t="str">
        <f>"009152"</f>
        <v>0</v>
      </c>
      <c r="C2499" t="s">
        <v>239</v>
      </c>
      <c r="D2499" t="s">
        <v>4398</v>
      </c>
      <c r="E2499" t="str">
        <f>"3321200306190"</f>
        <v>0</v>
      </c>
      <c r="F2499" t="str">
        <f>"000650"</f>
        <v>0</v>
      </c>
      <c r="G2499" t="s">
        <v>21</v>
      </c>
    </row>
    <row r="2500" spans="1:7">
      <c r="A2500">
        <v>2499</v>
      </c>
      <c r="B2500" t="str">
        <f>"009306"</f>
        <v>0</v>
      </c>
      <c r="C2500" t="s">
        <v>4399</v>
      </c>
      <c r="D2500" t="s">
        <v>4400</v>
      </c>
      <c r="E2500" t="str">
        <f>"3400500307581"</f>
        <v>0</v>
      </c>
      <c r="F2500" t="str">
        <f>"000650"</f>
        <v>0</v>
      </c>
      <c r="G2500" t="s">
        <v>21</v>
      </c>
    </row>
    <row r="2501" spans="1:7">
      <c r="A2501">
        <v>2500</v>
      </c>
      <c r="B2501" t="str">
        <f>"009329"</f>
        <v>0</v>
      </c>
      <c r="C2501" t="s">
        <v>4401</v>
      </c>
      <c r="D2501" t="s">
        <v>4402</v>
      </c>
      <c r="E2501" t="str">
        <f>"3360700032560"</f>
        <v>0</v>
      </c>
      <c r="F2501" t="str">
        <f>"000650"</f>
        <v>0</v>
      </c>
      <c r="G2501" t="s">
        <v>21</v>
      </c>
    </row>
    <row r="2502" spans="1:7">
      <c r="A2502">
        <v>2501</v>
      </c>
      <c r="B2502" t="str">
        <f>"009414"</f>
        <v>0</v>
      </c>
      <c r="C2502" t="s">
        <v>4403</v>
      </c>
      <c r="D2502" t="s">
        <v>4404</v>
      </c>
      <c r="E2502" t="str">
        <f>"3361300032814"</f>
        <v>0</v>
      </c>
      <c r="F2502" t="str">
        <f>"000650"</f>
        <v>0</v>
      </c>
      <c r="G2502" t="s">
        <v>21</v>
      </c>
    </row>
    <row r="2503" spans="1:7">
      <c r="A2503">
        <v>2502</v>
      </c>
      <c r="B2503" t="str">
        <f>"009821"</f>
        <v>0</v>
      </c>
      <c r="C2503" t="s">
        <v>1341</v>
      </c>
      <c r="D2503" t="s">
        <v>4405</v>
      </c>
      <c r="E2503" t="str">
        <f>"3360300461170"</f>
        <v>0</v>
      </c>
      <c r="F2503" t="str">
        <f>"000650"</f>
        <v>0</v>
      </c>
      <c r="G2503" t="s">
        <v>21</v>
      </c>
    </row>
    <row r="2504" spans="1:7">
      <c r="A2504">
        <v>2503</v>
      </c>
      <c r="B2504" t="str">
        <f>"009822"</f>
        <v>0</v>
      </c>
      <c r="C2504" t="s">
        <v>162</v>
      </c>
      <c r="D2504" t="s">
        <v>4406</v>
      </c>
      <c r="E2504" t="str">
        <f>"3360400075891"</f>
        <v>0</v>
      </c>
      <c r="F2504" t="str">
        <f>"000650"</f>
        <v>0</v>
      </c>
      <c r="G2504" t="s">
        <v>21</v>
      </c>
    </row>
    <row r="2505" spans="1:7">
      <c r="A2505">
        <v>2504</v>
      </c>
      <c r="B2505" t="str">
        <f>"011471"</f>
        <v>0</v>
      </c>
      <c r="C2505" t="s">
        <v>4407</v>
      </c>
      <c r="D2505" t="s">
        <v>4408</v>
      </c>
      <c r="E2505" t="str">
        <f>"3940700108340"</f>
        <v>0</v>
      </c>
      <c r="F2505" t="str">
        <f>"000650"</f>
        <v>0</v>
      </c>
      <c r="G2505" t="s">
        <v>21</v>
      </c>
    </row>
    <row r="2506" spans="1:7">
      <c r="A2506">
        <v>2505</v>
      </c>
      <c r="B2506" t="str">
        <f>"011532"</f>
        <v>0</v>
      </c>
      <c r="C2506" t="s">
        <v>2828</v>
      </c>
      <c r="D2506" t="s">
        <v>4409</v>
      </c>
      <c r="E2506" t="str">
        <f>"3410100712283"</f>
        <v>0</v>
      </c>
      <c r="F2506" t="str">
        <f>"000650"</f>
        <v>0</v>
      </c>
      <c r="G2506" t="s">
        <v>21</v>
      </c>
    </row>
    <row r="2507" spans="1:7">
      <c r="A2507">
        <v>2506</v>
      </c>
      <c r="B2507" t="str">
        <f>"011680"</f>
        <v>0</v>
      </c>
      <c r="C2507" t="s">
        <v>4410</v>
      </c>
      <c r="D2507" t="s">
        <v>4411</v>
      </c>
      <c r="E2507" t="str">
        <f>"3360500249468"</f>
        <v>0</v>
      </c>
      <c r="F2507" t="str">
        <f>"000650"</f>
        <v>0</v>
      </c>
      <c r="G2507" t="s">
        <v>21</v>
      </c>
    </row>
    <row r="2508" spans="1:7">
      <c r="A2508">
        <v>2507</v>
      </c>
      <c r="B2508" t="str">
        <f>"011761"</f>
        <v>0</v>
      </c>
      <c r="C2508" t="s">
        <v>4412</v>
      </c>
      <c r="D2508" t="s">
        <v>4413</v>
      </c>
      <c r="E2508" t="str">
        <f>"3409900182058"</f>
        <v>0</v>
      </c>
      <c r="F2508" t="str">
        <f>"000650"</f>
        <v>0</v>
      </c>
      <c r="G2508" t="s">
        <v>21</v>
      </c>
    </row>
    <row r="2509" spans="1:7">
      <c r="A2509">
        <v>2508</v>
      </c>
      <c r="B2509" t="str">
        <f>"011798"</f>
        <v>0</v>
      </c>
      <c r="C2509" t="s">
        <v>4286</v>
      </c>
      <c r="D2509" t="s">
        <v>4414</v>
      </c>
      <c r="E2509" t="str">
        <f>"3409901120498"</f>
        <v>0</v>
      </c>
      <c r="F2509" t="str">
        <f>"000650"</f>
        <v>0</v>
      </c>
      <c r="G2509" t="s">
        <v>21</v>
      </c>
    </row>
    <row r="2510" spans="1:7">
      <c r="A2510">
        <v>2509</v>
      </c>
      <c r="B2510" t="str">
        <f>"011875"</f>
        <v>0</v>
      </c>
      <c r="C2510" t="s">
        <v>4045</v>
      </c>
      <c r="D2510" t="s">
        <v>4415</v>
      </c>
      <c r="E2510" t="str">
        <f>"3450100090258"</f>
        <v>0</v>
      </c>
      <c r="F2510" t="str">
        <f>"000650"</f>
        <v>0</v>
      </c>
      <c r="G2510" t="s">
        <v>21</v>
      </c>
    </row>
    <row r="2511" spans="1:7">
      <c r="A2511">
        <v>2510</v>
      </c>
      <c r="B2511" t="str">
        <f>"012013"</f>
        <v>0</v>
      </c>
      <c r="C2511" t="s">
        <v>4416</v>
      </c>
      <c r="D2511" t="s">
        <v>4417</v>
      </c>
      <c r="E2511" t="str">
        <f>"3360600791647"</f>
        <v>0</v>
      </c>
      <c r="F2511" t="str">
        <f>"000650"</f>
        <v>0</v>
      </c>
      <c r="G2511" t="s">
        <v>21</v>
      </c>
    </row>
    <row r="2512" spans="1:7">
      <c r="A2512">
        <v>2511</v>
      </c>
      <c r="B2512" t="str">
        <f>"012141"</f>
        <v>0</v>
      </c>
      <c r="C2512" t="s">
        <v>449</v>
      </c>
      <c r="D2512" t="s">
        <v>2952</v>
      </c>
      <c r="E2512" t="str">
        <f>"3401700813278"</f>
        <v>0</v>
      </c>
      <c r="F2512" t="str">
        <f>"000650"</f>
        <v>0</v>
      </c>
      <c r="G2512" t="s">
        <v>21</v>
      </c>
    </row>
    <row r="2513" spans="1:7">
      <c r="A2513">
        <v>2512</v>
      </c>
      <c r="B2513" t="str">
        <f>"012292"</f>
        <v>0</v>
      </c>
      <c r="C2513" t="s">
        <v>4418</v>
      </c>
      <c r="D2513" t="s">
        <v>4419</v>
      </c>
      <c r="E2513" t="str">
        <f>"3360600350098"</f>
        <v>0</v>
      </c>
      <c r="F2513" t="str">
        <f>"000650"</f>
        <v>0</v>
      </c>
      <c r="G2513" t="s">
        <v>21</v>
      </c>
    </row>
    <row r="2514" spans="1:7">
      <c r="A2514">
        <v>2513</v>
      </c>
      <c r="B2514" t="str">
        <f>"013201"</f>
        <v>0</v>
      </c>
      <c r="C2514" t="s">
        <v>4420</v>
      </c>
      <c r="D2514" t="s">
        <v>4421</v>
      </c>
      <c r="E2514" t="str">
        <f>"3369900040211"</f>
        <v>0</v>
      </c>
      <c r="F2514" t="str">
        <f>"000650"</f>
        <v>0</v>
      </c>
      <c r="G2514" t="s">
        <v>21</v>
      </c>
    </row>
    <row r="2515" spans="1:7">
      <c r="A2515">
        <v>2514</v>
      </c>
      <c r="B2515" t="str">
        <f>"014263"</f>
        <v>0</v>
      </c>
      <c r="C2515" t="s">
        <v>4422</v>
      </c>
      <c r="D2515" t="s">
        <v>4423</v>
      </c>
      <c r="E2515" t="str">
        <f>"3360400300704"</f>
        <v>0</v>
      </c>
      <c r="F2515" t="str">
        <f>"000650"</f>
        <v>0</v>
      </c>
      <c r="G2515" t="s">
        <v>21</v>
      </c>
    </row>
    <row r="2516" spans="1:7">
      <c r="A2516">
        <v>2515</v>
      </c>
      <c r="B2516" t="str">
        <f>"014825"</f>
        <v>0</v>
      </c>
      <c r="C2516" t="s">
        <v>4424</v>
      </c>
      <c r="D2516" t="s">
        <v>4425</v>
      </c>
      <c r="E2516" t="str">
        <f>"3360100168134"</f>
        <v>0</v>
      </c>
      <c r="F2516" t="str">
        <f>"000650"</f>
        <v>0</v>
      </c>
      <c r="G2516" t="s">
        <v>21</v>
      </c>
    </row>
    <row r="2517" spans="1:7">
      <c r="A2517">
        <v>2516</v>
      </c>
      <c r="B2517" t="str">
        <f>"014832"</f>
        <v>0</v>
      </c>
      <c r="C2517" t="s">
        <v>1498</v>
      </c>
      <c r="D2517" t="s">
        <v>4426</v>
      </c>
      <c r="E2517" t="str">
        <f>"3360300029383"</f>
        <v>0</v>
      </c>
      <c r="F2517" t="str">
        <f>"000650"</f>
        <v>0</v>
      </c>
      <c r="G2517" t="s">
        <v>21</v>
      </c>
    </row>
    <row r="2518" spans="1:7">
      <c r="A2518">
        <v>2517</v>
      </c>
      <c r="B2518" t="str">
        <f>"015779"</f>
        <v>0</v>
      </c>
      <c r="C2518" t="s">
        <v>435</v>
      </c>
      <c r="D2518" t="s">
        <v>4427</v>
      </c>
      <c r="E2518" t="str">
        <f>"3360300089963"</f>
        <v>0</v>
      </c>
      <c r="F2518" t="str">
        <f>"000650"</f>
        <v>0</v>
      </c>
      <c r="G2518" t="s">
        <v>21</v>
      </c>
    </row>
    <row r="2519" spans="1:7">
      <c r="A2519">
        <v>2518</v>
      </c>
      <c r="B2519" t="str">
        <f>"016298"</f>
        <v>0</v>
      </c>
      <c r="C2519" t="s">
        <v>4225</v>
      </c>
      <c r="D2519" t="s">
        <v>2986</v>
      </c>
      <c r="E2519" t="str">
        <f>"3400900801469"</f>
        <v>0</v>
      </c>
      <c r="F2519" t="str">
        <f>"000650"</f>
        <v>0</v>
      </c>
      <c r="G2519" t="s">
        <v>21</v>
      </c>
    </row>
    <row r="2520" spans="1:7">
      <c r="A2520">
        <v>2519</v>
      </c>
      <c r="B2520" t="str">
        <f>"016304"</f>
        <v>0</v>
      </c>
      <c r="C2520" t="s">
        <v>4428</v>
      </c>
      <c r="D2520" t="s">
        <v>4429</v>
      </c>
      <c r="E2520" t="str">
        <f>"3369900136308"</f>
        <v>0</v>
      </c>
      <c r="F2520" t="str">
        <f>"000650"</f>
        <v>0</v>
      </c>
      <c r="G2520" t="s">
        <v>21</v>
      </c>
    </row>
    <row r="2521" spans="1:7">
      <c r="A2521">
        <v>2520</v>
      </c>
      <c r="B2521" t="str">
        <f>"016327"</f>
        <v>0</v>
      </c>
      <c r="C2521" t="s">
        <v>1162</v>
      </c>
      <c r="D2521" t="s">
        <v>4430</v>
      </c>
      <c r="E2521" t="str">
        <f>"3360100455401"</f>
        <v>0</v>
      </c>
      <c r="F2521" t="str">
        <f>"000650"</f>
        <v>0</v>
      </c>
      <c r="G2521" t="s">
        <v>21</v>
      </c>
    </row>
    <row r="2522" spans="1:7">
      <c r="A2522">
        <v>2521</v>
      </c>
      <c r="B2522" t="str">
        <f>"016415"</f>
        <v>0</v>
      </c>
      <c r="C2522" t="s">
        <v>1162</v>
      </c>
      <c r="D2522" t="s">
        <v>4431</v>
      </c>
      <c r="E2522" t="str">
        <f>"3301200494611"</f>
        <v>0</v>
      </c>
      <c r="F2522" t="str">
        <f>"000650"</f>
        <v>0</v>
      </c>
      <c r="G2522" t="s">
        <v>21</v>
      </c>
    </row>
    <row r="2523" spans="1:7">
      <c r="A2523">
        <v>2522</v>
      </c>
      <c r="B2523" t="str">
        <f>"016630"</f>
        <v>0</v>
      </c>
      <c r="C2523" t="s">
        <v>520</v>
      </c>
      <c r="D2523" t="s">
        <v>3083</v>
      </c>
      <c r="E2523" t="str">
        <f>"3450101640201"</f>
        <v>0</v>
      </c>
      <c r="F2523" t="str">
        <f>"000650"</f>
        <v>0</v>
      </c>
      <c r="G2523" t="s">
        <v>21</v>
      </c>
    </row>
    <row r="2524" spans="1:7">
      <c r="A2524">
        <v>2523</v>
      </c>
      <c r="B2524" t="str">
        <f>"016808"</f>
        <v>0</v>
      </c>
      <c r="C2524" t="s">
        <v>2622</v>
      </c>
      <c r="D2524" t="s">
        <v>4432</v>
      </c>
      <c r="E2524" t="str">
        <f>"3360100008129"</f>
        <v>0</v>
      </c>
      <c r="F2524" t="str">
        <f>"000650"</f>
        <v>0</v>
      </c>
      <c r="G2524" t="s">
        <v>21</v>
      </c>
    </row>
    <row r="2525" spans="1:7">
      <c r="A2525">
        <v>2524</v>
      </c>
      <c r="B2525" t="str">
        <f>"016883"</f>
        <v>0</v>
      </c>
      <c r="C2525" t="s">
        <v>4355</v>
      </c>
      <c r="D2525" t="s">
        <v>4258</v>
      </c>
      <c r="E2525" t="str">
        <f>"3361000184848"</f>
        <v>0</v>
      </c>
      <c r="F2525" t="str">
        <f>"000650"</f>
        <v>0</v>
      </c>
      <c r="G2525" t="s">
        <v>21</v>
      </c>
    </row>
    <row r="2526" spans="1:7">
      <c r="A2526">
        <v>2525</v>
      </c>
      <c r="B2526" t="str">
        <f>"017282"</f>
        <v>0</v>
      </c>
      <c r="C2526" t="s">
        <v>4433</v>
      </c>
      <c r="D2526" t="s">
        <v>4434</v>
      </c>
      <c r="E2526" t="str">
        <f>"3360101249545"</f>
        <v>0</v>
      </c>
      <c r="F2526" t="str">
        <f>"000650"</f>
        <v>0</v>
      </c>
      <c r="G2526" t="s">
        <v>21</v>
      </c>
    </row>
    <row r="2527" spans="1:7">
      <c r="A2527">
        <v>2526</v>
      </c>
      <c r="B2527" t="str">
        <f>"017316"</f>
        <v>0</v>
      </c>
      <c r="C2527" t="s">
        <v>4435</v>
      </c>
      <c r="D2527" t="s">
        <v>4436</v>
      </c>
      <c r="E2527" t="str">
        <f>"3360500331571"</f>
        <v>0</v>
      </c>
      <c r="F2527" t="str">
        <f>"000650"</f>
        <v>0</v>
      </c>
      <c r="G2527" t="s">
        <v>21</v>
      </c>
    </row>
    <row r="2528" spans="1:7">
      <c r="A2528">
        <v>2527</v>
      </c>
      <c r="B2528" t="str">
        <f>"017518"</f>
        <v>0</v>
      </c>
      <c r="C2528" t="s">
        <v>4437</v>
      </c>
      <c r="D2528" t="s">
        <v>4438</v>
      </c>
      <c r="E2528" t="str">
        <f>"3360500195660"</f>
        <v>0</v>
      </c>
      <c r="F2528" t="str">
        <f>"000650"</f>
        <v>0</v>
      </c>
      <c r="G2528" t="s">
        <v>21</v>
      </c>
    </row>
    <row r="2529" spans="1:7">
      <c r="A2529">
        <v>2528</v>
      </c>
      <c r="B2529" t="str">
        <f>"017794"</f>
        <v>0</v>
      </c>
      <c r="C2529" t="s">
        <v>264</v>
      </c>
      <c r="D2529" t="s">
        <v>4439</v>
      </c>
      <c r="E2529" t="str">
        <f>"3361300340063"</f>
        <v>0</v>
      </c>
      <c r="F2529" t="str">
        <f>"000650"</f>
        <v>0</v>
      </c>
      <c r="G2529" t="s">
        <v>21</v>
      </c>
    </row>
    <row r="2530" spans="1:7">
      <c r="A2530">
        <v>2529</v>
      </c>
      <c r="B2530" t="str">
        <f>"018212"</f>
        <v>0</v>
      </c>
      <c r="C2530" t="s">
        <v>4440</v>
      </c>
      <c r="D2530" t="s">
        <v>4441</v>
      </c>
      <c r="E2530" t="str">
        <f>"3360100337050"</f>
        <v>0</v>
      </c>
      <c r="F2530" t="str">
        <f>"000650"</f>
        <v>0</v>
      </c>
      <c r="G2530" t="s">
        <v>21</v>
      </c>
    </row>
    <row r="2531" spans="1:7">
      <c r="A2531">
        <v>2530</v>
      </c>
      <c r="B2531" t="str">
        <f>"018695"</f>
        <v>0</v>
      </c>
      <c r="C2531" t="s">
        <v>4442</v>
      </c>
      <c r="D2531" t="s">
        <v>4443</v>
      </c>
      <c r="E2531" t="str">
        <f>"3360600468218"</f>
        <v>0</v>
      </c>
      <c r="F2531" t="str">
        <f>"000650"</f>
        <v>0</v>
      </c>
      <c r="G2531" t="s">
        <v>21</v>
      </c>
    </row>
    <row r="2532" spans="1:7">
      <c r="A2532">
        <v>2531</v>
      </c>
      <c r="B2532" t="str">
        <f>"018702"</f>
        <v>0</v>
      </c>
      <c r="C2532" t="s">
        <v>4444</v>
      </c>
      <c r="D2532" t="s">
        <v>4445</v>
      </c>
      <c r="E2532" t="str">
        <f>"3360101289377"</f>
        <v>0</v>
      </c>
      <c r="F2532" t="str">
        <f>"000650"</f>
        <v>0</v>
      </c>
      <c r="G2532" t="s">
        <v>21</v>
      </c>
    </row>
    <row r="2533" spans="1:7">
      <c r="A2533">
        <v>2532</v>
      </c>
      <c r="B2533" t="str">
        <f>"018774"</f>
        <v>0</v>
      </c>
      <c r="C2533" t="s">
        <v>4446</v>
      </c>
      <c r="D2533" t="s">
        <v>4447</v>
      </c>
      <c r="E2533" t="str">
        <f>"3360300023202"</f>
        <v>0</v>
      </c>
      <c r="F2533" t="str">
        <f>"000650"</f>
        <v>0</v>
      </c>
      <c r="G2533" t="s">
        <v>21</v>
      </c>
    </row>
    <row r="2534" spans="1:7">
      <c r="A2534">
        <v>2533</v>
      </c>
      <c r="B2534" t="str">
        <f>"018966"</f>
        <v>0</v>
      </c>
      <c r="C2534" t="s">
        <v>4448</v>
      </c>
      <c r="D2534" t="s">
        <v>4449</v>
      </c>
      <c r="E2534" t="str">
        <f>"3360600353739"</f>
        <v>0</v>
      </c>
      <c r="F2534" t="str">
        <f>"000650"</f>
        <v>0</v>
      </c>
      <c r="G2534" t="s">
        <v>21</v>
      </c>
    </row>
    <row r="2535" spans="1:7">
      <c r="A2535">
        <v>2534</v>
      </c>
      <c r="B2535" t="str">
        <f>"019727"</f>
        <v>0</v>
      </c>
      <c r="C2535" t="s">
        <v>86</v>
      </c>
      <c r="D2535" t="s">
        <v>4450</v>
      </c>
      <c r="E2535" t="str">
        <f>"3361200409371"</f>
        <v>0</v>
      </c>
      <c r="F2535" t="str">
        <f>"000650"</f>
        <v>0</v>
      </c>
      <c r="G2535" t="s">
        <v>21</v>
      </c>
    </row>
    <row r="2536" spans="1:7">
      <c r="A2536">
        <v>2535</v>
      </c>
      <c r="B2536" t="str">
        <f>"020574"</f>
        <v>0</v>
      </c>
      <c r="C2536" t="s">
        <v>4451</v>
      </c>
      <c r="D2536" t="s">
        <v>4452</v>
      </c>
      <c r="E2536" t="str">
        <f>"3360100796062"</f>
        <v>0</v>
      </c>
      <c r="F2536" t="str">
        <f>"000650"</f>
        <v>0</v>
      </c>
      <c r="G2536" t="s">
        <v>21</v>
      </c>
    </row>
    <row r="2537" spans="1:7">
      <c r="A2537">
        <v>2536</v>
      </c>
      <c r="B2537" t="str">
        <f>"020637"</f>
        <v>0</v>
      </c>
      <c r="C2537" t="s">
        <v>4453</v>
      </c>
      <c r="D2537" t="s">
        <v>4454</v>
      </c>
      <c r="E2537" t="str">
        <f>"3360100045628"</f>
        <v>0</v>
      </c>
      <c r="F2537" t="str">
        <f>"000650"</f>
        <v>0</v>
      </c>
      <c r="G2537" t="s">
        <v>21</v>
      </c>
    </row>
    <row r="2538" spans="1:7">
      <c r="A2538">
        <v>2537</v>
      </c>
      <c r="B2538" t="str">
        <f>"021312"</f>
        <v>0</v>
      </c>
      <c r="C2538" t="s">
        <v>4455</v>
      </c>
      <c r="D2538" t="s">
        <v>4456</v>
      </c>
      <c r="E2538" t="str">
        <f>"3360100576518"</f>
        <v>0</v>
      </c>
      <c r="F2538" t="str">
        <f>"000650"</f>
        <v>0</v>
      </c>
      <c r="G2538" t="s">
        <v>21</v>
      </c>
    </row>
    <row r="2539" spans="1:7">
      <c r="A2539">
        <v>2538</v>
      </c>
      <c r="B2539" t="str">
        <f>"021484"</f>
        <v>0</v>
      </c>
      <c r="C2539" t="s">
        <v>4457</v>
      </c>
      <c r="D2539" t="s">
        <v>4458</v>
      </c>
      <c r="E2539" t="str">
        <f>"3360800004151"</f>
        <v>0</v>
      </c>
      <c r="F2539" t="str">
        <f>"000650"</f>
        <v>0</v>
      </c>
      <c r="G2539" t="s">
        <v>21</v>
      </c>
    </row>
    <row r="2540" spans="1:7">
      <c r="A2540">
        <v>2539</v>
      </c>
      <c r="B2540" t="str">
        <f>"021504"</f>
        <v>0</v>
      </c>
      <c r="C2540" t="s">
        <v>488</v>
      </c>
      <c r="D2540" t="s">
        <v>4459</v>
      </c>
      <c r="E2540" t="str">
        <f>"3560300773790"</f>
        <v>0</v>
      </c>
      <c r="F2540" t="str">
        <f>"000650"</f>
        <v>0</v>
      </c>
      <c r="G2540" t="s">
        <v>21</v>
      </c>
    </row>
    <row r="2541" spans="1:7">
      <c r="A2541">
        <v>2540</v>
      </c>
      <c r="B2541" t="str">
        <f>"021648"</f>
        <v>0</v>
      </c>
      <c r="C2541" t="s">
        <v>4460</v>
      </c>
      <c r="D2541" t="s">
        <v>4275</v>
      </c>
      <c r="E2541" t="str">
        <f>"3320200269935"</f>
        <v>0</v>
      </c>
      <c r="F2541" t="str">
        <f>"000650"</f>
        <v>0</v>
      </c>
      <c r="G2541" t="s">
        <v>21</v>
      </c>
    </row>
    <row r="2542" spans="1:7">
      <c r="A2542">
        <v>2541</v>
      </c>
      <c r="B2542" t="str">
        <f>"021694"</f>
        <v>0</v>
      </c>
      <c r="C2542" t="s">
        <v>4461</v>
      </c>
      <c r="D2542" t="s">
        <v>4462</v>
      </c>
      <c r="E2542" t="str">
        <f>"3360100898574"</f>
        <v>0</v>
      </c>
      <c r="F2542" t="str">
        <f>"000650"</f>
        <v>0</v>
      </c>
      <c r="G2542" t="s">
        <v>21</v>
      </c>
    </row>
    <row r="2543" spans="1:7">
      <c r="A2543">
        <v>2542</v>
      </c>
      <c r="B2543" t="str">
        <f>"022018"</f>
        <v>0</v>
      </c>
      <c r="C2543" t="s">
        <v>4463</v>
      </c>
      <c r="D2543" t="s">
        <v>4329</v>
      </c>
      <c r="E2543" t="str">
        <f>"1369900100510"</f>
        <v>0</v>
      </c>
      <c r="F2543" t="str">
        <f>"000650"</f>
        <v>0</v>
      </c>
      <c r="G2543" t="s">
        <v>21</v>
      </c>
    </row>
    <row r="2544" spans="1:7">
      <c r="A2544">
        <v>2543</v>
      </c>
      <c r="B2544" t="str">
        <f>"022178"</f>
        <v>0</v>
      </c>
      <c r="C2544" t="s">
        <v>1396</v>
      </c>
      <c r="D2544" t="s">
        <v>4464</v>
      </c>
      <c r="E2544" t="str">
        <f>"5360900038835"</f>
        <v>0</v>
      </c>
      <c r="F2544" t="str">
        <f>"000650"</f>
        <v>0</v>
      </c>
      <c r="G2544" t="s">
        <v>21</v>
      </c>
    </row>
    <row r="2545" spans="1:7">
      <c r="A2545">
        <v>2544</v>
      </c>
      <c r="B2545" t="str">
        <f>"022726"</f>
        <v>0</v>
      </c>
      <c r="C2545" t="s">
        <v>4465</v>
      </c>
      <c r="D2545" t="s">
        <v>4466</v>
      </c>
      <c r="E2545" t="str">
        <f>"3361200194324"</f>
        <v>0</v>
      </c>
      <c r="F2545" t="str">
        <f>"000650"</f>
        <v>0</v>
      </c>
      <c r="G2545" t="s">
        <v>21</v>
      </c>
    </row>
    <row r="2546" spans="1:7">
      <c r="A2546">
        <v>2545</v>
      </c>
      <c r="B2546" t="str">
        <f>"022789"</f>
        <v>0</v>
      </c>
      <c r="C2546" t="s">
        <v>4467</v>
      </c>
      <c r="D2546" t="s">
        <v>4468</v>
      </c>
      <c r="E2546" t="str">
        <f>"3360100006215"</f>
        <v>0</v>
      </c>
      <c r="F2546" t="str">
        <f>"000650"</f>
        <v>0</v>
      </c>
      <c r="G2546" t="s">
        <v>21</v>
      </c>
    </row>
    <row r="2547" spans="1:7">
      <c r="A2547">
        <v>2546</v>
      </c>
      <c r="B2547" t="str">
        <f>"022790"</f>
        <v>0</v>
      </c>
      <c r="C2547" t="s">
        <v>4469</v>
      </c>
      <c r="D2547" t="s">
        <v>4470</v>
      </c>
      <c r="E2547" t="str">
        <f>"3100500834176"</f>
        <v>0</v>
      </c>
      <c r="F2547" t="str">
        <f>"000650"</f>
        <v>0</v>
      </c>
      <c r="G2547" t="s">
        <v>21</v>
      </c>
    </row>
    <row r="2548" spans="1:7">
      <c r="A2548">
        <v>2547</v>
      </c>
      <c r="B2548" t="str">
        <f>"022944"</f>
        <v>0</v>
      </c>
      <c r="C2548" t="s">
        <v>4471</v>
      </c>
      <c r="D2548" t="s">
        <v>4472</v>
      </c>
      <c r="E2548" t="str">
        <f>"1360300053806"</f>
        <v>0</v>
      </c>
      <c r="F2548" t="str">
        <f>"000650"</f>
        <v>0</v>
      </c>
      <c r="G2548" t="s">
        <v>21</v>
      </c>
    </row>
    <row r="2549" spans="1:7">
      <c r="A2549">
        <v>2548</v>
      </c>
      <c r="B2549" t="str">
        <f>"023321"</f>
        <v>0</v>
      </c>
      <c r="C2549" t="s">
        <v>4473</v>
      </c>
      <c r="D2549" t="s">
        <v>4474</v>
      </c>
      <c r="E2549" t="str">
        <f>"1360300003141"</f>
        <v>0</v>
      </c>
      <c r="F2549" t="str">
        <f>"000650"</f>
        <v>0</v>
      </c>
      <c r="G2549" t="s">
        <v>21</v>
      </c>
    </row>
    <row r="2550" spans="1:7">
      <c r="A2550">
        <v>2549</v>
      </c>
      <c r="B2550" t="str">
        <f>"023323"</f>
        <v>0</v>
      </c>
      <c r="C2550" t="s">
        <v>1400</v>
      </c>
      <c r="D2550" t="s">
        <v>4475</v>
      </c>
      <c r="E2550" t="str">
        <f>"3361000345612"</f>
        <v>0</v>
      </c>
      <c r="F2550" t="str">
        <f>"000650"</f>
        <v>0</v>
      </c>
      <c r="G2550" t="s">
        <v>21</v>
      </c>
    </row>
    <row r="2551" spans="1:7">
      <c r="A2551">
        <v>2550</v>
      </c>
      <c r="B2551" t="str">
        <f>"023443"</f>
        <v>0</v>
      </c>
      <c r="C2551" t="s">
        <v>1953</v>
      </c>
      <c r="D2551" t="s">
        <v>4476</v>
      </c>
      <c r="E2551" t="str">
        <f>"3361200104554"</f>
        <v>0</v>
      </c>
      <c r="F2551" t="str">
        <f>"000650"</f>
        <v>0</v>
      </c>
      <c r="G2551" t="s">
        <v>21</v>
      </c>
    </row>
    <row r="2552" spans="1:7">
      <c r="A2552">
        <v>2551</v>
      </c>
      <c r="B2552" t="str">
        <f>"023504"</f>
        <v>0</v>
      </c>
      <c r="C2552" t="s">
        <v>4477</v>
      </c>
      <c r="D2552" t="s">
        <v>4478</v>
      </c>
      <c r="E2552" t="str">
        <f>"3369900145871"</f>
        <v>0</v>
      </c>
      <c r="F2552" t="str">
        <f>"000650"</f>
        <v>0</v>
      </c>
      <c r="G2552" t="s">
        <v>21</v>
      </c>
    </row>
    <row r="2553" spans="1:7">
      <c r="A2553">
        <v>2552</v>
      </c>
      <c r="B2553" t="str">
        <f>"023620"</f>
        <v>0</v>
      </c>
      <c r="C2553" t="s">
        <v>4479</v>
      </c>
      <c r="D2553" t="s">
        <v>4480</v>
      </c>
      <c r="E2553" t="str">
        <f>"5300190009916"</f>
        <v>0</v>
      </c>
      <c r="F2553" t="str">
        <f>"000650"</f>
        <v>0</v>
      </c>
      <c r="G2553" t="s">
        <v>21</v>
      </c>
    </row>
    <row r="2554" spans="1:7">
      <c r="A2554">
        <v>2553</v>
      </c>
      <c r="B2554" t="str">
        <f>"023988"</f>
        <v>0</v>
      </c>
      <c r="C2554" t="s">
        <v>4481</v>
      </c>
      <c r="D2554" t="s">
        <v>4482</v>
      </c>
      <c r="E2554" t="str">
        <f>"3360300452472"</f>
        <v>0</v>
      </c>
      <c r="F2554" t="str">
        <f>"000650"</f>
        <v>0</v>
      </c>
      <c r="G2554" t="s">
        <v>21</v>
      </c>
    </row>
    <row r="2555" spans="1:7">
      <c r="A2555">
        <v>2554</v>
      </c>
      <c r="B2555" t="str">
        <f>"024104"</f>
        <v>0</v>
      </c>
      <c r="C2555" t="s">
        <v>1001</v>
      </c>
      <c r="D2555" t="s">
        <v>4483</v>
      </c>
      <c r="E2555" t="str">
        <f>"3400200167961"</f>
        <v>0</v>
      </c>
      <c r="F2555" t="str">
        <f>"000650"</f>
        <v>0</v>
      </c>
      <c r="G2555" t="s">
        <v>21</v>
      </c>
    </row>
    <row r="2556" spans="1:7">
      <c r="A2556">
        <v>2555</v>
      </c>
      <c r="B2556" t="str">
        <f>"024106"</f>
        <v>0</v>
      </c>
      <c r="C2556" t="s">
        <v>4484</v>
      </c>
      <c r="D2556" t="s">
        <v>4485</v>
      </c>
      <c r="E2556" t="str">
        <f>"3440300757540"</f>
        <v>0</v>
      </c>
      <c r="F2556" t="str">
        <f>"000650"</f>
        <v>0</v>
      </c>
      <c r="G2556" t="s">
        <v>21</v>
      </c>
    </row>
    <row r="2557" spans="1:7">
      <c r="A2557">
        <v>2556</v>
      </c>
      <c r="B2557" t="str">
        <f>"024396"</f>
        <v>0</v>
      </c>
      <c r="C2557" t="s">
        <v>4486</v>
      </c>
      <c r="D2557" t="s">
        <v>4487</v>
      </c>
      <c r="E2557" t="str">
        <f>"1369900182613"</f>
        <v>0</v>
      </c>
      <c r="F2557" t="str">
        <f>"000650"</f>
        <v>0</v>
      </c>
      <c r="G2557" t="s">
        <v>21</v>
      </c>
    </row>
    <row r="2558" spans="1:7">
      <c r="A2558">
        <v>2557</v>
      </c>
      <c r="B2558" t="str">
        <f>"024438"</f>
        <v>0</v>
      </c>
      <c r="C2558" t="s">
        <v>4488</v>
      </c>
      <c r="D2558" t="s">
        <v>4489</v>
      </c>
      <c r="E2558" t="str">
        <f>"1369900136620"</f>
        <v>0</v>
      </c>
      <c r="F2558" t="str">
        <f>"000650"</f>
        <v>0</v>
      </c>
      <c r="G2558" t="s">
        <v>21</v>
      </c>
    </row>
    <row r="2559" spans="1:7">
      <c r="A2559">
        <v>2558</v>
      </c>
      <c r="B2559" t="str">
        <f>"024475"</f>
        <v>0</v>
      </c>
      <c r="C2559" t="s">
        <v>4490</v>
      </c>
      <c r="D2559" t="s">
        <v>4491</v>
      </c>
      <c r="E2559" t="str">
        <f>"1360890001788"</f>
        <v>0</v>
      </c>
      <c r="F2559" t="str">
        <f>"000650"</f>
        <v>0</v>
      </c>
      <c r="G2559" t="s">
        <v>21</v>
      </c>
    </row>
    <row r="2560" spans="1:7">
      <c r="A2560">
        <v>2559</v>
      </c>
      <c r="B2560" t="str">
        <f>"024476"</f>
        <v>0</v>
      </c>
      <c r="C2560" t="s">
        <v>4492</v>
      </c>
      <c r="D2560" t="s">
        <v>4493</v>
      </c>
      <c r="E2560" t="str">
        <f>"1361300048200"</f>
        <v>0</v>
      </c>
      <c r="F2560" t="str">
        <f>"000650"</f>
        <v>0</v>
      </c>
      <c r="G2560" t="s">
        <v>21</v>
      </c>
    </row>
    <row r="2561" spans="1:7">
      <c r="A2561">
        <v>2560</v>
      </c>
      <c r="B2561" t="str">
        <f>"024477"</f>
        <v>0</v>
      </c>
      <c r="C2561" t="s">
        <v>4494</v>
      </c>
      <c r="D2561" t="s">
        <v>4495</v>
      </c>
      <c r="E2561" t="str">
        <f>"5430500047143"</f>
        <v>0</v>
      </c>
      <c r="F2561" t="str">
        <f>"000650"</f>
        <v>0</v>
      </c>
      <c r="G2561" t="s">
        <v>21</v>
      </c>
    </row>
    <row r="2562" spans="1:7">
      <c r="A2562">
        <v>2561</v>
      </c>
      <c r="B2562" t="str">
        <f>"024601"</f>
        <v>0</v>
      </c>
      <c r="C2562" t="s">
        <v>4496</v>
      </c>
      <c r="D2562" t="s">
        <v>4497</v>
      </c>
      <c r="E2562" t="str">
        <f>"1360400063579"</f>
        <v>0</v>
      </c>
      <c r="F2562" t="str">
        <f>"000650"</f>
        <v>0</v>
      </c>
      <c r="G2562" t="s">
        <v>21</v>
      </c>
    </row>
    <row r="2563" spans="1:7">
      <c r="A2563">
        <v>2562</v>
      </c>
      <c r="B2563" t="str">
        <f>"024747"</f>
        <v>0</v>
      </c>
      <c r="C2563" t="s">
        <v>4498</v>
      </c>
      <c r="D2563" t="s">
        <v>4499</v>
      </c>
      <c r="E2563" t="str">
        <f>"3360101187183"</f>
        <v>0</v>
      </c>
      <c r="F2563" t="str">
        <f>"000650"</f>
        <v>0</v>
      </c>
      <c r="G2563" t="s">
        <v>21</v>
      </c>
    </row>
    <row r="2564" spans="1:7">
      <c r="A2564">
        <v>2563</v>
      </c>
      <c r="B2564" t="str">
        <f>"024931"</f>
        <v>0</v>
      </c>
      <c r="C2564" t="s">
        <v>4500</v>
      </c>
      <c r="D2564" t="s">
        <v>4501</v>
      </c>
      <c r="E2564" t="str">
        <f>"3360400436860"</f>
        <v>0</v>
      </c>
      <c r="F2564" t="str">
        <f>"000650"</f>
        <v>0</v>
      </c>
      <c r="G2564" t="s">
        <v>21</v>
      </c>
    </row>
    <row r="2565" spans="1:7">
      <c r="A2565">
        <v>2564</v>
      </c>
      <c r="B2565" t="str">
        <f>"025242"</f>
        <v>0</v>
      </c>
      <c r="C2565" t="s">
        <v>2165</v>
      </c>
      <c r="D2565" t="s">
        <v>4502</v>
      </c>
      <c r="E2565" t="str">
        <f>"3360500715850"</f>
        <v>0</v>
      </c>
      <c r="F2565" t="str">
        <f>"000650"</f>
        <v>0</v>
      </c>
      <c r="G2565" t="s">
        <v>21</v>
      </c>
    </row>
    <row r="2566" spans="1:7">
      <c r="A2566">
        <v>2565</v>
      </c>
      <c r="B2566" t="str">
        <f>"025244"</f>
        <v>0</v>
      </c>
      <c r="C2566" t="s">
        <v>3171</v>
      </c>
      <c r="D2566" t="s">
        <v>4503</v>
      </c>
      <c r="E2566" t="str">
        <f>"1360400067451"</f>
        <v>0</v>
      </c>
      <c r="F2566" t="str">
        <f>"000650"</f>
        <v>0</v>
      </c>
      <c r="G2566" t="s">
        <v>21</v>
      </c>
    </row>
    <row r="2567" spans="1:7">
      <c r="A2567">
        <v>2566</v>
      </c>
      <c r="B2567" t="str">
        <f>"025245"</f>
        <v>0</v>
      </c>
      <c r="C2567" t="s">
        <v>4504</v>
      </c>
      <c r="D2567" t="s">
        <v>4505</v>
      </c>
      <c r="E2567" t="str">
        <f>"3430200653009"</f>
        <v>0</v>
      </c>
      <c r="F2567" t="str">
        <f>"000650"</f>
        <v>0</v>
      </c>
      <c r="G2567" t="s">
        <v>21</v>
      </c>
    </row>
    <row r="2568" spans="1:7">
      <c r="A2568">
        <v>2567</v>
      </c>
      <c r="B2568" t="str">
        <f>"025465"</f>
        <v>0</v>
      </c>
      <c r="C2568" t="s">
        <v>4506</v>
      </c>
      <c r="D2568" t="s">
        <v>4507</v>
      </c>
      <c r="E2568" t="str">
        <f>"1361000089202"</f>
        <v>0</v>
      </c>
      <c r="F2568" t="str">
        <f>"000650"</f>
        <v>0</v>
      </c>
      <c r="G2568" t="s">
        <v>21</v>
      </c>
    </row>
    <row r="2569" spans="1:7">
      <c r="A2569">
        <v>2568</v>
      </c>
      <c r="B2569" t="str">
        <f>"025859"</f>
        <v>0</v>
      </c>
      <c r="C2569" t="s">
        <v>4508</v>
      </c>
      <c r="D2569" t="s">
        <v>4509</v>
      </c>
      <c r="E2569" t="str">
        <f>"3361200092912"</f>
        <v>0</v>
      </c>
      <c r="F2569" t="str">
        <f>"000650"</f>
        <v>0</v>
      </c>
      <c r="G2569" t="s">
        <v>21</v>
      </c>
    </row>
    <row r="2570" spans="1:7">
      <c r="A2570">
        <v>2569</v>
      </c>
      <c r="B2570" t="str">
        <f>"025958"</f>
        <v>0</v>
      </c>
      <c r="C2570" t="s">
        <v>4510</v>
      </c>
      <c r="D2570" t="s">
        <v>4511</v>
      </c>
      <c r="E2570" t="str">
        <f>"1360400063561"</f>
        <v>0</v>
      </c>
      <c r="F2570" t="str">
        <f>"000650"</f>
        <v>0</v>
      </c>
      <c r="G2570" t="s">
        <v>21</v>
      </c>
    </row>
    <row r="2571" spans="1:7">
      <c r="A2571">
        <v>2570</v>
      </c>
      <c r="B2571" t="str">
        <f>"026113"</f>
        <v>0</v>
      </c>
      <c r="C2571" t="s">
        <v>4512</v>
      </c>
      <c r="D2571" t="s">
        <v>4513</v>
      </c>
      <c r="E2571" t="str">
        <f>"1360400007229"</f>
        <v>0</v>
      </c>
      <c r="F2571" t="str">
        <f>"000650"</f>
        <v>0</v>
      </c>
      <c r="G2571" t="s">
        <v>21</v>
      </c>
    </row>
    <row r="2572" spans="1:7">
      <c r="A2572">
        <v>2571</v>
      </c>
      <c r="B2572" t="str">
        <f>"026313"</f>
        <v>0</v>
      </c>
      <c r="C2572" t="s">
        <v>4514</v>
      </c>
      <c r="D2572" t="s">
        <v>4515</v>
      </c>
      <c r="E2572" t="str">
        <f>"3361200247355"</f>
        <v>0</v>
      </c>
      <c r="F2572" t="str">
        <f>"000650"</f>
        <v>0</v>
      </c>
      <c r="G2572" t="s">
        <v>21</v>
      </c>
    </row>
    <row r="2573" spans="1:7">
      <c r="A2573">
        <v>2572</v>
      </c>
      <c r="B2573" t="str">
        <f>"026475"</f>
        <v>0</v>
      </c>
      <c r="C2573" t="s">
        <v>4516</v>
      </c>
      <c r="D2573" t="s">
        <v>4517</v>
      </c>
      <c r="E2573" t="str">
        <f>"1309700005432"</f>
        <v>0</v>
      </c>
      <c r="F2573" t="str">
        <f>"000650"</f>
        <v>0</v>
      </c>
      <c r="G2573" t="s">
        <v>21</v>
      </c>
    </row>
    <row r="2574" spans="1:7">
      <c r="A2574">
        <v>2573</v>
      </c>
      <c r="B2574" t="str">
        <f>"026687"</f>
        <v>0</v>
      </c>
      <c r="C2574" t="s">
        <v>4518</v>
      </c>
      <c r="D2574" t="s">
        <v>4519</v>
      </c>
      <c r="E2574" t="str">
        <f>"3360300327538"</f>
        <v>0</v>
      </c>
      <c r="F2574" t="str">
        <f>"000650"</f>
        <v>0</v>
      </c>
      <c r="G2574" t="s">
        <v>21</v>
      </c>
    </row>
    <row r="2575" spans="1:7">
      <c r="A2575">
        <v>2574</v>
      </c>
      <c r="B2575" t="str">
        <f>"026689"</f>
        <v>0</v>
      </c>
      <c r="C2575" t="s">
        <v>4520</v>
      </c>
      <c r="D2575" t="s">
        <v>4521</v>
      </c>
      <c r="E2575" t="str">
        <f>"1360500014791"</f>
        <v>0</v>
      </c>
      <c r="F2575" t="str">
        <f>"000650"</f>
        <v>0</v>
      </c>
      <c r="G2575" t="s">
        <v>21</v>
      </c>
    </row>
    <row r="2576" spans="1:7">
      <c r="A2576">
        <v>2575</v>
      </c>
      <c r="B2576" t="str">
        <f>"026690"</f>
        <v>0</v>
      </c>
      <c r="C2576" t="s">
        <v>4522</v>
      </c>
      <c r="D2576" t="s">
        <v>4523</v>
      </c>
      <c r="E2576" t="str">
        <f>"1369900257851"</f>
        <v>0</v>
      </c>
      <c r="F2576" t="str">
        <f>"000650"</f>
        <v>0</v>
      </c>
      <c r="G2576" t="s">
        <v>21</v>
      </c>
    </row>
    <row r="2577" spans="1:7">
      <c r="A2577">
        <v>2576</v>
      </c>
      <c r="B2577" t="str">
        <f>"027097"</f>
        <v>0</v>
      </c>
      <c r="C2577" t="s">
        <v>4524</v>
      </c>
      <c r="D2577" t="s">
        <v>4525</v>
      </c>
      <c r="E2577" t="str">
        <f>"1360200036497"</f>
        <v>0</v>
      </c>
      <c r="F2577" t="str">
        <f>"000650"</f>
        <v>0</v>
      </c>
      <c r="G2577" t="s">
        <v>21</v>
      </c>
    </row>
    <row r="2578" spans="1:7">
      <c r="A2578">
        <v>2577</v>
      </c>
      <c r="B2578" t="str">
        <f>"027099"</f>
        <v>0</v>
      </c>
      <c r="C2578" t="s">
        <v>4526</v>
      </c>
      <c r="D2578" t="s">
        <v>4527</v>
      </c>
      <c r="E2578" t="str">
        <f>"1309902440971"</f>
        <v>0</v>
      </c>
      <c r="F2578" t="str">
        <f>"000650"</f>
        <v>0</v>
      </c>
      <c r="G2578" t="s">
        <v>21</v>
      </c>
    </row>
    <row r="2579" spans="1:7">
      <c r="A2579">
        <v>2578</v>
      </c>
      <c r="B2579" t="str">
        <f>"027101"</f>
        <v>0</v>
      </c>
      <c r="C2579" t="s">
        <v>4528</v>
      </c>
      <c r="D2579" t="s">
        <v>4529</v>
      </c>
      <c r="E2579" t="str">
        <f>"1361000042478"</f>
        <v>0</v>
      </c>
      <c r="F2579" t="str">
        <f>"000650"</f>
        <v>0</v>
      </c>
      <c r="G2579" t="s">
        <v>21</v>
      </c>
    </row>
    <row r="2580" spans="1:7">
      <c r="A2580">
        <v>2579</v>
      </c>
      <c r="B2580" t="str">
        <f>"027104"</f>
        <v>0</v>
      </c>
      <c r="C2580" t="s">
        <v>4530</v>
      </c>
      <c r="D2580" t="s">
        <v>4531</v>
      </c>
      <c r="E2580" t="str">
        <f>"1409900156042"</f>
        <v>0</v>
      </c>
      <c r="F2580" t="str">
        <f>"000650"</f>
        <v>0</v>
      </c>
      <c r="G2580" t="s">
        <v>21</v>
      </c>
    </row>
    <row r="2581" spans="1:7">
      <c r="A2581">
        <v>2580</v>
      </c>
      <c r="B2581" t="str">
        <f>"027471"</f>
        <v>0</v>
      </c>
      <c r="C2581" t="s">
        <v>4532</v>
      </c>
      <c r="D2581" t="s">
        <v>4533</v>
      </c>
      <c r="E2581" t="str">
        <f>"1360600129328"</f>
        <v>0</v>
      </c>
      <c r="F2581" t="str">
        <f>"000650"</f>
        <v>0</v>
      </c>
      <c r="G2581" t="s">
        <v>21</v>
      </c>
    </row>
    <row r="2582" spans="1:7">
      <c r="A2582">
        <v>2581</v>
      </c>
      <c r="B2582" t="str">
        <f>"014823"</f>
        <v>0</v>
      </c>
      <c r="C2582" t="s">
        <v>4534</v>
      </c>
      <c r="D2582" t="s">
        <v>4535</v>
      </c>
      <c r="E2582" t="str">
        <f>"3409900365152"</f>
        <v>0</v>
      </c>
      <c r="F2582" t="str">
        <f>"000650"</f>
        <v>0</v>
      </c>
      <c r="G2582" t="s">
        <v>21</v>
      </c>
    </row>
    <row r="2583" spans="1:7">
      <c r="A2583">
        <v>2582</v>
      </c>
      <c r="B2583" t="str">
        <f>"019177"</f>
        <v>0</v>
      </c>
      <c r="C2583" t="s">
        <v>4536</v>
      </c>
      <c r="D2583" t="s">
        <v>2832</v>
      </c>
      <c r="E2583" t="str">
        <f>"5401700009823"</f>
        <v>0</v>
      </c>
      <c r="F2583" t="str">
        <f>"000650"</f>
        <v>0</v>
      </c>
      <c r="G2583" t="s">
        <v>21</v>
      </c>
    </row>
    <row r="2584" spans="1:7">
      <c r="A2584">
        <v>2583</v>
      </c>
      <c r="B2584" t="str">
        <f>"021313"</f>
        <v>0</v>
      </c>
      <c r="C2584" t="s">
        <v>4537</v>
      </c>
      <c r="D2584" t="s">
        <v>4538</v>
      </c>
      <c r="E2584" t="str">
        <f>"3401600207481"</f>
        <v>0</v>
      </c>
      <c r="F2584" t="str">
        <f>"000650"</f>
        <v>0</v>
      </c>
      <c r="G2584" t="s">
        <v>21</v>
      </c>
    </row>
    <row r="2585" spans="1:7">
      <c r="A2585">
        <v>2584</v>
      </c>
      <c r="B2585" t="str">
        <f>"021817"</f>
        <v>0</v>
      </c>
      <c r="C2585" t="s">
        <v>4539</v>
      </c>
      <c r="D2585" t="s">
        <v>4540</v>
      </c>
      <c r="E2585" t="str">
        <f>"3341501683618"</f>
        <v>0</v>
      </c>
      <c r="F2585" t="str">
        <f>"000650"</f>
        <v>0</v>
      </c>
      <c r="G2585" t="s">
        <v>21</v>
      </c>
    </row>
    <row r="2586" spans="1:7">
      <c r="A2586">
        <v>2585</v>
      </c>
      <c r="B2586" t="str">
        <f>"024333"</f>
        <v>0</v>
      </c>
      <c r="C2586" t="s">
        <v>4541</v>
      </c>
      <c r="D2586" t="s">
        <v>4542</v>
      </c>
      <c r="E2586" t="str">
        <f>"1119900180566"</f>
        <v>0</v>
      </c>
      <c r="F2586" t="str">
        <f>"000650"</f>
        <v>0</v>
      </c>
      <c r="G2586" t="s">
        <v>21</v>
      </c>
    </row>
    <row r="2587" spans="1:7">
      <c r="A2587">
        <v>2586</v>
      </c>
      <c r="B2587" t="str">
        <f>"025096"</f>
        <v>0</v>
      </c>
      <c r="C2587" t="s">
        <v>4543</v>
      </c>
      <c r="D2587" t="s">
        <v>4544</v>
      </c>
      <c r="E2587" t="str">
        <f>"1401800002445"</f>
        <v>0</v>
      </c>
      <c r="F2587" t="str">
        <f>"000650"</f>
        <v>0</v>
      </c>
      <c r="G2587" t="s">
        <v>21</v>
      </c>
    </row>
    <row r="2588" spans="1:7">
      <c r="A2588">
        <v>2587</v>
      </c>
      <c r="B2588" t="str">
        <f>"025459"</f>
        <v>0</v>
      </c>
      <c r="C2588" t="s">
        <v>4545</v>
      </c>
      <c r="D2588" t="s">
        <v>4546</v>
      </c>
      <c r="E2588" t="str">
        <f>"1400500013068"</f>
        <v>0</v>
      </c>
      <c r="F2588" t="str">
        <f>"000650"</f>
        <v>0</v>
      </c>
      <c r="G2588" t="s">
        <v>21</v>
      </c>
    </row>
    <row r="2589" spans="1:7">
      <c r="A2589">
        <v>2588</v>
      </c>
      <c r="B2589" t="str">
        <f>"026114"</f>
        <v>0</v>
      </c>
      <c r="C2589" t="s">
        <v>4547</v>
      </c>
      <c r="D2589" t="s">
        <v>4548</v>
      </c>
      <c r="E2589" t="str">
        <f>"1509900229189"</f>
        <v>0</v>
      </c>
      <c r="F2589" t="str">
        <f>"000650"</f>
        <v>0</v>
      </c>
      <c r="G2589" t="s">
        <v>21</v>
      </c>
    </row>
    <row r="2590" spans="1:7">
      <c r="A2590">
        <v>2589</v>
      </c>
      <c r="B2590" t="str">
        <f>"027445"</f>
        <v>0</v>
      </c>
      <c r="C2590" t="s">
        <v>1269</v>
      </c>
      <c r="D2590" t="s">
        <v>4549</v>
      </c>
      <c r="E2590" t="str">
        <f>"1409900232555"</f>
        <v>0</v>
      </c>
      <c r="F2590" t="str">
        <f>"000650"</f>
        <v>0</v>
      </c>
      <c r="G2590" t="s">
        <v>21</v>
      </c>
    </row>
    <row r="2591" spans="1:7">
      <c r="A2591">
        <v>2590</v>
      </c>
      <c r="B2591" t="str">
        <f>"026112"</f>
        <v>0</v>
      </c>
      <c r="C2591" t="s">
        <v>4550</v>
      </c>
      <c r="D2591" t="s">
        <v>4551</v>
      </c>
      <c r="E2591" t="str">
        <f>"1449900099332"</f>
        <v>0</v>
      </c>
      <c r="F2591" t="str">
        <f>"000650"</f>
        <v>0</v>
      </c>
      <c r="G2591" t="s">
        <v>21</v>
      </c>
    </row>
    <row r="2592" spans="1:7">
      <c r="A2592">
        <v>2591</v>
      </c>
      <c r="B2592" t="str">
        <f>"022943"</f>
        <v>0</v>
      </c>
      <c r="C2592" t="s">
        <v>4552</v>
      </c>
      <c r="D2592" t="s">
        <v>4553</v>
      </c>
      <c r="E2592" t="str">
        <f>"3360100955101"</f>
        <v>0</v>
      </c>
      <c r="F2592" t="str">
        <f>"000650"</f>
        <v>0</v>
      </c>
      <c r="G2592" t="s">
        <v>21</v>
      </c>
    </row>
    <row r="2593" spans="1:7">
      <c r="A2593">
        <v>2592</v>
      </c>
      <c r="B2593" t="str">
        <f>"026476"</f>
        <v>0</v>
      </c>
      <c r="C2593" t="s">
        <v>4554</v>
      </c>
      <c r="D2593" t="s">
        <v>4555</v>
      </c>
      <c r="E2593" t="str">
        <f>"1509900696267"</f>
        <v>0</v>
      </c>
      <c r="F2593" t="str">
        <f>"000650"</f>
        <v>0</v>
      </c>
      <c r="G2593" t="s">
        <v>21</v>
      </c>
    </row>
    <row r="2594" spans="1:7">
      <c r="A2594">
        <v>2593</v>
      </c>
      <c r="B2594" t="str">
        <f>"026567"</f>
        <v>0</v>
      </c>
      <c r="C2594" t="s">
        <v>4556</v>
      </c>
      <c r="D2594" t="s">
        <v>4557</v>
      </c>
      <c r="E2594" t="str">
        <f>"1580600039106"</f>
        <v>0</v>
      </c>
      <c r="F2594" t="str">
        <f>"000650"</f>
        <v>0</v>
      </c>
      <c r="G2594" t="s">
        <v>21</v>
      </c>
    </row>
    <row r="2595" spans="1:7">
      <c r="A2595">
        <v>2594</v>
      </c>
      <c r="B2595" t="str">
        <f>"025860"</f>
        <v>0</v>
      </c>
      <c r="C2595" t="s">
        <v>4558</v>
      </c>
      <c r="D2595" t="s">
        <v>4559</v>
      </c>
      <c r="E2595" t="str">
        <f>"1180200062937"</f>
        <v>0</v>
      </c>
      <c r="F2595" t="str">
        <f>"000650"</f>
        <v>0</v>
      </c>
      <c r="G2595" t="s">
        <v>21</v>
      </c>
    </row>
    <row r="2596" spans="1:7">
      <c r="A2596">
        <v>2595</v>
      </c>
      <c r="B2596" t="str">
        <f>"027102"</f>
        <v>0</v>
      </c>
      <c r="C2596" t="s">
        <v>4560</v>
      </c>
      <c r="D2596" t="s">
        <v>4561</v>
      </c>
      <c r="E2596" t="str">
        <f>"1770600022961"</f>
        <v>0</v>
      </c>
      <c r="F2596" t="str">
        <f>"000650"</f>
        <v>0</v>
      </c>
      <c r="G2596" t="s">
        <v>21</v>
      </c>
    </row>
    <row r="2597" spans="1:7">
      <c r="A2597">
        <v>2596</v>
      </c>
      <c r="B2597" t="str">
        <f>"026688"</f>
        <v>0</v>
      </c>
      <c r="C2597" t="s">
        <v>4562</v>
      </c>
      <c r="D2597" t="s">
        <v>4563</v>
      </c>
      <c r="E2597" t="str">
        <f>"3169900084881"</f>
        <v>0</v>
      </c>
      <c r="F2597" t="str">
        <f>"000650"</f>
        <v>0</v>
      </c>
      <c r="G2597" t="s">
        <v>21</v>
      </c>
    </row>
    <row r="2598" spans="1:7">
      <c r="A2598">
        <v>2597</v>
      </c>
      <c r="B2598" t="str">
        <f>"024459"</f>
        <v>0</v>
      </c>
      <c r="C2598" t="s">
        <v>4564</v>
      </c>
      <c r="D2598" t="s">
        <v>4565</v>
      </c>
      <c r="E2598" t="str">
        <f>"1800900013622"</f>
        <v>0</v>
      </c>
      <c r="F2598" t="str">
        <f>"000650"</f>
        <v>0</v>
      </c>
      <c r="G2598" t="s">
        <v>21</v>
      </c>
    </row>
    <row r="2599" spans="1:7">
      <c r="A2599">
        <v>2598</v>
      </c>
      <c r="B2599" t="str">
        <f>"020935"</f>
        <v>0</v>
      </c>
      <c r="C2599" t="s">
        <v>4566</v>
      </c>
      <c r="D2599" t="s">
        <v>4567</v>
      </c>
      <c r="E2599" t="str">
        <f>"3361100181069"</f>
        <v>0</v>
      </c>
      <c r="F2599" t="str">
        <f>"000650"</f>
        <v>0</v>
      </c>
      <c r="G2599" t="s">
        <v>21</v>
      </c>
    </row>
    <row r="2600" spans="1:7">
      <c r="A2600">
        <v>2599</v>
      </c>
      <c r="B2600" t="str">
        <f>"021566"</f>
        <v>0</v>
      </c>
      <c r="C2600" t="s">
        <v>4568</v>
      </c>
      <c r="D2600" t="s">
        <v>3567</v>
      </c>
      <c r="E2600" t="str">
        <f>"3360100414950"</f>
        <v>0</v>
      </c>
      <c r="F2600" t="str">
        <f>"000650"</f>
        <v>0</v>
      </c>
      <c r="G2600" t="s">
        <v>21</v>
      </c>
    </row>
    <row r="2601" spans="1:7">
      <c r="A2601">
        <v>2600</v>
      </c>
      <c r="B2601" t="str">
        <f>"027544"</f>
        <v>0</v>
      </c>
      <c r="C2601" t="s">
        <v>4569</v>
      </c>
      <c r="D2601" t="s">
        <v>4570</v>
      </c>
      <c r="E2601" t="str">
        <f>"1501100087188"</f>
        <v>0</v>
      </c>
      <c r="F2601" t="str">
        <f>"000650"</f>
        <v>0</v>
      </c>
      <c r="G2601" t="s">
        <v>21</v>
      </c>
    </row>
    <row r="2602" spans="1:7">
      <c r="A2602">
        <v>2601</v>
      </c>
      <c r="B2602" t="str">
        <f>"027545"</f>
        <v>0</v>
      </c>
      <c r="C2602" t="s">
        <v>4571</v>
      </c>
      <c r="D2602" t="s">
        <v>4572</v>
      </c>
      <c r="E2602" t="str">
        <f>"1500300123993"</f>
        <v>0</v>
      </c>
      <c r="F2602" t="str">
        <f>"000650"</f>
        <v>0</v>
      </c>
      <c r="G2602" t="s">
        <v>21</v>
      </c>
    </row>
    <row r="2603" spans="1:7">
      <c r="A2603">
        <v>2602</v>
      </c>
      <c r="B2603" t="str">
        <f>"027546"</f>
        <v>0</v>
      </c>
      <c r="C2603" t="s">
        <v>4573</v>
      </c>
      <c r="D2603" t="s">
        <v>4574</v>
      </c>
      <c r="E2603" t="str">
        <f>"1369900219797"</f>
        <v>0</v>
      </c>
      <c r="F2603" t="str">
        <f>"000650"</f>
        <v>0</v>
      </c>
      <c r="G2603" t="s">
        <v>21</v>
      </c>
    </row>
    <row r="2604" spans="1:7">
      <c r="A2604">
        <v>2603</v>
      </c>
      <c r="B2604" t="str">
        <f>"000341"</f>
        <v>0</v>
      </c>
      <c r="C2604" t="s">
        <v>4575</v>
      </c>
      <c r="D2604" t="s">
        <v>4576</v>
      </c>
      <c r="E2604" t="str">
        <f>"3120101500207"</f>
        <v>0</v>
      </c>
      <c r="F2604" t="str">
        <f>"000680"</f>
        <v>0</v>
      </c>
      <c r="G2604" t="s">
        <v>21</v>
      </c>
    </row>
    <row r="2605" spans="1:7">
      <c r="A2605">
        <v>2604</v>
      </c>
      <c r="B2605" t="str">
        <f>"000657"</f>
        <v>0</v>
      </c>
      <c r="C2605" t="s">
        <v>4577</v>
      </c>
      <c r="D2605" t="s">
        <v>4578</v>
      </c>
      <c r="E2605" t="str">
        <f>"3860600023475"</f>
        <v>0</v>
      </c>
      <c r="F2605" t="str">
        <f>"000680"</f>
        <v>0</v>
      </c>
      <c r="G2605" t="s">
        <v>21</v>
      </c>
    </row>
    <row r="2606" spans="1:7">
      <c r="A2606">
        <v>2605</v>
      </c>
      <c r="B2606" t="str">
        <f>"000658"</f>
        <v>0</v>
      </c>
      <c r="C2606" t="s">
        <v>4579</v>
      </c>
      <c r="D2606" t="s">
        <v>4580</v>
      </c>
      <c r="E2606" t="str">
        <f>"3869900086063"</f>
        <v>0</v>
      </c>
      <c r="F2606" t="str">
        <f>"000680"</f>
        <v>0</v>
      </c>
      <c r="G2606" t="s">
        <v>21</v>
      </c>
    </row>
    <row r="2607" spans="1:7">
      <c r="A2607">
        <v>2606</v>
      </c>
      <c r="B2607" t="str">
        <f>"000906"</f>
        <v>0</v>
      </c>
      <c r="C2607" t="s">
        <v>4581</v>
      </c>
      <c r="D2607" t="s">
        <v>4582</v>
      </c>
      <c r="E2607" t="str">
        <f>"3860300027319"</f>
        <v>0</v>
      </c>
      <c r="F2607" t="str">
        <f>"000680"</f>
        <v>0</v>
      </c>
      <c r="G2607" t="s">
        <v>21</v>
      </c>
    </row>
    <row r="2608" spans="1:7">
      <c r="A2608">
        <v>2607</v>
      </c>
      <c r="B2608" t="str">
        <f>"001844"</f>
        <v>0</v>
      </c>
      <c r="C2608" t="s">
        <v>4583</v>
      </c>
      <c r="D2608" t="s">
        <v>4584</v>
      </c>
      <c r="E2608" t="str">
        <f>"3850100126861"</f>
        <v>0</v>
      </c>
      <c r="F2608" t="str">
        <f>"000680"</f>
        <v>0</v>
      </c>
      <c r="G2608" t="s">
        <v>21</v>
      </c>
    </row>
    <row r="2609" spans="1:7">
      <c r="A2609">
        <v>2608</v>
      </c>
      <c r="B2609" t="str">
        <f>"001940"</f>
        <v>0</v>
      </c>
      <c r="C2609" t="s">
        <v>4585</v>
      </c>
      <c r="D2609" t="s">
        <v>4336</v>
      </c>
      <c r="E2609" t="str">
        <f>"3869800033278"</f>
        <v>0</v>
      </c>
      <c r="F2609" t="str">
        <f>"000680"</f>
        <v>0</v>
      </c>
      <c r="G2609" t="s">
        <v>21</v>
      </c>
    </row>
    <row r="2610" spans="1:7">
      <c r="A2610">
        <v>2609</v>
      </c>
      <c r="B2610" t="str">
        <f>"002160"</f>
        <v>0</v>
      </c>
      <c r="C2610" t="s">
        <v>3837</v>
      </c>
      <c r="D2610" t="s">
        <v>4586</v>
      </c>
      <c r="E2610" t="str">
        <f>"3860300331051"</f>
        <v>0</v>
      </c>
      <c r="F2610" t="str">
        <f>"000680"</f>
        <v>0</v>
      </c>
      <c r="G2610" t="s">
        <v>21</v>
      </c>
    </row>
    <row r="2611" spans="1:7">
      <c r="A2611">
        <v>2610</v>
      </c>
      <c r="B2611" t="str">
        <f>"002161"</f>
        <v>0</v>
      </c>
      <c r="C2611" t="s">
        <v>4587</v>
      </c>
      <c r="D2611" t="s">
        <v>4588</v>
      </c>
      <c r="E2611" t="str">
        <f>"3860300037641"</f>
        <v>0</v>
      </c>
      <c r="F2611" t="str">
        <f>"000680"</f>
        <v>0</v>
      </c>
      <c r="G2611" t="s">
        <v>21</v>
      </c>
    </row>
    <row r="2612" spans="1:7">
      <c r="A2612">
        <v>2611</v>
      </c>
      <c r="B2612" t="str">
        <f>"002195"</f>
        <v>0</v>
      </c>
      <c r="C2612" t="s">
        <v>4589</v>
      </c>
      <c r="D2612" t="s">
        <v>4590</v>
      </c>
      <c r="E2612" t="str">
        <f>"3860300331000"</f>
        <v>0</v>
      </c>
      <c r="F2612" t="str">
        <f>"000680"</f>
        <v>0</v>
      </c>
      <c r="G2612" t="s">
        <v>21</v>
      </c>
    </row>
    <row r="2613" spans="1:7">
      <c r="A2613">
        <v>2612</v>
      </c>
      <c r="B2613" t="str">
        <f>"002473"</f>
        <v>0</v>
      </c>
      <c r="C2613" t="s">
        <v>4591</v>
      </c>
      <c r="D2613" t="s">
        <v>4592</v>
      </c>
      <c r="E2613" t="str">
        <f>"3860700094901"</f>
        <v>0</v>
      </c>
      <c r="F2613" t="str">
        <f>"000680"</f>
        <v>0</v>
      </c>
      <c r="G2613" t="s">
        <v>21</v>
      </c>
    </row>
    <row r="2614" spans="1:7">
      <c r="A2614">
        <v>2613</v>
      </c>
      <c r="B2614" t="str">
        <f>"002665"</f>
        <v>0</v>
      </c>
      <c r="C2614" t="s">
        <v>46</v>
      </c>
      <c r="D2614" t="s">
        <v>4593</v>
      </c>
      <c r="E2614" t="str">
        <f>"3869900042279"</f>
        <v>0</v>
      </c>
      <c r="F2614" t="str">
        <f>"000680"</f>
        <v>0</v>
      </c>
      <c r="G2614" t="s">
        <v>21</v>
      </c>
    </row>
    <row r="2615" spans="1:7">
      <c r="A2615">
        <v>2614</v>
      </c>
      <c r="B2615" t="str">
        <f>"002733"</f>
        <v>0</v>
      </c>
      <c r="C2615" t="s">
        <v>2445</v>
      </c>
      <c r="D2615" t="s">
        <v>4594</v>
      </c>
      <c r="E2615" t="str">
        <f>"3770400311851"</f>
        <v>0</v>
      </c>
      <c r="F2615" t="str">
        <f>"000680"</f>
        <v>0</v>
      </c>
      <c r="G2615" t="s">
        <v>21</v>
      </c>
    </row>
    <row r="2616" spans="1:7">
      <c r="A2616">
        <v>2615</v>
      </c>
      <c r="B2616" t="str">
        <f>"002941"</f>
        <v>0</v>
      </c>
      <c r="C2616" t="s">
        <v>4595</v>
      </c>
      <c r="D2616" t="s">
        <v>4596</v>
      </c>
      <c r="E2616" t="str">
        <f>"3860400196988"</f>
        <v>0</v>
      </c>
      <c r="F2616" t="str">
        <f>"000680"</f>
        <v>0</v>
      </c>
      <c r="G2616" t="s">
        <v>21</v>
      </c>
    </row>
    <row r="2617" spans="1:7">
      <c r="A2617">
        <v>2616</v>
      </c>
      <c r="B2617" t="str">
        <f>"003098"</f>
        <v>0</v>
      </c>
      <c r="C2617" t="s">
        <v>460</v>
      </c>
      <c r="D2617" t="s">
        <v>4597</v>
      </c>
      <c r="E2617" t="str">
        <f>"3860100848670"</f>
        <v>0</v>
      </c>
      <c r="F2617" t="str">
        <f>"000680"</f>
        <v>0</v>
      </c>
      <c r="G2617" t="s">
        <v>21</v>
      </c>
    </row>
    <row r="2618" spans="1:7">
      <c r="A2618">
        <v>2617</v>
      </c>
      <c r="B2618" t="str">
        <f>"003558"</f>
        <v>0</v>
      </c>
      <c r="C2618" t="s">
        <v>4598</v>
      </c>
      <c r="D2618" t="s">
        <v>4599</v>
      </c>
      <c r="E2618" t="str">
        <f>"3860400338901"</f>
        <v>0</v>
      </c>
      <c r="F2618" t="str">
        <f>"000680"</f>
        <v>0</v>
      </c>
      <c r="G2618" t="s">
        <v>21</v>
      </c>
    </row>
    <row r="2619" spans="1:7">
      <c r="A2619">
        <v>2618</v>
      </c>
      <c r="B2619" t="str">
        <f>"003869"</f>
        <v>0</v>
      </c>
      <c r="C2619" t="s">
        <v>1408</v>
      </c>
      <c r="D2619" t="s">
        <v>4600</v>
      </c>
      <c r="E2619" t="str">
        <f>"3869900109489"</f>
        <v>0</v>
      </c>
      <c r="F2619" t="str">
        <f>"000680"</f>
        <v>0</v>
      </c>
      <c r="G2619" t="s">
        <v>21</v>
      </c>
    </row>
    <row r="2620" spans="1:7">
      <c r="A2620">
        <v>2619</v>
      </c>
      <c r="B2620" t="str">
        <f>"003871"</f>
        <v>0</v>
      </c>
      <c r="C2620" t="s">
        <v>2283</v>
      </c>
      <c r="D2620" t="s">
        <v>4601</v>
      </c>
      <c r="E2620" t="str">
        <f>"3100200040409"</f>
        <v>0</v>
      </c>
      <c r="F2620" t="str">
        <f>"000680"</f>
        <v>0</v>
      </c>
      <c r="G2620" t="s">
        <v>21</v>
      </c>
    </row>
    <row r="2621" spans="1:7">
      <c r="A2621">
        <v>2620</v>
      </c>
      <c r="B2621" t="str">
        <f>"004393"</f>
        <v>0</v>
      </c>
      <c r="C2621" t="s">
        <v>4602</v>
      </c>
      <c r="D2621" t="s">
        <v>4600</v>
      </c>
      <c r="E2621" t="str">
        <f>"3869900109438"</f>
        <v>0</v>
      </c>
      <c r="F2621" t="str">
        <f>"000680"</f>
        <v>0</v>
      </c>
      <c r="G2621" t="s">
        <v>21</v>
      </c>
    </row>
    <row r="2622" spans="1:7">
      <c r="A2622">
        <v>2621</v>
      </c>
      <c r="B2622" t="str">
        <f>"004655"</f>
        <v>0</v>
      </c>
      <c r="C2622" t="s">
        <v>3375</v>
      </c>
      <c r="D2622" t="s">
        <v>4603</v>
      </c>
      <c r="E2622" t="str">
        <f>"3860700416584"</f>
        <v>0</v>
      </c>
      <c r="F2622" t="str">
        <f>"000680"</f>
        <v>0</v>
      </c>
      <c r="G2622" t="s">
        <v>21</v>
      </c>
    </row>
    <row r="2623" spans="1:7">
      <c r="A2623">
        <v>2622</v>
      </c>
      <c r="B2623" t="str">
        <f>"005159"</f>
        <v>0</v>
      </c>
      <c r="C2623" t="s">
        <v>464</v>
      </c>
      <c r="D2623" t="s">
        <v>4604</v>
      </c>
      <c r="E2623" t="str">
        <f>"3850100150346"</f>
        <v>0</v>
      </c>
      <c r="F2623" t="str">
        <f>"000680"</f>
        <v>0</v>
      </c>
      <c r="G2623" t="s">
        <v>21</v>
      </c>
    </row>
    <row r="2624" spans="1:7">
      <c r="A2624">
        <v>2623</v>
      </c>
      <c r="B2624" t="str">
        <f>"005324"</f>
        <v>0</v>
      </c>
      <c r="C2624" t="s">
        <v>4605</v>
      </c>
      <c r="D2624" t="s">
        <v>4606</v>
      </c>
      <c r="E2624" t="str">
        <f>"3860700090964"</f>
        <v>0</v>
      </c>
      <c r="F2624" t="str">
        <f>"000680"</f>
        <v>0</v>
      </c>
      <c r="G2624" t="s">
        <v>21</v>
      </c>
    </row>
    <row r="2625" spans="1:7">
      <c r="A2625">
        <v>2624</v>
      </c>
      <c r="B2625" t="str">
        <f>"005830"</f>
        <v>0</v>
      </c>
      <c r="C2625" t="s">
        <v>4607</v>
      </c>
      <c r="D2625" t="s">
        <v>4608</v>
      </c>
      <c r="E2625" t="str">
        <f>"3150200047985"</f>
        <v>0</v>
      </c>
      <c r="F2625" t="str">
        <f>"000680"</f>
        <v>0</v>
      </c>
      <c r="G2625" t="s">
        <v>21</v>
      </c>
    </row>
    <row r="2626" spans="1:7">
      <c r="A2626">
        <v>2625</v>
      </c>
      <c r="B2626" t="str">
        <f>"005880"</f>
        <v>0</v>
      </c>
      <c r="C2626" t="s">
        <v>4609</v>
      </c>
      <c r="D2626" t="s">
        <v>4610</v>
      </c>
      <c r="E2626" t="str">
        <f>"3850400029534"</f>
        <v>0</v>
      </c>
      <c r="F2626" t="str">
        <f>"000680"</f>
        <v>0</v>
      </c>
      <c r="G2626" t="s">
        <v>21</v>
      </c>
    </row>
    <row r="2627" spans="1:7">
      <c r="A2627">
        <v>2626</v>
      </c>
      <c r="B2627" t="str">
        <f>"005971"</f>
        <v>0</v>
      </c>
      <c r="C2627" t="s">
        <v>1634</v>
      </c>
      <c r="D2627" t="s">
        <v>4611</v>
      </c>
      <c r="E2627" t="str">
        <f>"3860400063961"</f>
        <v>0</v>
      </c>
      <c r="F2627" t="str">
        <f>"000680"</f>
        <v>0</v>
      </c>
      <c r="G2627" t="s">
        <v>21</v>
      </c>
    </row>
    <row r="2628" spans="1:7">
      <c r="A2628">
        <v>2627</v>
      </c>
      <c r="B2628" t="str">
        <f>"005973"</f>
        <v>0</v>
      </c>
      <c r="C2628" t="s">
        <v>4612</v>
      </c>
      <c r="D2628" t="s">
        <v>4613</v>
      </c>
      <c r="E2628" t="str">
        <f>"3860101052542"</f>
        <v>0</v>
      </c>
      <c r="F2628" t="str">
        <f>"000680"</f>
        <v>0</v>
      </c>
      <c r="G2628" t="s">
        <v>21</v>
      </c>
    </row>
    <row r="2629" spans="1:7">
      <c r="A2629">
        <v>2628</v>
      </c>
      <c r="B2629" t="str">
        <f>"006461"</f>
        <v>0</v>
      </c>
      <c r="C2629" t="s">
        <v>4614</v>
      </c>
      <c r="D2629" t="s">
        <v>4615</v>
      </c>
      <c r="E2629" t="str">
        <f>"3869800045632"</f>
        <v>0</v>
      </c>
      <c r="F2629" t="str">
        <f>"000680"</f>
        <v>0</v>
      </c>
      <c r="G2629" t="s">
        <v>21</v>
      </c>
    </row>
    <row r="2630" spans="1:7">
      <c r="A2630">
        <v>2629</v>
      </c>
      <c r="B2630" t="str">
        <f>"006588"</f>
        <v>0</v>
      </c>
      <c r="C2630" t="s">
        <v>4616</v>
      </c>
      <c r="D2630" t="s">
        <v>174</v>
      </c>
      <c r="E2630" t="str">
        <f>"3841700676901"</f>
        <v>0</v>
      </c>
      <c r="F2630" t="str">
        <f>"000680"</f>
        <v>0</v>
      </c>
      <c r="G2630" t="s">
        <v>21</v>
      </c>
    </row>
    <row r="2631" spans="1:7">
      <c r="A2631">
        <v>2630</v>
      </c>
      <c r="B2631" t="str">
        <f>"006749"</f>
        <v>0</v>
      </c>
      <c r="C2631" t="s">
        <v>2535</v>
      </c>
      <c r="D2631" t="s">
        <v>4617</v>
      </c>
      <c r="E2631" t="str">
        <f>"3710200002455"</f>
        <v>0</v>
      </c>
      <c r="F2631" t="str">
        <f>"000680"</f>
        <v>0</v>
      </c>
      <c r="G2631" t="s">
        <v>21</v>
      </c>
    </row>
    <row r="2632" spans="1:7">
      <c r="A2632">
        <v>2631</v>
      </c>
      <c r="B2632" t="str">
        <f>"007152"</f>
        <v>0</v>
      </c>
      <c r="C2632" t="s">
        <v>701</v>
      </c>
      <c r="D2632" t="s">
        <v>4618</v>
      </c>
      <c r="E2632" t="str">
        <f>"3869800042471"</f>
        <v>0</v>
      </c>
      <c r="F2632" t="str">
        <f>"000680"</f>
        <v>0</v>
      </c>
      <c r="G2632" t="s">
        <v>21</v>
      </c>
    </row>
    <row r="2633" spans="1:7">
      <c r="A2633">
        <v>2632</v>
      </c>
      <c r="B2633" t="str">
        <f>"007521"</f>
        <v>0</v>
      </c>
      <c r="C2633" t="s">
        <v>4619</v>
      </c>
      <c r="D2633" t="s">
        <v>4336</v>
      </c>
      <c r="E2633" t="str">
        <f>"3920100417376"</f>
        <v>0</v>
      </c>
      <c r="F2633" t="str">
        <f>"000680"</f>
        <v>0</v>
      </c>
      <c r="G2633" t="s">
        <v>21</v>
      </c>
    </row>
    <row r="2634" spans="1:7">
      <c r="A2634">
        <v>2633</v>
      </c>
      <c r="B2634" t="str">
        <f>"008301"</f>
        <v>0</v>
      </c>
      <c r="C2634" t="s">
        <v>4620</v>
      </c>
      <c r="D2634" t="s">
        <v>4621</v>
      </c>
      <c r="E2634" t="str">
        <f>"3860700085421"</f>
        <v>0</v>
      </c>
      <c r="F2634" t="str">
        <f>"000680"</f>
        <v>0</v>
      </c>
      <c r="G2634" t="s">
        <v>21</v>
      </c>
    </row>
    <row r="2635" spans="1:7">
      <c r="A2635">
        <v>2634</v>
      </c>
      <c r="B2635" t="str">
        <f>"008392"</f>
        <v>0</v>
      </c>
      <c r="C2635" t="s">
        <v>4622</v>
      </c>
      <c r="D2635" t="s">
        <v>4623</v>
      </c>
      <c r="E2635" t="str">
        <f>"3860800014933"</f>
        <v>0</v>
      </c>
      <c r="F2635" t="str">
        <f>"000680"</f>
        <v>0</v>
      </c>
      <c r="G2635" t="s">
        <v>21</v>
      </c>
    </row>
    <row r="2636" spans="1:7">
      <c r="A2636">
        <v>2635</v>
      </c>
      <c r="B2636" t="str">
        <f>"008677"</f>
        <v>0</v>
      </c>
      <c r="C2636" t="s">
        <v>4624</v>
      </c>
      <c r="D2636" t="s">
        <v>4625</v>
      </c>
      <c r="E2636" t="str">
        <f>"3869800010146"</f>
        <v>0</v>
      </c>
      <c r="F2636" t="str">
        <f>"000680"</f>
        <v>0</v>
      </c>
      <c r="G2636" t="s">
        <v>21</v>
      </c>
    </row>
    <row r="2637" spans="1:7">
      <c r="A2637">
        <v>2636</v>
      </c>
      <c r="B2637" t="str">
        <f>"009310"</f>
        <v>0</v>
      </c>
      <c r="C2637" t="s">
        <v>2076</v>
      </c>
      <c r="D2637" t="s">
        <v>4626</v>
      </c>
      <c r="E2637" t="str">
        <f>"3860100470995"</f>
        <v>0</v>
      </c>
      <c r="F2637" t="str">
        <f>"000680"</f>
        <v>0</v>
      </c>
      <c r="G2637" t="s">
        <v>21</v>
      </c>
    </row>
    <row r="2638" spans="1:7">
      <c r="A2638">
        <v>2637</v>
      </c>
      <c r="B2638" t="str">
        <f>"009933"</f>
        <v>0</v>
      </c>
      <c r="C2638" t="s">
        <v>4627</v>
      </c>
      <c r="D2638" t="s">
        <v>4628</v>
      </c>
      <c r="E2638" t="str">
        <f>"3860400335392"</f>
        <v>0</v>
      </c>
      <c r="F2638" t="str">
        <f>"000680"</f>
        <v>0</v>
      </c>
      <c r="G2638" t="s">
        <v>21</v>
      </c>
    </row>
    <row r="2639" spans="1:7">
      <c r="A2639">
        <v>2638</v>
      </c>
      <c r="B2639" t="str">
        <f>"010034"</f>
        <v>0</v>
      </c>
      <c r="C2639" t="s">
        <v>4629</v>
      </c>
      <c r="D2639" t="s">
        <v>4630</v>
      </c>
      <c r="E2639" t="str">
        <f>"3860800045324"</f>
        <v>0</v>
      </c>
      <c r="F2639" t="str">
        <f>"000680"</f>
        <v>0</v>
      </c>
      <c r="G2639" t="s">
        <v>21</v>
      </c>
    </row>
    <row r="2640" spans="1:7">
      <c r="A2640">
        <v>2639</v>
      </c>
      <c r="B2640" t="str">
        <f>"010607"</f>
        <v>0</v>
      </c>
      <c r="C2640" t="s">
        <v>4631</v>
      </c>
      <c r="D2640" t="s">
        <v>4632</v>
      </c>
      <c r="E2640" t="str">
        <f>"3940200511455"</f>
        <v>0</v>
      </c>
      <c r="F2640" t="str">
        <f>"000680"</f>
        <v>0</v>
      </c>
      <c r="G2640" t="s">
        <v>21</v>
      </c>
    </row>
    <row r="2641" spans="1:7">
      <c r="A2641">
        <v>2640</v>
      </c>
      <c r="B2641" t="str">
        <f>"010781"</f>
        <v>0</v>
      </c>
      <c r="C2641" t="s">
        <v>4633</v>
      </c>
      <c r="D2641" t="s">
        <v>4634</v>
      </c>
      <c r="E2641" t="str">
        <f>"3860800012388"</f>
        <v>0</v>
      </c>
      <c r="F2641" t="str">
        <f>"000680"</f>
        <v>0</v>
      </c>
      <c r="G2641" t="s">
        <v>21</v>
      </c>
    </row>
    <row r="2642" spans="1:7">
      <c r="A2642">
        <v>2641</v>
      </c>
      <c r="B2642" t="str">
        <f>"010832"</f>
        <v>0</v>
      </c>
      <c r="C2642" t="s">
        <v>4635</v>
      </c>
      <c r="D2642" t="s">
        <v>4636</v>
      </c>
      <c r="E2642" t="str">
        <f>"3900400281429"</f>
        <v>0</v>
      </c>
      <c r="F2642" t="str">
        <f>"000680"</f>
        <v>0</v>
      </c>
      <c r="G2642" t="s">
        <v>21</v>
      </c>
    </row>
    <row r="2643" spans="1:7">
      <c r="A2643">
        <v>2642</v>
      </c>
      <c r="B2643" t="str">
        <f>"011857"</f>
        <v>0</v>
      </c>
      <c r="C2643" t="s">
        <v>520</v>
      </c>
      <c r="D2643" t="s">
        <v>4637</v>
      </c>
      <c r="E2643" t="str">
        <f>"3950500247133"</f>
        <v>0</v>
      </c>
      <c r="F2643" t="str">
        <f>"000680"</f>
        <v>0</v>
      </c>
      <c r="G2643" t="s">
        <v>21</v>
      </c>
    </row>
    <row r="2644" spans="1:7">
      <c r="A2644">
        <v>2643</v>
      </c>
      <c r="B2644" t="str">
        <f>"011911"</f>
        <v>0</v>
      </c>
      <c r="C2644" t="s">
        <v>56</v>
      </c>
      <c r="D2644" t="s">
        <v>4638</v>
      </c>
      <c r="E2644" t="str">
        <f>"3860100814503"</f>
        <v>0</v>
      </c>
      <c r="F2644" t="str">
        <f>"000680"</f>
        <v>0</v>
      </c>
      <c r="G2644" t="s">
        <v>21</v>
      </c>
    </row>
    <row r="2645" spans="1:7">
      <c r="A2645">
        <v>2644</v>
      </c>
      <c r="B2645" t="str">
        <f>"012499"</f>
        <v>0</v>
      </c>
      <c r="C2645" t="s">
        <v>126</v>
      </c>
      <c r="D2645" t="s">
        <v>4639</v>
      </c>
      <c r="E2645" t="str">
        <f>"3960500070110"</f>
        <v>0</v>
      </c>
      <c r="F2645" t="str">
        <f>"000680"</f>
        <v>0</v>
      </c>
      <c r="G2645" t="s">
        <v>21</v>
      </c>
    </row>
    <row r="2646" spans="1:7">
      <c r="A2646">
        <v>2645</v>
      </c>
      <c r="B2646" t="str">
        <f>"012665"</f>
        <v>0</v>
      </c>
      <c r="C2646" t="s">
        <v>774</v>
      </c>
      <c r="D2646" t="s">
        <v>4640</v>
      </c>
      <c r="E2646" t="str">
        <f>"3860200153631"</f>
        <v>0</v>
      </c>
      <c r="F2646" t="str">
        <f>"000680"</f>
        <v>0</v>
      </c>
      <c r="G2646" t="s">
        <v>21</v>
      </c>
    </row>
    <row r="2647" spans="1:7">
      <c r="A2647">
        <v>2646</v>
      </c>
      <c r="B2647" t="str">
        <f>"013364"</f>
        <v>0</v>
      </c>
      <c r="C2647" t="s">
        <v>4641</v>
      </c>
      <c r="D2647" t="s">
        <v>4642</v>
      </c>
      <c r="E2647" t="str">
        <f>"3819900027270"</f>
        <v>0</v>
      </c>
      <c r="F2647" t="str">
        <f>"000680"</f>
        <v>0</v>
      </c>
      <c r="G2647" t="s">
        <v>21</v>
      </c>
    </row>
    <row r="2648" spans="1:7">
      <c r="A2648">
        <v>2647</v>
      </c>
      <c r="B2648" t="str">
        <f>"013375"</f>
        <v>0</v>
      </c>
      <c r="C2648" t="s">
        <v>3256</v>
      </c>
      <c r="D2648" t="s">
        <v>4643</v>
      </c>
      <c r="E2648" t="str">
        <f>"3920200250741"</f>
        <v>0</v>
      </c>
      <c r="F2648" t="str">
        <f>"000680"</f>
        <v>0</v>
      </c>
      <c r="G2648" t="s">
        <v>21</v>
      </c>
    </row>
    <row r="2649" spans="1:7">
      <c r="A2649">
        <v>2648</v>
      </c>
      <c r="B2649" t="str">
        <f>"014089"</f>
        <v>0</v>
      </c>
      <c r="C2649" t="s">
        <v>144</v>
      </c>
      <c r="D2649" t="s">
        <v>4644</v>
      </c>
      <c r="E2649" t="str">
        <f>"3740300363239"</f>
        <v>0</v>
      </c>
      <c r="F2649" t="str">
        <f>"000680"</f>
        <v>0</v>
      </c>
      <c r="G2649" t="s">
        <v>21</v>
      </c>
    </row>
    <row r="2650" spans="1:7">
      <c r="A2650">
        <v>2649</v>
      </c>
      <c r="B2650" t="str">
        <f>"017367"</f>
        <v>0</v>
      </c>
      <c r="C2650" t="s">
        <v>4645</v>
      </c>
      <c r="D2650" t="s">
        <v>4646</v>
      </c>
      <c r="E2650" t="str">
        <f>"3860200467341"</f>
        <v>0</v>
      </c>
      <c r="F2650" t="str">
        <f>"000680"</f>
        <v>0</v>
      </c>
      <c r="G2650" t="s">
        <v>21</v>
      </c>
    </row>
    <row r="2651" spans="1:7">
      <c r="A2651">
        <v>2650</v>
      </c>
      <c r="B2651" t="str">
        <f>"018185"</f>
        <v>0</v>
      </c>
      <c r="C2651" t="s">
        <v>130</v>
      </c>
      <c r="D2651" t="s">
        <v>4647</v>
      </c>
      <c r="E2651" t="str">
        <f>"3800700008486"</f>
        <v>0</v>
      </c>
      <c r="F2651" t="str">
        <f>"000680"</f>
        <v>0</v>
      </c>
      <c r="G2651" t="s">
        <v>21</v>
      </c>
    </row>
    <row r="2652" spans="1:7">
      <c r="A2652">
        <v>2651</v>
      </c>
      <c r="B2652" t="str">
        <f>"019185"</f>
        <v>0</v>
      </c>
      <c r="C2652" t="s">
        <v>581</v>
      </c>
      <c r="D2652" t="s">
        <v>4648</v>
      </c>
      <c r="E2652" t="str">
        <f>"3860400098919"</f>
        <v>0</v>
      </c>
      <c r="F2652" t="str">
        <f>"000680"</f>
        <v>0</v>
      </c>
      <c r="G2652" t="s">
        <v>21</v>
      </c>
    </row>
    <row r="2653" spans="1:7">
      <c r="A2653">
        <v>2652</v>
      </c>
      <c r="B2653" t="str">
        <f>"022543"</f>
        <v>0</v>
      </c>
      <c r="C2653" t="s">
        <v>391</v>
      </c>
      <c r="D2653" t="s">
        <v>4649</v>
      </c>
      <c r="E2653" t="str">
        <f>"5100699039606"</f>
        <v>0</v>
      </c>
      <c r="F2653" t="str">
        <f>"000680"</f>
        <v>0</v>
      </c>
      <c r="G2653" t="s">
        <v>21</v>
      </c>
    </row>
    <row r="2654" spans="1:7">
      <c r="A2654">
        <v>2653</v>
      </c>
      <c r="B2654" t="str">
        <f>"021314"</f>
        <v>0</v>
      </c>
      <c r="C2654" t="s">
        <v>2925</v>
      </c>
      <c r="D2654" t="s">
        <v>4650</v>
      </c>
      <c r="E2654" t="str">
        <f>"3860300116966"</f>
        <v>0</v>
      </c>
      <c r="F2654" t="str">
        <f>"000680"</f>
        <v>0</v>
      </c>
      <c r="G2654" t="s">
        <v>21</v>
      </c>
    </row>
    <row r="2655" spans="1:7">
      <c r="A2655">
        <v>2654</v>
      </c>
      <c r="B2655" t="str">
        <f>"001479"</f>
        <v>0</v>
      </c>
      <c r="C2655" t="s">
        <v>4651</v>
      </c>
      <c r="D2655" t="s">
        <v>4652</v>
      </c>
      <c r="E2655" t="str">
        <f>"3869900115861"</f>
        <v>0</v>
      </c>
      <c r="F2655" t="str">
        <f>"000680"</f>
        <v>0</v>
      </c>
      <c r="G2655" t="s">
        <v>21</v>
      </c>
    </row>
    <row r="2656" spans="1:7">
      <c r="A2656">
        <v>2655</v>
      </c>
      <c r="B2656" t="str">
        <f>"003640"</f>
        <v>0</v>
      </c>
      <c r="C2656" t="s">
        <v>470</v>
      </c>
      <c r="D2656" t="s">
        <v>4653</v>
      </c>
      <c r="E2656" t="str">
        <f>"5860100017227"</f>
        <v>0</v>
      </c>
      <c r="F2656" t="str">
        <f>"000680"</f>
        <v>0</v>
      </c>
      <c r="G2656" t="s">
        <v>21</v>
      </c>
    </row>
    <row r="2657" spans="1:7">
      <c r="A2657">
        <v>2656</v>
      </c>
      <c r="B2657" t="str">
        <f>"025407"</f>
        <v>0</v>
      </c>
      <c r="C2657" t="s">
        <v>4654</v>
      </c>
      <c r="D2657" t="s">
        <v>4655</v>
      </c>
      <c r="E2657" t="str">
        <f>"1101401919500"</f>
        <v>0</v>
      </c>
      <c r="F2657" t="str">
        <f>"000680"</f>
        <v>0</v>
      </c>
      <c r="G2657" t="s">
        <v>21</v>
      </c>
    </row>
    <row r="2658" spans="1:7">
      <c r="A2658">
        <v>2657</v>
      </c>
      <c r="B2658" t="str">
        <f>"025377"</f>
        <v>0</v>
      </c>
      <c r="C2658" t="s">
        <v>4656</v>
      </c>
      <c r="D2658" t="s">
        <v>4657</v>
      </c>
      <c r="E2658" t="str">
        <f>"1101400484976"</f>
        <v>0</v>
      </c>
      <c r="F2658" t="str">
        <f>"000680"</f>
        <v>0</v>
      </c>
      <c r="G2658" t="s">
        <v>21</v>
      </c>
    </row>
    <row r="2659" spans="1:7">
      <c r="A2659">
        <v>2658</v>
      </c>
      <c r="B2659" t="str">
        <f>"023990"</f>
        <v>0</v>
      </c>
      <c r="C2659" t="s">
        <v>4658</v>
      </c>
      <c r="D2659" t="s">
        <v>4659</v>
      </c>
      <c r="E2659" t="str">
        <f>"3310401409408"</f>
        <v>0</v>
      </c>
      <c r="F2659" t="str">
        <f>"000680"</f>
        <v>0</v>
      </c>
      <c r="G2659" t="s">
        <v>21</v>
      </c>
    </row>
    <row r="2660" spans="1:7">
      <c r="A2660">
        <v>2659</v>
      </c>
      <c r="B2660" t="str">
        <f>"026692"</f>
        <v>0</v>
      </c>
      <c r="C2660" t="s">
        <v>4660</v>
      </c>
      <c r="D2660" t="s">
        <v>4661</v>
      </c>
      <c r="E2660" t="str">
        <f>"1509990001956"</f>
        <v>0</v>
      </c>
      <c r="F2660" t="str">
        <f>"000680"</f>
        <v>0</v>
      </c>
      <c r="G2660" t="s">
        <v>21</v>
      </c>
    </row>
    <row r="2661" spans="1:7">
      <c r="A2661">
        <v>2660</v>
      </c>
      <c r="B2661" t="str">
        <f>"026392"</f>
        <v>0</v>
      </c>
      <c r="C2661" t="s">
        <v>4662</v>
      </c>
      <c r="D2661" t="s">
        <v>4663</v>
      </c>
      <c r="E2661" t="str">
        <f>"1580200009391"</f>
        <v>0</v>
      </c>
      <c r="F2661" t="str">
        <f>"000680"</f>
        <v>0</v>
      </c>
      <c r="G2661" t="s">
        <v>21</v>
      </c>
    </row>
    <row r="2662" spans="1:7">
      <c r="A2662">
        <v>2661</v>
      </c>
      <c r="B2662" t="str">
        <f>"012361"</f>
        <v>0</v>
      </c>
      <c r="C2662" t="s">
        <v>3894</v>
      </c>
      <c r="D2662" t="s">
        <v>2168</v>
      </c>
      <c r="E2662" t="str">
        <f>"3860200002250"</f>
        <v>0</v>
      </c>
      <c r="F2662" t="str">
        <f>"000680"</f>
        <v>0</v>
      </c>
      <c r="G2662" t="s">
        <v>21</v>
      </c>
    </row>
    <row r="2663" spans="1:7">
      <c r="A2663">
        <v>2662</v>
      </c>
      <c r="B2663" t="str">
        <f>"024335"</f>
        <v>0</v>
      </c>
      <c r="C2663" t="s">
        <v>4664</v>
      </c>
      <c r="D2663" t="s">
        <v>4665</v>
      </c>
      <c r="E2663" t="str">
        <f>"1809700005055"</f>
        <v>0</v>
      </c>
      <c r="F2663" t="str">
        <f>"000680"</f>
        <v>0</v>
      </c>
      <c r="G2663" t="s">
        <v>21</v>
      </c>
    </row>
    <row r="2664" spans="1:7">
      <c r="A2664">
        <v>2663</v>
      </c>
      <c r="B2664" t="str">
        <f>"025189"</f>
        <v>0</v>
      </c>
      <c r="C2664" t="s">
        <v>1400</v>
      </c>
      <c r="D2664" t="s">
        <v>4666</v>
      </c>
      <c r="E2664" t="str">
        <f>"3801100347523"</f>
        <v>0</v>
      </c>
      <c r="F2664" t="str">
        <f>"000680"</f>
        <v>0</v>
      </c>
      <c r="G2664" t="s">
        <v>21</v>
      </c>
    </row>
    <row r="2665" spans="1:7">
      <c r="A2665">
        <v>2664</v>
      </c>
      <c r="B2665" t="str">
        <f>"010464"</f>
        <v>0</v>
      </c>
      <c r="C2665" t="s">
        <v>425</v>
      </c>
      <c r="D2665" t="s">
        <v>4667</v>
      </c>
      <c r="E2665" t="str">
        <f>"3930700038082"</f>
        <v>0</v>
      </c>
      <c r="F2665" t="str">
        <f>"000680"</f>
        <v>0</v>
      </c>
      <c r="G2665" t="s">
        <v>21</v>
      </c>
    </row>
    <row r="2666" spans="1:7">
      <c r="A2666">
        <v>2665</v>
      </c>
      <c r="B2666" t="str">
        <f>"025408"</f>
        <v>0</v>
      </c>
      <c r="C2666" t="s">
        <v>4668</v>
      </c>
      <c r="D2666" t="s">
        <v>4669</v>
      </c>
      <c r="E2666" t="str">
        <f>"3840700157694"</f>
        <v>0</v>
      </c>
      <c r="F2666" t="str">
        <f>"000680"</f>
        <v>0</v>
      </c>
      <c r="G2666" t="s">
        <v>21</v>
      </c>
    </row>
    <row r="2667" spans="1:7">
      <c r="A2667">
        <v>2666</v>
      </c>
      <c r="B2667" t="str">
        <f>"025585"</f>
        <v>0</v>
      </c>
      <c r="C2667" t="s">
        <v>3970</v>
      </c>
      <c r="D2667" t="s">
        <v>4670</v>
      </c>
      <c r="E2667" t="str">
        <f>"3869800002046"</f>
        <v>0</v>
      </c>
      <c r="F2667" t="str">
        <f>"000680"</f>
        <v>0</v>
      </c>
      <c r="G2667" t="s">
        <v>21</v>
      </c>
    </row>
    <row r="2668" spans="1:7">
      <c r="A2668">
        <v>2667</v>
      </c>
      <c r="B2668" t="str">
        <f>"027106"</f>
        <v>0</v>
      </c>
      <c r="C2668" t="s">
        <v>2642</v>
      </c>
      <c r="D2668" t="s">
        <v>4671</v>
      </c>
      <c r="E2668" t="str">
        <f>"1529900541051"</f>
        <v>0</v>
      </c>
      <c r="F2668" t="str">
        <f>"000680"</f>
        <v>0</v>
      </c>
      <c r="G2668" t="s">
        <v>21</v>
      </c>
    </row>
    <row r="2669" spans="1:7">
      <c r="A2669">
        <v>2668</v>
      </c>
      <c r="B2669" t="str">
        <f>"018368"</f>
        <v>0</v>
      </c>
      <c r="C2669" t="s">
        <v>4672</v>
      </c>
      <c r="D2669" t="s">
        <v>127</v>
      </c>
      <c r="E2669" t="str">
        <f>"3860100088837"</f>
        <v>0</v>
      </c>
      <c r="F2669" t="str">
        <f>"000680"</f>
        <v>0</v>
      </c>
      <c r="G2669" t="s">
        <v>21</v>
      </c>
    </row>
    <row r="2670" spans="1:7">
      <c r="A2670">
        <v>2669</v>
      </c>
      <c r="B2670" t="str">
        <f>"026636"</f>
        <v>0</v>
      </c>
      <c r="C2670" t="s">
        <v>1518</v>
      </c>
      <c r="D2670" t="s">
        <v>4673</v>
      </c>
      <c r="E2670" t="str">
        <f>"1850400071682"</f>
        <v>0</v>
      </c>
      <c r="F2670" t="str">
        <f>"000680"</f>
        <v>0</v>
      </c>
      <c r="G2670" t="s">
        <v>21</v>
      </c>
    </row>
    <row r="2671" spans="1:7">
      <c r="A2671">
        <v>2670</v>
      </c>
      <c r="B2671" t="str">
        <f>"026691"</f>
        <v>0</v>
      </c>
      <c r="C2671" t="s">
        <v>4674</v>
      </c>
      <c r="D2671" t="s">
        <v>4675</v>
      </c>
      <c r="E2671" t="str">
        <f>"1850400002915"</f>
        <v>0</v>
      </c>
      <c r="F2671" t="str">
        <f>"000680"</f>
        <v>0</v>
      </c>
      <c r="G2671" t="s">
        <v>21</v>
      </c>
    </row>
    <row r="2672" spans="1:7">
      <c r="A2672">
        <v>2671</v>
      </c>
      <c r="B2672" t="str">
        <f>"009935"</f>
        <v>0</v>
      </c>
      <c r="C2672" t="s">
        <v>4355</v>
      </c>
      <c r="D2672" t="s">
        <v>4676</v>
      </c>
      <c r="E2672" t="str">
        <f>"3801600239983"</f>
        <v>0</v>
      </c>
      <c r="F2672" t="str">
        <f>"000680"</f>
        <v>0</v>
      </c>
      <c r="G2672" t="s">
        <v>21</v>
      </c>
    </row>
    <row r="2673" spans="1:7">
      <c r="A2673">
        <v>2672</v>
      </c>
      <c r="B2673" t="str">
        <f>"009936"</f>
        <v>0</v>
      </c>
      <c r="C2673" t="s">
        <v>587</v>
      </c>
      <c r="D2673" t="s">
        <v>4677</v>
      </c>
      <c r="E2673" t="str">
        <f>"3860200022838"</f>
        <v>0</v>
      </c>
      <c r="F2673" t="str">
        <f>"000680"</f>
        <v>0</v>
      </c>
      <c r="G2673" t="s">
        <v>21</v>
      </c>
    </row>
    <row r="2674" spans="1:7">
      <c r="A2674">
        <v>2673</v>
      </c>
      <c r="B2674" t="str">
        <f>"010682"</f>
        <v>0</v>
      </c>
      <c r="C2674" t="s">
        <v>4678</v>
      </c>
      <c r="D2674" t="s">
        <v>4679</v>
      </c>
      <c r="E2674" t="str">
        <f>"3800600321913"</f>
        <v>0</v>
      </c>
      <c r="F2674" t="str">
        <f>"000680"</f>
        <v>0</v>
      </c>
      <c r="G2674" t="s">
        <v>21</v>
      </c>
    </row>
    <row r="2675" spans="1:7">
      <c r="A2675">
        <v>2674</v>
      </c>
      <c r="B2675" t="str">
        <f>"011437"</f>
        <v>0</v>
      </c>
      <c r="C2675" t="s">
        <v>338</v>
      </c>
      <c r="D2675" t="s">
        <v>4680</v>
      </c>
      <c r="E2675" t="str">
        <f>"3860700231550"</f>
        <v>0</v>
      </c>
      <c r="F2675" t="str">
        <f>"000680"</f>
        <v>0</v>
      </c>
      <c r="G2675" t="s">
        <v>21</v>
      </c>
    </row>
    <row r="2676" spans="1:7">
      <c r="A2676">
        <v>2675</v>
      </c>
      <c r="B2676" t="str">
        <f>"012014"</f>
        <v>0</v>
      </c>
      <c r="C2676" t="s">
        <v>4681</v>
      </c>
      <c r="D2676" t="s">
        <v>2984</v>
      </c>
      <c r="E2676" t="str">
        <f>"3860800161235"</f>
        <v>0</v>
      </c>
      <c r="F2676" t="str">
        <f>"000680"</f>
        <v>0</v>
      </c>
      <c r="G2676" t="s">
        <v>21</v>
      </c>
    </row>
    <row r="2677" spans="1:7">
      <c r="A2677">
        <v>2676</v>
      </c>
      <c r="B2677" t="str">
        <f>"012067"</f>
        <v>0</v>
      </c>
      <c r="C2677" t="s">
        <v>4682</v>
      </c>
      <c r="D2677" t="s">
        <v>4683</v>
      </c>
      <c r="E2677" t="str">
        <f>"3860700119768"</f>
        <v>0</v>
      </c>
      <c r="F2677" t="str">
        <f>"000680"</f>
        <v>0</v>
      </c>
      <c r="G2677" t="s">
        <v>21</v>
      </c>
    </row>
    <row r="2678" spans="1:7">
      <c r="A2678">
        <v>2677</v>
      </c>
      <c r="B2678" t="str">
        <f>"012125"</f>
        <v>0</v>
      </c>
      <c r="C2678" t="s">
        <v>178</v>
      </c>
      <c r="D2678" t="s">
        <v>4684</v>
      </c>
      <c r="E2678" t="str">
        <f>"3909900606180"</f>
        <v>0</v>
      </c>
      <c r="F2678" t="str">
        <f>"000680"</f>
        <v>0</v>
      </c>
      <c r="G2678" t="s">
        <v>21</v>
      </c>
    </row>
    <row r="2679" spans="1:7">
      <c r="A2679">
        <v>2678</v>
      </c>
      <c r="B2679" t="str">
        <f>"013594"</f>
        <v>0</v>
      </c>
      <c r="C2679" t="s">
        <v>142</v>
      </c>
      <c r="D2679" t="s">
        <v>4685</v>
      </c>
      <c r="E2679" t="str">
        <f>"3860400061721"</f>
        <v>0</v>
      </c>
      <c r="F2679" t="str">
        <f>"000680"</f>
        <v>0</v>
      </c>
      <c r="G2679" t="s">
        <v>21</v>
      </c>
    </row>
    <row r="2680" spans="1:7">
      <c r="A2680">
        <v>2679</v>
      </c>
      <c r="B2680" t="str">
        <f>"013656"</f>
        <v>0</v>
      </c>
      <c r="C2680" t="s">
        <v>367</v>
      </c>
      <c r="D2680" t="s">
        <v>4686</v>
      </c>
      <c r="E2680" t="str">
        <f>"3860100373167"</f>
        <v>0</v>
      </c>
      <c r="F2680" t="str">
        <f>"000680"</f>
        <v>0</v>
      </c>
      <c r="G2680" t="s">
        <v>21</v>
      </c>
    </row>
    <row r="2681" spans="1:7">
      <c r="A2681">
        <v>2680</v>
      </c>
      <c r="B2681" t="str">
        <f>"016691"</f>
        <v>0</v>
      </c>
      <c r="C2681" t="s">
        <v>4355</v>
      </c>
      <c r="D2681" t="s">
        <v>4687</v>
      </c>
      <c r="E2681" t="str">
        <f>"3860100844844"</f>
        <v>0</v>
      </c>
      <c r="F2681" t="str">
        <f>"000680"</f>
        <v>0</v>
      </c>
      <c r="G2681" t="s">
        <v>21</v>
      </c>
    </row>
    <row r="2682" spans="1:7">
      <c r="A2682">
        <v>2681</v>
      </c>
      <c r="B2682" t="str">
        <f>"017178"</f>
        <v>0</v>
      </c>
      <c r="C2682" t="s">
        <v>881</v>
      </c>
      <c r="D2682" t="s">
        <v>4688</v>
      </c>
      <c r="E2682" t="str">
        <f>"3860700281166"</f>
        <v>0</v>
      </c>
      <c r="F2682" t="str">
        <f>"000680"</f>
        <v>0</v>
      </c>
      <c r="G2682" t="s">
        <v>21</v>
      </c>
    </row>
    <row r="2683" spans="1:7">
      <c r="A2683">
        <v>2682</v>
      </c>
      <c r="B2683" t="str">
        <f>"017239"</f>
        <v>0</v>
      </c>
      <c r="C2683" t="s">
        <v>50</v>
      </c>
      <c r="D2683" t="s">
        <v>4689</v>
      </c>
      <c r="E2683" t="str">
        <f>"3860700010375"</f>
        <v>0</v>
      </c>
      <c r="F2683" t="str">
        <f>"000680"</f>
        <v>0</v>
      </c>
      <c r="G2683" t="s">
        <v>21</v>
      </c>
    </row>
    <row r="2684" spans="1:7">
      <c r="A2684">
        <v>2683</v>
      </c>
      <c r="B2684" t="str">
        <f>"017432"</f>
        <v>0</v>
      </c>
      <c r="C2684" t="s">
        <v>655</v>
      </c>
      <c r="D2684" t="s">
        <v>4690</v>
      </c>
      <c r="E2684" t="str">
        <f>"3860300039376"</f>
        <v>0</v>
      </c>
      <c r="F2684" t="str">
        <f>"000680"</f>
        <v>0</v>
      </c>
      <c r="G2684" t="s">
        <v>21</v>
      </c>
    </row>
    <row r="2685" spans="1:7">
      <c r="A2685">
        <v>2684</v>
      </c>
      <c r="B2685" t="str">
        <f>"017610"</f>
        <v>0</v>
      </c>
      <c r="C2685" t="s">
        <v>947</v>
      </c>
      <c r="D2685" t="s">
        <v>4691</v>
      </c>
      <c r="E2685" t="str">
        <f>"3869900110916"</f>
        <v>0</v>
      </c>
      <c r="F2685" t="str">
        <f>"000680"</f>
        <v>0</v>
      </c>
      <c r="G2685" t="s">
        <v>21</v>
      </c>
    </row>
    <row r="2686" spans="1:7">
      <c r="A2686">
        <v>2685</v>
      </c>
      <c r="B2686" t="str">
        <f>"017807"</f>
        <v>0</v>
      </c>
      <c r="C2686" t="s">
        <v>4692</v>
      </c>
      <c r="D2686" t="s">
        <v>4693</v>
      </c>
      <c r="E2686" t="str">
        <f>"3501000031756"</f>
        <v>0</v>
      </c>
      <c r="F2686" t="str">
        <f>"000680"</f>
        <v>0</v>
      </c>
      <c r="G2686" t="s">
        <v>21</v>
      </c>
    </row>
    <row r="2687" spans="1:7">
      <c r="A2687">
        <v>2686</v>
      </c>
      <c r="B2687" t="str">
        <f>"017907"</f>
        <v>0</v>
      </c>
      <c r="C2687" t="s">
        <v>4694</v>
      </c>
      <c r="D2687" t="s">
        <v>4695</v>
      </c>
      <c r="E2687" t="str">
        <f>"3860100629374"</f>
        <v>0</v>
      </c>
      <c r="F2687" t="str">
        <f>"000680"</f>
        <v>0</v>
      </c>
      <c r="G2687" t="s">
        <v>21</v>
      </c>
    </row>
    <row r="2688" spans="1:7">
      <c r="A2688">
        <v>2687</v>
      </c>
      <c r="B2688" t="str">
        <f>"019057"</f>
        <v>0</v>
      </c>
      <c r="C2688" t="s">
        <v>4696</v>
      </c>
      <c r="D2688" t="s">
        <v>4689</v>
      </c>
      <c r="E2688" t="str">
        <f>"3860100133581"</f>
        <v>0</v>
      </c>
      <c r="F2688" t="str">
        <f>"000680"</f>
        <v>0</v>
      </c>
      <c r="G2688" t="s">
        <v>21</v>
      </c>
    </row>
    <row r="2689" spans="1:7">
      <c r="A2689">
        <v>2688</v>
      </c>
      <c r="B2689" t="str">
        <f>"019242"</f>
        <v>0</v>
      </c>
      <c r="C2689" t="s">
        <v>84</v>
      </c>
      <c r="D2689" t="s">
        <v>4697</v>
      </c>
      <c r="E2689" t="str">
        <f>"3860700314579"</f>
        <v>0</v>
      </c>
      <c r="F2689" t="str">
        <f>"000680"</f>
        <v>0</v>
      </c>
      <c r="G2689" t="s">
        <v>21</v>
      </c>
    </row>
    <row r="2690" spans="1:7">
      <c r="A2690">
        <v>2689</v>
      </c>
      <c r="B2690" t="str">
        <f>"019391"</f>
        <v>0</v>
      </c>
      <c r="C2690" t="s">
        <v>4698</v>
      </c>
      <c r="D2690" t="s">
        <v>4699</v>
      </c>
      <c r="E2690" t="str">
        <f>"3860100811482"</f>
        <v>0</v>
      </c>
      <c r="F2690" t="str">
        <f>"000680"</f>
        <v>0</v>
      </c>
      <c r="G2690" t="s">
        <v>21</v>
      </c>
    </row>
    <row r="2691" spans="1:7">
      <c r="A2691">
        <v>2690</v>
      </c>
      <c r="B2691" t="str">
        <f>"019573"</f>
        <v>0</v>
      </c>
      <c r="C2691" t="s">
        <v>4700</v>
      </c>
      <c r="D2691" t="s">
        <v>4701</v>
      </c>
      <c r="E2691" t="str">
        <f>"3860700418676"</f>
        <v>0</v>
      </c>
      <c r="F2691" t="str">
        <f>"000680"</f>
        <v>0</v>
      </c>
      <c r="G2691" t="s">
        <v>21</v>
      </c>
    </row>
    <row r="2692" spans="1:7">
      <c r="A2692">
        <v>2691</v>
      </c>
      <c r="B2692" t="str">
        <f>"019796"</f>
        <v>0</v>
      </c>
      <c r="C2692" t="s">
        <v>4702</v>
      </c>
      <c r="D2692" t="s">
        <v>1351</v>
      </c>
      <c r="E2692" t="str">
        <f>"3860200345050"</f>
        <v>0</v>
      </c>
      <c r="F2692" t="str">
        <f>"000680"</f>
        <v>0</v>
      </c>
      <c r="G2692" t="s">
        <v>21</v>
      </c>
    </row>
    <row r="2693" spans="1:7">
      <c r="A2693">
        <v>2692</v>
      </c>
      <c r="B2693" t="str">
        <f>"019906"</f>
        <v>0</v>
      </c>
      <c r="C2693" t="s">
        <v>4703</v>
      </c>
      <c r="D2693" t="s">
        <v>4704</v>
      </c>
      <c r="E2693" t="str">
        <f>"5470100104808"</f>
        <v>0</v>
      </c>
      <c r="F2693" t="str">
        <f>"000680"</f>
        <v>0</v>
      </c>
      <c r="G2693" t="s">
        <v>21</v>
      </c>
    </row>
    <row r="2694" spans="1:7">
      <c r="A2694">
        <v>2693</v>
      </c>
      <c r="B2694" t="str">
        <f>"020819"</f>
        <v>0</v>
      </c>
      <c r="C2694" t="s">
        <v>4705</v>
      </c>
      <c r="D2694" t="s">
        <v>4706</v>
      </c>
      <c r="E2694" t="str">
        <f>"3609800027661"</f>
        <v>0</v>
      </c>
      <c r="F2694" t="str">
        <f>"000680"</f>
        <v>0</v>
      </c>
      <c r="G2694" t="s">
        <v>21</v>
      </c>
    </row>
    <row r="2695" spans="1:7">
      <c r="A2695">
        <v>2694</v>
      </c>
      <c r="B2695" t="str">
        <f>"021228"</f>
        <v>0</v>
      </c>
      <c r="C2695" t="s">
        <v>4707</v>
      </c>
      <c r="D2695" t="s">
        <v>4708</v>
      </c>
      <c r="E2695" t="str">
        <f>"3860400072863"</f>
        <v>0</v>
      </c>
      <c r="F2695" t="str">
        <f>"000680"</f>
        <v>0</v>
      </c>
      <c r="G2695" t="s">
        <v>21</v>
      </c>
    </row>
    <row r="2696" spans="1:7">
      <c r="A2696">
        <v>2695</v>
      </c>
      <c r="B2696" t="str">
        <f>"021277"</f>
        <v>0</v>
      </c>
      <c r="C2696" t="s">
        <v>4709</v>
      </c>
      <c r="D2696" t="s">
        <v>4625</v>
      </c>
      <c r="E2696" t="str">
        <f>"3841100019062"</f>
        <v>0</v>
      </c>
      <c r="F2696" t="str">
        <f>"000680"</f>
        <v>0</v>
      </c>
      <c r="G2696" t="s">
        <v>21</v>
      </c>
    </row>
    <row r="2697" spans="1:7">
      <c r="A2697">
        <v>2696</v>
      </c>
      <c r="B2697" t="str">
        <f>"021986"</f>
        <v>0</v>
      </c>
      <c r="C2697" t="s">
        <v>4710</v>
      </c>
      <c r="D2697" t="s">
        <v>4711</v>
      </c>
      <c r="E2697" t="str">
        <f>"3860100795983"</f>
        <v>0</v>
      </c>
      <c r="F2697" t="str">
        <f>"000680"</f>
        <v>0</v>
      </c>
      <c r="G2697" t="s">
        <v>21</v>
      </c>
    </row>
    <row r="2698" spans="1:7">
      <c r="A2698">
        <v>2697</v>
      </c>
      <c r="B2698" t="str">
        <f>"022079"</f>
        <v>0</v>
      </c>
      <c r="C2698" t="s">
        <v>4712</v>
      </c>
      <c r="D2698" t="s">
        <v>4713</v>
      </c>
      <c r="E2698" t="str">
        <f>"3860200297845"</f>
        <v>0</v>
      </c>
      <c r="F2698" t="str">
        <f>"000680"</f>
        <v>0</v>
      </c>
      <c r="G2698" t="s">
        <v>21</v>
      </c>
    </row>
    <row r="2699" spans="1:7">
      <c r="A2699">
        <v>2698</v>
      </c>
      <c r="B2699" t="str">
        <f>"022300"</f>
        <v>0</v>
      </c>
      <c r="C2699" t="s">
        <v>4714</v>
      </c>
      <c r="D2699" t="s">
        <v>4715</v>
      </c>
      <c r="E2699" t="str">
        <f>"3860100392609"</f>
        <v>0</v>
      </c>
      <c r="F2699" t="str">
        <f>"000680"</f>
        <v>0</v>
      </c>
      <c r="G2699" t="s">
        <v>21</v>
      </c>
    </row>
    <row r="2700" spans="1:7">
      <c r="A2700">
        <v>2699</v>
      </c>
      <c r="B2700" t="str">
        <f>"022549"</f>
        <v>0</v>
      </c>
      <c r="C2700" t="s">
        <v>4716</v>
      </c>
      <c r="D2700" t="s">
        <v>4717</v>
      </c>
      <c r="E2700" t="str">
        <f>"3900200395773"</f>
        <v>0</v>
      </c>
      <c r="F2700" t="str">
        <f>"000680"</f>
        <v>0</v>
      </c>
      <c r="G2700" t="s">
        <v>21</v>
      </c>
    </row>
    <row r="2701" spans="1:7">
      <c r="A2701">
        <v>2700</v>
      </c>
      <c r="B2701" t="str">
        <f>"022947"</f>
        <v>0</v>
      </c>
      <c r="C2701" t="s">
        <v>4718</v>
      </c>
      <c r="D2701" t="s">
        <v>4719</v>
      </c>
      <c r="E2701" t="str">
        <f>"5901000022504"</f>
        <v>0</v>
      </c>
      <c r="F2701" t="str">
        <f>"000680"</f>
        <v>0</v>
      </c>
      <c r="G2701" t="s">
        <v>21</v>
      </c>
    </row>
    <row r="2702" spans="1:7">
      <c r="A2702">
        <v>2701</v>
      </c>
      <c r="B2702" t="str">
        <f>"023169"</f>
        <v>0</v>
      </c>
      <c r="C2702" t="s">
        <v>4720</v>
      </c>
      <c r="D2702" t="s">
        <v>4721</v>
      </c>
      <c r="E2702" t="str">
        <f>"3860100344850"</f>
        <v>0</v>
      </c>
      <c r="F2702" t="str">
        <f>"000680"</f>
        <v>0</v>
      </c>
      <c r="G2702" t="s">
        <v>21</v>
      </c>
    </row>
    <row r="2703" spans="1:7">
      <c r="A2703">
        <v>2702</v>
      </c>
      <c r="B2703" t="str">
        <f>"023233"</f>
        <v>0</v>
      </c>
      <c r="C2703" t="s">
        <v>4722</v>
      </c>
      <c r="D2703" t="s">
        <v>2609</v>
      </c>
      <c r="E2703" t="str">
        <f>"3860200476936"</f>
        <v>0</v>
      </c>
      <c r="F2703" t="str">
        <f>"000680"</f>
        <v>0</v>
      </c>
      <c r="G2703" t="s">
        <v>21</v>
      </c>
    </row>
    <row r="2704" spans="1:7">
      <c r="A2704">
        <v>2703</v>
      </c>
      <c r="B2704" t="str">
        <f>"023379"</f>
        <v>0</v>
      </c>
      <c r="C2704" t="s">
        <v>4723</v>
      </c>
      <c r="D2704" t="s">
        <v>4724</v>
      </c>
      <c r="E2704" t="str">
        <f>"1860100001620"</f>
        <v>0</v>
      </c>
      <c r="F2704" t="str">
        <f>"000680"</f>
        <v>0</v>
      </c>
      <c r="G2704" t="s">
        <v>21</v>
      </c>
    </row>
    <row r="2705" spans="1:7">
      <c r="A2705">
        <v>2704</v>
      </c>
      <c r="B2705" t="str">
        <f>"023435"</f>
        <v>0</v>
      </c>
      <c r="C2705" t="s">
        <v>4725</v>
      </c>
      <c r="D2705" t="s">
        <v>4726</v>
      </c>
      <c r="E2705" t="str">
        <f>"1411400021957"</f>
        <v>0</v>
      </c>
      <c r="F2705" t="str">
        <f>"000680"</f>
        <v>0</v>
      </c>
      <c r="G2705" t="s">
        <v>21</v>
      </c>
    </row>
    <row r="2706" spans="1:7">
      <c r="A2706">
        <v>2705</v>
      </c>
      <c r="B2706" t="str">
        <f>"023564"</f>
        <v>0</v>
      </c>
      <c r="C2706" t="s">
        <v>4727</v>
      </c>
      <c r="D2706" t="s">
        <v>4728</v>
      </c>
      <c r="E2706" t="str">
        <f>"1100900028073"</f>
        <v>0</v>
      </c>
      <c r="F2706" t="str">
        <f>"000680"</f>
        <v>0</v>
      </c>
      <c r="G2706" t="s">
        <v>21</v>
      </c>
    </row>
    <row r="2707" spans="1:7">
      <c r="A2707">
        <v>2706</v>
      </c>
      <c r="B2707" t="str">
        <f>"023992"</f>
        <v>0</v>
      </c>
      <c r="C2707" t="s">
        <v>239</v>
      </c>
      <c r="D2707" t="s">
        <v>4729</v>
      </c>
      <c r="E2707" t="str">
        <f>"3930500890788"</f>
        <v>0</v>
      </c>
      <c r="F2707" t="str">
        <f>"000680"</f>
        <v>0</v>
      </c>
      <c r="G2707" t="s">
        <v>21</v>
      </c>
    </row>
    <row r="2708" spans="1:7">
      <c r="A2708">
        <v>2707</v>
      </c>
      <c r="B2708" t="str">
        <f>"024152"</f>
        <v>0</v>
      </c>
      <c r="C2708" t="s">
        <v>1590</v>
      </c>
      <c r="D2708" t="s">
        <v>4730</v>
      </c>
      <c r="E2708" t="str">
        <f>"1102000242267"</f>
        <v>0</v>
      </c>
      <c r="F2708" t="str">
        <f>"000680"</f>
        <v>0</v>
      </c>
      <c r="G2708" t="s">
        <v>21</v>
      </c>
    </row>
    <row r="2709" spans="1:7">
      <c r="A2709">
        <v>2708</v>
      </c>
      <c r="B2709" t="str">
        <f>"024199"</f>
        <v>0</v>
      </c>
      <c r="C2709" t="s">
        <v>451</v>
      </c>
      <c r="D2709" t="s">
        <v>4731</v>
      </c>
      <c r="E2709" t="str">
        <f>"3860400040121"</f>
        <v>0</v>
      </c>
      <c r="F2709" t="str">
        <f>"000680"</f>
        <v>0</v>
      </c>
      <c r="G2709" t="s">
        <v>21</v>
      </c>
    </row>
    <row r="2710" spans="1:7">
      <c r="A2710">
        <v>2709</v>
      </c>
      <c r="B2710" t="str">
        <f>"024478"</f>
        <v>0</v>
      </c>
      <c r="C2710" t="s">
        <v>4732</v>
      </c>
      <c r="D2710" t="s">
        <v>4733</v>
      </c>
      <c r="E2710" t="str">
        <f>"1849900002904"</f>
        <v>0</v>
      </c>
      <c r="F2710" t="str">
        <f>"000680"</f>
        <v>0</v>
      </c>
      <c r="G2710" t="s">
        <v>21</v>
      </c>
    </row>
    <row r="2711" spans="1:7">
      <c r="A2711">
        <v>2710</v>
      </c>
      <c r="B2711" t="str">
        <f>"024750"</f>
        <v>0</v>
      </c>
      <c r="C2711" t="s">
        <v>4734</v>
      </c>
      <c r="D2711" t="s">
        <v>4735</v>
      </c>
      <c r="E2711" t="str">
        <f>"2770400019426"</f>
        <v>0</v>
      </c>
      <c r="F2711" t="str">
        <f>"000680"</f>
        <v>0</v>
      </c>
      <c r="G2711" t="s">
        <v>21</v>
      </c>
    </row>
    <row r="2712" spans="1:7">
      <c r="A2712">
        <v>2711</v>
      </c>
      <c r="B2712" t="str">
        <f>"025248"</f>
        <v>0</v>
      </c>
      <c r="C2712" t="s">
        <v>4736</v>
      </c>
      <c r="D2712" t="s">
        <v>4737</v>
      </c>
      <c r="E2712" t="str">
        <f>"1930800043731"</f>
        <v>0</v>
      </c>
      <c r="F2712" t="str">
        <f>"000680"</f>
        <v>0</v>
      </c>
      <c r="G2712" t="s">
        <v>21</v>
      </c>
    </row>
    <row r="2713" spans="1:7">
      <c r="A2713">
        <v>2712</v>
      </c>
      <c r="B2713" t="str">
        <f>"026115"</f>
        <v>0</v>
      </c>
      <c r="C2713" t="s">
        <v>4738</v>
      </c>
      <c r="D2713" t="s">
        <v>4739</v>
      </c>
      <c r="E2713" t="str">
        <f>"1869900171765"</f>
        <v>0</v>
      </c>
      <c r="F2713" t="str">
        <f>"000680"</f>
        <v>0</v>
      </c>
      <c r="G2713" t="s">
        <v>21</v>
      </c>
    </row>
    <row r="2714" spans="1:7">
      <c r="A2714">
        <v>2713</v>
      </c>
      <c r="B2714" t="str">
        <f>"026858"</f>
        <v>0</v>
      </c>
      <c r="C2714" t="s">
        <v>4740</v>
      </c>
      <c r="D2714" t="s">
        <v>4741</v>
      </c>
      <c r="E2714" t="str">
        <f>"1860500037737"</f>
        <v>0</v>
      </c>
      <c r="F2714" t="str">
        <f>"000680"</f>
        <v>0</v>
      </c>
      <c r="G2714" t="s">
        <v>21</v>
      </c>
    </row>
    <row r="2715" spans="1:7">
      <c r="A2715">
        <v>2714</v>
      </c>
      <c r="B2715" t="str">
        <f>"027107"</f>
        <v>0</v>
      </c>
      <c r="C2715" t="s">
        <v>3615</v>
      </c>
      <c r="D2715" t="s">
        <v>4742</v>
      </c>
      <c r="E2715" t="str">
        <f>"1860700088203"</f>
        <v>0</v>
      </c>
      <c r="F2715" t="str">
        <f>"000680"</f>
        <v>0</v>
      </c>
      <c r="G2715" t="s">
        <v>21</v>
      </c>
    </row>
    <row r="2716" spans="1:7">
      <c r="A2716">
        <v>2715</v>
      </c>
      <c r="B2716" t="str">
        <f>"027108"</f>
        <v>0</v>
      </c>
      <c r="C2716" t="s">
        <v>3655</v>
      </c>
      <c r="D2716" t="s">
        <v>4743</v>
      </c>
      <c r="E2716" t="str">
        <f>"1849900166885"</f>
        <v>0</v>
      </c>
      <c r="F2716" t="str">
        <f>"000680"</f>
        <v>0</v>
      </c>
      <c r="G2716" t="s">
        <v>21</v>
      </c>
    </row>
    <row r="2717" spans="1:7">
      <c r="A2717">
        <v>2716</v>
      </c>
      <c r="B2717" t="str">
        <f>"027339"</f>
        <v>0</v>
      </c>
      <c r="C2717" t="s">
        <v>4744</v>
      </c>
      <c r="D2717" t="s">
        <v>4745</v>
      </c>
      <c r="E2717" t="str">
        <f>"1860100136002"</f>
        <v>0</v>
      </c>
      <c r="F2717" t="str">
        <f>"000680"</f>
        <v>0</v>
      </c>
      <c r="G2717" t="s">
        <v>21</v>
      </c>
    </row>
    <row r="2718" spans="1:7">
      <c r="A2718">
        <v>2717</v>
      </c>
      <c r="B2718" t="str">
        <f>"027340"</f>
        <v>0</v>
      </c>
      <c r="C2718" t="s">
        <v>4746</v>
      </c>
      <c r="D2718" t="s">
        <v>4747</v>
      </c>
      <c r="E2718" t="str">
        <f>"1900900151978"</f>
        <v>0</v>
      </c>
      <c r="F2718" t="str">
        <f>"000680"</f>
        <v>0</v>
      </c>
      <c r="G2718" t="s">
        <v>21</v>
      </c>
    </row>
    <row r="2719" spans="1:7">
      <c r="A2719">
        <v>2718</v>
      </c>
      <c r="B2719" t="str">
        <f>"022474"</f>
        <v>0</v>
      </c>
      <c r="C2719" t="s">
        <v>4748</v>
      </c>
      <c r="D2719" t="s">
        <v>4749</v>
      </c>
      <c r="E2719" t="str">
        <f>"3800300157841"</f>
        <v>0</v>
      </c>
      <c r="F2719" t="str">
        <f>"000680"</f>
        <v>0</v>
      </c>
      <c r="G2719" t="s">
        <v>21</v>
      </c>
    </row>
    <row r="2720" spans="1:7">
      <c r="A2720">
        <v>2719</v>
      </c>
      <c r="B2720" t="str">
        <f>"026693"</f>
        <v>0</v>
      </c>
      <c r="C2720" t="s">
        <v>4750</v>
      </c>
      <c r="D2720" t="s">
        <v>4751</v>
      </c>
      <c r="E2720" t="str">
        <f>"1969900138350"</f>
        <v>0</v>
      </c>
      <c r="F2720" t="str">
        <f>"000680"</f>
        <v>0</v>
      </c>
      <c r="G2720" t="s">
        <v>21</v>
      </c>
    </row>
    <row r="2721" spans="1:7">
      <c r="A2721">
        <v>2720</v>
      </c>
      <c r="B2721" t="str">
        <f>"026570"</f>
        <v>0</v>
      </c>
      <c r="C2721" t="s">
        <v>4752</v>
      </c>
      <c r="D2721" t="s">
        <v>4753</v>
      </c>
      <c r="E2721" t="str">
        <f>"1103700212418"</f>
        <v>0</v>
      </c>
      <c r="F2721" t="str">
        <f>"000680"</f>
        <v>0</v>
      </c>
      <c r="G2721" t="s">
        <v>21</v>
      </c>
    </row>
    <row r="2722" spans="1:7">
      <c r="A2722">
        <v>2721</v>
      </c>
      <c r="B2722" t="str">
        <f>"025862"</f>
        <v>0</v>
      </c>
      <c r="C2722" t="s">
        <v>4754</v>
      </c>
      <c r="D2722" t="s">
        <v>1620</v>
      </c>
      <c r="E2722" t="str">
        <f>"1709900664304"</f>
        <v>0</v>
      </c>
      <c r="F2722" t="str">
        <f>"000680"</f>
        <v>0</v>
      </c>
      <c r="G2722" t="s">
        <v>21</v>
      </c>
    </row>
    <row r="2723" spans="1:7">
      <c r="A2723">
        <v>2722</v>
      </c>
      <c r="B2723" t="str">
        <f>"021723"</f>
        <v>0</v>
      </c>
      <c r="C2723" t="s">
        <v>4755</v>
      </c>
      <c r="D2723" t="s">
        <v>4756</v>
      </c>
      <c r="E2723" t="str">
        <f>"3840200366146"</f>
        <v>0</v>
      </c>
      <c r="F2723" t="str">
        <f>"000680"</f>
        <v>0</v>
      </c>
      <c r="G2723" t="s">
        <v>21</v>
      </c>
    </row>
    <row r="2724" spans="1:7">
      <c r="A2724">
        <v>2723</v>
      </c>
      <c r="B2724" t="str">
        <f>"015376"</f>
        <v>0</v>
      </c>
      <c r="C2724" t="s">
        <v>4757</v>
      </c>
      <c r="D2724" t="s">
        <v>1296</v>
      </c>
      <c r="E2724" t="str">
        <f>"3930500957335"</f>
        <v>0</v>
      </c>
      <c r="F2724" t="str">
        <f>"000680"</f>
        <v>0</v>
      </c>
      <c r="G2724" t="s">
        <v>21</v>
      </c>
    </row>
    <row r="2725" spans="1:7">
      <c r="A2725">
        <v>2724</v>
      </c>
      <c r="B2725" t="str">
        <f>"015394"</f>
        <v>0</v>
      </c>
      <c r="C2725" t="s">
        <v>4758</v>
      </c>
      <c r="D2725" t="s">
        <v>4759</v>
      </c>
      <c r="E2725" t="str">
        <f>"3960500108443"</f>
        <v>0</v>
      </c>
      <c r="F2725" t="str">
        <f>"000680"</f>
        <v>0</v>
      </c>
      <c r="G2725" t="s">
        <v>21</v>
      </c>
    </row>
    <row r="2726" spans="1:7">
      <c r="A2726">
        <v>2725</v>
      </c>
      <c r="B2726" t="str">
        <f>"025584"</f>
        <v>0</v>
      </c>
      <c r="C2726" t="s">
        <v>2987</v>
      </c>
      <c r="D2726" t="s">
        <v>4760</v>
      </c>
      <c r="E2726" t="str">
        <f>"3860100992711"</f>
        <v>0</v>
      </c>
      <c r="F2726" t="str">
        <f>"000680"</f>
        <v>0</v>
      </c>
      <c r="G2726" t="s">
        <v>21</v>
      </c>
    </row>
    <row r="2727" spans="1:7">
      <c r="A2727">
        <v>2726</v>
      </c>
      <c r="B2727" t="str">
        <f>"022022"</f>
        <v>0</v>
      </c>
      <c r="C2727" t="s">
        <v>4761</v>
      </c>
      <c r="D2727" t="s">
        <v>4762</v>
      </c>
      <c r="E2727" t="str">
        <f>"3959900035034"</f>
        <v>0</v>
      </c>
      <c r="F2727" t="str">
        <f>"000680"</f>
        <v>0</v>
      </c>
      <c r="G2727" t="s">
        <v>21</v>
      </c>
    </row>
    <row r="2728" spans="1:7">
      <c r="A2728">
        <v>2727</v>
      </c>
      <c r="B2728" t="str">
        <f>"000448"</f>
        <v>0</v>
      </c>
      <c r="C2728" t="s">
        <v>2634</v>
      </c>
      <c r="D2728" t="s">
        <v>4763</v>
      </c>
      <c r="E2728" t="str">
        <f>"3579900283490"</f>
        <v>0</v>
      </c>
      <c r="F2728" t="str">
        <f>"000710"</f>
        <v>0</v>
      </c>
      <c r="G2728" t="s">
        <v>21</v>
      </c>
    </row>
    <row r="2729" spans="1:7">
      <c r="A2729">
        <v>2728</v>
      </c>
      <c r="B2729" t="str">
        <f>"000741"</f>
        <v>0</v>
      </c>
      <c r="C2729" t="s">
        <v>4764</v>
      </c>
      <c r="D2729" t="s">
        <v>4765</v>
      </c>
      <c r="E2729" t="str">
        <f>"3479900064446"</f>
        <v>0</v>
      </c>
      <c r="F2729" t="str">
        <f>"000710"</f>
        <v>0</v>
      </c>
      <c r="G2729" t="s">
        <v>21</v>
      </c>
    </row>
    <row r="2730" spans="1:7">
      <c r="A2730">
        <v>2729</v>
      </c>
      <c r="B2730" t="str">
        <f>"002034"</f>
        <v>0</v>
      </c>
      <c r="C2730" t="s">
        <v>4766</v>
      </c>
      <c r="D2730" t="s">
        <v>4767</v>
      </c>
      <c r="E2730" t="str">
        <f>"3579900041933"</f>
        <v>0</v>
      </c>
      <c r="F2730" t="str">
        <f>"000710"</f>
        <v>0</v>
      </c>
      <c r="G2730" t="s">
        <v>21</v>
      </c>
    </row>
    <row r="2731" spans="1:7">
      <c r="A2731">
        <v>2730</v>
      </c>
      <c r="B2731" t="str">
        <f>"002035"</f>
        <v>0</v>
      </c>
      <c r="C2731" t="s">
        <v>1162</v>
      </c>
      <c r="D2731" t="s">
        <v>4768</v>
      </c>
      <c r="E2731" t="str">
        <f>"3570100457428"</f>
        <v>0</v>
      </c>
      <c r="F2731" t="str">
        <f>"000710"</f>
        <v>0</v>
      </c>
      <c r="G2731" t="s">
        <v>21</v>
      </c>
    </row>
    <row r="2732" spans="1:7">
      <c r="A2732">
        <v>2731</v>
      </c>
      <c r="B2732" t="str">
        <f>"002357"</f>
        <v>0</v>
      </c>
      <c r="C2732" t="s">
        <v>445</v>
      </c>
      <c r="D2732" t="s">
        <v>4769</v>
      </c>
      <c r="E2732" t="str">
        <f>"3570900102446"</f>
        <v>0</v>
      </c>
      <c r="F2732" t="str">
        <f>"000710"</f>
        <v>0</v>
      </c>
      <c r="G2732" t="s">
        <v>21</v>
      </c>
    </row>
    <row r="2733" spans="1:7">
      <c r="A2733">
        <v>2732</v>
      </c>
      <c r="B2733" t="str">
        <f>"002464"</f>
        <v>0</v>
      </c>
      <c r="C2733" t="s">
        <v>1260</v>
      </c>
      <c r="D2733" t="s">
        <v>4770</v>
      </c>
      <c r="E2733" t="str">
        <f>"3939900015661"</f>
        <v>0</v>
      </c>
      <c r="F2733" t="str">
        <f>"000710"</f>
        <v>0</v>
      </c>
      <c r="G2733" t="s">
        <v>21</v>
      </c>
    </row>
    <row r="2734" spans="1:7">
      <c r="A2734">
        <v>2733</v>
      </c>
      <c r="B2734" t="str">
        <f>"002789"</f>
        <v>0</v>
      </c>
      <c r="C2734" t="s">
        <v>4771</v>
      </c>
      <c r="D2734" t="s">
        <v>4772</v>
      </c>
      <c r="E2734" t="str">
        <f>"3501400625327"</f>
        <v>0</v>
      </c>
      <c r="F2734" t="str">
        <f>"000710"</f>
        <v>0</v>
      </c>
      <c r="G2734" t="s">
        <v>21</v>
      </c>
    </row>
    <row r="2735" spans="1:7">
      <c r="A2735">
        <v>2734</v>
      </c>
      <c r="B2735" t="str">
        <f>"002965"</f>
        <v>0</v>
      </c>
      <c r="C2735" t="s">
        <v>2608</v>
      </c>
      <c r="D2735" t="s">
        <v>4773</v>
      </c>
      <c r="E2735" t="str">
        <f>"3570300430281"</f>
        <v>0</v>
      </c>
      <c r="F2735" t="str">
        <f>"000710"</f>
        <v>0</v>
      </c>
      <c r="G2735" t="s">
        <v>21</v>
      </c>
    </row>
    <row r="2736" spans="1:7">
      <c r="A2736">
        <v>2735</v>
      </c>
      <c r="B2736" t="str">
        <f>"003434"</f>
        <v>0</v>
      </c>
      <c r="C2736" t="s">
        <v>4774</v>
      </c>
      <c r="D2736" t="s">
        <v>4770</v>
      </c>
      <c r="E2736" t="str">
        <f>"3910500238398"</f>
        <v>0</v>
      </c>
      <c r="F2736" t="str">
        <f>"000710"</f>
        <v>0</v>
      </c>
      <c r="G2736" t="s">
        <v>21</v>
      </c>
    </row>
    <row r="2737" spans="1:7">
      <c r="A2737">
        <v>2736</v>
      </c>
      <c r="B2737" t="str">
        <f>"004123"</f>
        <v>0</v>
      </c>
      <c r="C2737" t="s">
        <v>297</v>
      </c>
      <c r="D2737" t="s">
        <v>4775</v>
      </c>
      <c r="E2737" t="str">
        <f>"3640200004327"</f>
        <v>0</v>
      </c>
      <c r="F2737" t="str">
        <f>"000710"</f>
        <v>0</v>
      </c>
      <c r="G2737" t="s">
        <v>21</v>
      </c>
    </row>
    <row r="2738" spans="1:7">
      <c r="A2738">
        <v>2737</v>
      </c>
      <c r="B2738" t="str">
        <f>"004203"</f>
        <v>0</v>
      </c>
      <c r="C2738" t="s">
        <v>500</v>
      </c>
      <c r="D2738" t="s">
        <v>4776</v>
      </c>
      <c r="E2738" t="str">
        <f>"3570900557401"</f>
        <v>0</v>
      </c>
      <c r="F2738" t="str">
        <f>"000710"</f>
        <v>0</v>
      </c>
      <c r="G2738" t="s">
        <v>21</v>
      </c>
    </row>
    <row r="2739" spans="1:7">
      <c r="A2739">
        <v>2738</v>
      </c>
      <c r="B2739" t="str">
        <f>"005074"</f>
        <v>0</v>
      </c>
      <c r="C2739" t="s">
        <v>4777</v>
      </c>
      <c r="D2739" t="s">
        <v>4778</v>
      </c>
      <c r="E2739" t="str">
        <f>"3570400048841"</f>
        <v>0</v>
      </c>
      <c r="F2739" t="str">
        <f>"000710"</f>
        <v>0</v>
      </c>
      <c r="G2739" t="s">
        <v>21</v>
      </c>
    </row>
    <row r="2740" spans="1:7">
      <c r="A2740">
        <v>2739</v>
      </c>
      <c r="B2740" t="str">
        <f>"005227"</f>
        <v>0</v>
      </c>
      <c r="C2740" t="s">
        <v>4779</v>
      </c>
      <c r="D2740" t="s">
        <v>4780</v>
      </c>
      <c r="E2740" t="str">
        <f>"3570900601159"</f>
        <v>0</v>
      </c>
      <c r="F2740" t="str">
        <f>"000710"</f>
        <v>0</v>
      </c>
      <c r="G2740" t="s">
        <v>21</v>
      </c>
    </row>
    <row r="2741" spans="1:7">
      <c r="A2741">
        <v>2740</v>
      </c>
      <c r="B2741" t="str">
        <f>"005378"</f>
        <v>0</v>
      </c>
      <c r="C2741" t="s">
        <v>4781</v>
      </c>
      <c r="D2741" t="s">
        <v>4782</v>
      </c>
      <c r="E2741" t="str">
        <f>"3570800190050"</f>
        <v>0</v>
      </c>
      <c r="F2741" t="str">
        <f>"000710"</f>
        <v>0</v>
      </c>
      <c r="G2741" t="s">
        <v>21</v>
      </c>
    </row>
    <row r="2742" spans="1:7">
      <c r="A2742">
        <v>2741</v>
      </c>
      <c r="B2742" t="str">
        <f>"005392"</f>
        <v>0</v>
      </c>
      <c r="C2742" t="s">
        <v>4783</v>
      </c>
      <c r="D2742" t="s">
        <v>4784</v>
      </c>
      <c r="E2742" t="str">
        <f>"3570100994709"</f>
        <v>0</v>
      </c>
      <c r="F2742" t="str">
        <f>"000710"</f>
        <v>0</v>
      </c>
      <c r="G2742" t="s">
        <v>21</v>
      </c>
    </row>
    <row r="2743" spans="1:7">
      <c r="A2743">
        <v>2742</v>
      </c>
      <c r="B2743" t="str">
        <f>"005429"</f>
        <v>0</v>
      </c>
      <c r="C2743" t="s">
        <v>4785</v>
      </c>
      <c r="D2743" t="s">
        <v>4786</v>
      </c>
      <c r="E2743" t="str">
        <f>"3570400051966"</f>
        <v>0</v>
      </c>
      <c r="F2743" t="str">
        <f>"000710"</f>
        <v>0</v>
      </c>
      <c r="G2743" t="s">
        <v>21</v>
      </c>
    </row>
    <row r="2744" spans="1:7">
      <c r="A2744">
        <v>2743</v>
      </c>
      <c r="B2744" t="str">
        <f>"005618"</f>
        <v>0</v>
      </c>
      <c r="C2744" t="s">
        <v>4787</v>
      </c>
      <c r="D2744" t="s">
        <v>4788</v>
      </c>
      <c r="E2744" t="str">
        <f>"3630600209490"</f>
        <v>0</v>
      </c>
      <c r="F2744" t="str">
        <f>"000710"</f>
        <v>0</v>
      </c>
      <c r="G2744" t="s">
        <v>21</v>
      </c>
    </row>
    <row r="2745" spans="1:7">
      <c r="A2745">
        <v>2744</v>
      </c>
      <c r="B2745" t="str">
        <f>"005994"</f>
        <v>0</v>
      </c>
      <c r="C2745" t="s">
        <v>587</v>
      </c>
      <c r="D2745" t="s">
        <v>4789</v>
      </c>
      <c r="E2745" t="str">
        <f>"5570400017314"</f>
        <v>0</v>
      </c>
      <c r="F2745" t="str">
        <f>"000710"</f>
        <v>0</v>
      </c>
      <c r="G2745" t="s">
        <v>21</v>
      </c>
    </row>
    <row r="2746" spans="1:7">
      <c r="A2746">
        <v>2745</v>
      </c>
      <c r="B2746" t="str">
        <f>"005997"</f>
        <v>0</v>
      </c>
      <c r="C2746" t="s">
        <v>126</v>
      </c>
      <c r="D2746" t="s">
        <v>4790</v>
      </c>
      <c r="E2746" t="str">
        <f>"3571200047940"</f>
        <v>0</v>
      </c>
      <c r="F2746" t="str">
        <f>"000710"</f>
        <v>0</v>
      </c>
      <c r="G2746" t="s">
        <v>21</v>
      </c>
    </row>
    <row r="2747" spans="1:7">
      <c r="A2747">
        <v>2746</v>
      </c>
      <c r="B2747" t="str">
        <f>"006009"</f>
        <v>0</v>
      </c>
      <c r="C2747" t="s">
        <v>4791</v>
      </c>
      <c r="D2747" t="s">
        <v>4792</v>
      </c>
      <c r="E2747" t="str">
        <f>"3571100033335"</f>
        <v>0</v>
      </c>
      <c r="F2747" t="str">
        <f>"000710"</f>
        <v>0</v>
      </c>
      <c r="G2747" t="s">
        <v>21</v>
      </c>
    </row>
    <row r="2748" spans="1:7">
      <c r="A2748">
        <v>2747</v>
      </c>
      <c r="B2748" t="str">
        <f>"006460"</f>
        <v>0</v>
      </c>
      <c r="C2748" t="s">
        <v>4793</v>
      </c>
      <c r="D2748" t="s">
        <v>4794</v>
      </c>
      <c r="E2748" t="str">
        <f>"3570700642447"</f>
        <v>0</v>
      </c>
      <c r="F2748" t="str">
        <f>"000710"</f>
        <v>0</v>
      </c>
      <c r="G2748" t="s">
        <v>21</v>
      </c>
    </row>
    <row r="2749" spans="1:7">
      <c r="A2749">
        <v>2748</v>
      </c>
      <c r="B2749" t="str">
        <f>"006596"</f>
        <v>0</v>
      </c>
      <c r="C2749" t="s">
        <v>4795</v>
      </c>
      <c r="D2749" t="s">
        <v>4796</v>
      </c>
      <c r="E2749" t="str">
        <f>"3570100521517"</f>
        <v>0</v>
      </c>
      <c r="F2749" t="str">
        <f>"000710"</f>
        <v>0</v>
      </c>
      <c r="G2749" t="s">
        <v>21</v>
      </c>
    </row>
    <row r="2750" spans="1:7">
      <c r="A2750">
        <v>2749</v>
      </c>
      <c r="B2750" t="str">
        <f>"007010"</f>
        <v>0</v>
      </c>
      <c r="C2750" t="s">
        <v>4797</v>
      </c>
      <c r="D2750" t="s">
        <v>4798</v>
      </c>
      <c r="E2750" t="str">
        <f>"3570400421020"</f>
        <v>0</v>
      </c>
      <c r="F2750" t="str">
        <f>"000710"</f>
        <v>0</v>
      </c>
      <c r="G2750" t="s">
        <v>21</v>
      </c>
    </row>
    <row r="2751" spans="1:7">
      <c r="A2751">
        <v>2750</v>
      </c>
      <c r="B2751" t="str">
        <f>"007302"</f>
        <v>0</v>
      </c>
      <c r="C2751" t="s">
        <v>4799</v>
      </c>
      <c r="D2751" t="s">
        <v>4800</v>
      </c>
      <c r="E2751" t="str">
        <f>"3570800346076"</f>
        <v>0</v>
      </c>
      <c r="F2751" t="str">
        <f>"000710"</f>
        <v>0</v>
      </c>
      <c r="G2751" t="s">
        <v>21</v>
      </c>
    </row>
    <row r="2752" spans="1:7">
      <c r="A2752">
        <v>2751</v>
      </c>
      <c r="B2752" t="str">
        <f>"007315"</f>
        <v>0</v>
      </c>
      <c r="C2752" t="s">
        <v>4801</v>
      </c>
      <c r="D2752" t="s">
        <v>4802</v>
      </c>
      <c r="E2752" t="str">
        <f>"3579900336356"</f>
        <v>0</v>
      </c>
      <c r="F2752" t="str">
        <f>"000710"</f>
        <v>0</v>
      </c>
      <c r="G2752" t="s">
        <v>21</v>
      </c>
    </row>
    <row r="2753" spans="1:7">
      <c r="A2753">
        <v>2752</v>
      </c>
      <c r="B2753" t="str">
        <f>"007318"</f>
        <v>0</v>
      </c>
      <c r="C2753" t="s">
        <v>4803</v>
      </c>
      <c r="D2753" t="s">
        <v>2606</v>
      </c>
      <c r="E2753" t="str">
        <f>"3570101372035"</f>
        <v>0</v>
      </c>
      <c r="F2753" t="str">
        <f>"000710"</f>
        <v>0</v>
      </c>
      <c r="G2753" t="s">
        <v>21</v>
      </c>
    </row>
    <row r="2754" spans="1:7">
      <c r="A2754">
        <v>2753</v>
      </c>
      <c r="B2754" t="str">
        <f>"007320"</f>
        <v>0</v>
      </c>
      <c r="C2754" t="s">
        <v>4804</v>
      </c>
      <c r="D2754" t="s">
        <v>4805</v>
      </c>
      <c r="E2754" t="str">
        <f>"3570101603649"</f>
        <v>0</v>
      </c>
      <c r="F2754" t="str">
        <f>"000710"</f>
        <v>0</v>
      </c>
      <c r="G2754" t="s">
        <v>21</v>
      </c>
    </row>
    <row r="2755" spans="1:7">
      <c r="A2755">
        <v>2754</v>
      </c>
      <c r="B2755" t="str">
        <f>"007524"</f>
        <v>0</v>
      </c>
      <c r="C2755" t="s">
        <v>86</v>
      </c>
      <c r="D2755" t="s">
        <v>4806</v>
      </c>
      <c r="E2755" t="str">
        <f>"4570700001377"</f>
        <v>0</v>
      </c>
      <c r="F2755" t="str">
        <f>"000710"</f>
        <v>0</v>
      </c>
      <c r="G2755" t="s">
        <v>21</v>
      </c>
    </row>
    <row r="2756" spans="1:7">
      <c r="A2756">
        <v>2755</v>
      </c>
      <c r="B2756" t="str">
        <f>"007525"</f>
        <v>0</v>
      </c>
      <c r="C2756" t="s">
        <v>2575</v>
      </c>
      <c r="D2756" t="s">
        <v>4807</v>
      </c>
      <c r="E2756" t="str">
        <f>"3570800346068"</f>
        <v>0</v>
      </c>
      <c r="F2756" t="str">
        <f>"000710"</f>
        <v>0</v>
      </c>
      <c r="G2756" t="s">
        <v>21</v>
      </c>
    </row>
    <row r="2757" spans="1:7">
      <c r="A2757">
        <v>2756</v>
      </c>
      <c r="B2757" t="str">
        <f>"007526"</f>
        <v>0</v>
      </c>
      <c r="C2757" t="s">
        <v>2779</v>
      </c>
      <c r="D2757" t="s">
        <v>4808</v>
      </c>
      <c r="E2757" t="str">
        <f>"3570800346084"</f>
        <v>0</v>
      </c>
      <c r="F2757" t="str">
        <f>"000710"</f>
        <v>0</v>
      </c>
      <c r="G2757" t="s">
        <v>21</v>
      </c>
    </row>
    <row r="2758" spans="1:7">
      <c r="A2758">
        <v>2757</v>
      </c>
      <c r="B2758" t="str">
        <f>"007730"</f>
        <v>0</v>
      </c>
      <c r="C2758" t="s">
        <v>557</v>
      </c>
      <c r="D2758" t="s">
        <v>4809</v>
      </c>
      <c r="E2758" t="str">
        <f>"3570300316429"</f>
        <v>0</v>
      </c>
      <c r="F2758" t="str">
        <f>"000710"</f>
        <v>0</v>
      </c>
      <c r="G2758" t="s">
        <v>21</v>
      </c>
    </row>
    <row r="2759" spans="1:7">
      <c r="A2759">
        <v>2758</v>
      </c>
      <c r="B2759" t="str">
        <f>"007913"</f>
        <v>0</v>
      </c>
      <c r="C2759" t="s">
        <v>217</v>
      </c>
      <c r="D2759" t="s">
        <v>4810</v>
      </c>
      <c r="E2759" t="str">
        <f>"3570400001136"</f>
        <v>0</v>
      </c>
      <c r="F2759" t="str">
        <f>"000710"</f>
        <v>0</v>
      </c>
      <c r="G2759" t="s">
        <v>21</v>
      </c>
    </row>
    <row r="2760" spans="1:7">
      <c r="A2760">
        <v>2759</v>
      </c>
      <c r="B2760" t="str">
        <f>"007914"</f>
        <v>0</v>
      </c>
      <c r="C2760" t="s">
        <v>624</v>
      </c>
      <c r="D2760" t="s">
        <v>1952</v>
      </c>
      <c r="E2760" t="str">
        <f>"3570200585827"</f>
        <v>0</v>
      </c>
      <c r="F2760" t="str">
        <f>"000710"</f>
        <v>0</v>
      </c>
      <c r="G2760" t="s">
        <v>21</v>
      </c>
    </row>
    <row r="2761" spans="1:7">
      <c r="A2761">
        <v>2760</v>
      </c>
      <c r="B2761" t="str">
        <f>"008051"</f>
        <v>0</v>
      </c>
      <c r="C2761" t="s">
        <v>403</v>
      </c>
      <c r="D2761" t="s">
        <v>4811</v>
      </c>
      <c r="E2761" t="str">
        <f>"3570100916236"</f>
        <v>0</v>
      </c>
      <c r="F2761" t="str">
        <f>"000710"</f>
        <v>0</v>
      </c>
      <c r="G2761" t="s">
        <v>21</v>
      </c>
    </row>
    <row r="2762" spans="1:7">
      <c r="A2762">
        <v>2761</v>
      </c>
      <c r="B2762" t="str">
        <f>"008121"</f>
        <v>0</v>
      </c>
      <c r="C2762" t="s">
        <v>4812</v>
      </c>
      <c r="D2762" t="s">
        <v>4813</v>
      </c>
      <c r="E2762" t="str">
        <f>"3579900182651"</f>
        <v>0</v>
      </c>
      <c r="F2762" t="str">
        <f>"000710"</f>
        <v>0</v>
      </c>
      <c r="G2762" t="s">
        <v>21</v>
      </c>
    </row>
    <row r="2763" spans="1:7">
      <c r="A2763">
        <v>2762</v>
      </c>
      <c r="B2763" t="str">
        <f>"008203"</f>
        <v>0</v>
      </c>
      <c r="C2763" t="s">
        <v>4814</v>
      </c>
      <c r="D2763" t="s">
        <v>4815</v>
      </c>
      <c r="E2763" t="str">
        <f>"3570600008495"</f>
        <v>0</v>
      </c>
      <c r="F2763" t="str">
        <f>"000710"</f>
        <v>0</v>
      </c>
      <c r="G2763" t="s">
        <v>21</v>
      </c>
    </row>
    <row r="2764" spans="1:7">
      <c r="A2764">
        <v>2763</v>
      </c>
      <c r="B2764" t="str">
        <f>"008211"</f>
        <v>0</v>
      </c>
      <c r="C2764" t="s">
        <v>160</v>
      </c>
      <c r="D2764" t="s">
        <v>4816</v>
      </c>
      <c r="E2764" t="str">
        <f>"3570600022951"</f>
        <v>0</v>
      </c>
      <c r="F2764" t="str">
        <f>"000710"</f>
        <v>0</v>
      </c>
      <c r="G2764" t="s">
        <v>21</v>
      </c>
    </row>
    <row r="2765" spans="1:7">
      <c r="A2765">
        <v>2764</v>
      </c>
      <c r="B2765" t="str">
        <f>"008223"</f>
        <v>0</v>
      </c>
      <c r="C2765" t="s">
        <v>1822</v>
      </c>
      <c r="D2765" t="s">
        <v>4817</v>
      </c>
      <c r="E2765" t="str">
        <f>"3630200058672"</f>
        <v>0</v>
      </c>
      <c r="F2765" t="str">
        <f>"000710"</f>
        <v>0</v>
      </c>
      <c r="G2765" t="s">
        <v>21</v>
      </c>
    </row>
    <row r="2766" spans="1:7">
      <c r="A2766">
        <v>2765</v>
      </c>
      <c r="B2766" t="str">
        <f>"008358"</f>
        <v>0</v>
      </c>
      <c r="C2766" t="s">
        <v>4818</v>
      </c>
      <c r="D2766" t="s">
        <v>4819</v>
      </c>
      <c r="E2766" t="str">
        <f>"3570300032064"</f>
        <v>0</v>
      </c>
      <c r="F2766" t="str">
        <f>"000710"</f>
        <v>0</v>
      </c>
      <c r="G2766" t="s">
        <v>21</v>
      </c>
    </row>
    <row r="2767" spans="1:7">
      <c r="A2767">
        <v>2766</v>
      </c>
      <c r="B2767" t="str">
        <f>"008533"</f>
        <v>0</v>
      </c>
      <c r="C2767" t="s">
        <v>4820</v>
      </c>
      <c r="D2767" t="s">
        <v>4821</v>
      </c>
      <c r="E2767" t="str">
        <f>"3600800374061"</f>
        <v>0</v>
      </c>
      <c r="F2767" t="str">
        <f>"000710"</f>
        <v>0</v>
      </c>
      <c r="G2767" t="s">
        <v>21</v>
      </c>
    </row>
    <row r="2768" spans="1:7">
      <c r="A2768">
        <v>2767</v>
      </c>
      <c r="B2768" t="str">
        <f>"008571"</f>
        <v>0</v>
      </c>
      <c r="C2768" t="s">
        <v>4822</v>
      </c>
      <c r="D2768" t="s">
        <v>4823</v>
      </c>
      <c r="E2768" t="str">
        <f>"3570100329543"</f>
        <v>0</v>
      </c>
      <c r="F2768" t="str">
        <f>"000710"</f>
        <v>0</v>
      </c>
      <c r="G2768" t="s">
        <v>21</v>
      </c>
    </row>
    <row r="2769" spans="1:7">
      <c r="A2769">
        <v>2768</v>
      </c>
      <c r="B2769" t="str">
        <f>"008785"</f>
        <v>0</v>
      </c>
      <c r="C2769" t="s">
        <v>4824</v>
      </c>
      <c r="D2769" t="s">
        <v>4825</v>
      </c>
      <c r="E2769" t="str">
        <f>"5570800008665"</f>
        <v>0</v>
      </c>
      <c r="F2769" t="str">
        <f>"000710"</f>
        <v>0</v>
      </c>
      <c r="G2769" t="s">
        <v>21</v>
      </c>
    </row>
    <row r="2770" spans="1:7">
      <c r="A2770">
        <v>2769</v>
      </c>
      <c r="B2770" t="str">
        <f>"008786"</f>
        <v>0</v>
      </c>
      <c r="C2770" t="s">
        <v>44</v>
      </c>
      <c r="D2770" t="s">
        <v>4826</v>
      </c>
      <c r="E2770" t="str">
        <f>"3570700230661"</f>
        <v>0</v>
      </c>
      <c r="F2770" t="str">
        <f>"000710"</f>
        <v>0</v>
      </c>
      <c r="G2770" t="s">
        <v>21</v>
      </c>
    </row>
    <row r="2771" spans="1:7">
      <c r="A2771">
        <v>2770</v>
      </c>
      <c r="B2771" t="str">
        <f>"008871"</f>
        <v>0</v>
      </c>
      <c r="C2771" t="s">
        <v>4827</v>
      </c>
      <c r="D2771" t="s">
        <v>4794</v>
      </c>
      <c r="E2771" t="str">
        <f>"3519900094247"</f>
        <v>0</v>
      </c>
      <c r="F2771" t="str">
        <f>"000710"</f>
        <v>0</v>
      </c>
      <c r="G2771" t="s">
        <v>21</v>
      </c>
    </row>
    <row r="2772" spans="1:7">
      <c r="A2772">
        <v>2771</v>
      </c>
      <c r="B2772" t="str">
        <f>"009030"</f>
        <v>0</v>
      </c>
      <c r="C2772" t="s">
        <v>411</v>
      </c>
      <c r="D2772" t="s">
        <v>4828</v>
      </c>
      <c r="E2772" t="str">
        <f>"3570700553215"</f>
        <v>0</v>
      </c>
      <c r="F2772" t="str">
        <f>"000710"</f>
        <v>0</v>
      </c>
      <c r="G2772" t="s">
        <v>21</v>
      </c>
    </row>
    <row r="2773" spans="1:7">
      <c r="A2773">
        <v>2772</v>
      </c>
      <c r="B2773" t="str">
        <f>"009031"</f>
        <v>0</v>
      </c>
      <c r="C2773" t="s">
        <v>4829</v>
      </c>
      <c r="D2773" t="s">
        <v>4830</v>
      </c>
      <c r="E2773" t="str">
        <f>"5560300018033"</f>
        <v>0</v>
      </c>
      <c r="F2773" t="str">
        <f>"000710"</f>
        <v>0</v>
      </c>
      <c r="G2773" t="s">
        <v>21</v>
      </c>
    </row>
    <row r="2774" spans="1:7">
      <c r="A2774">
        <v>2773</v>
      </c>
      <c r="B2774" t="str">
        <f>"009032"</f>
        <v>0</v>
      </c>
      <c r="C2774" t="s">
        <v>3812</v>
      </c>
      <c r="D2774" t="s">
        <v>4831</v>
      </c>
      <c r="E2774" t="str">
        <f>"3570100470122"</f>
        <v>0</v>
      </c>
      <c r="F2774" t="str">
        <f>"000710"</f>
        <v>0</v>
      </c>
      <c r="G2774" t="s">
        <v>21</v>
      </c>
    </row>
    <row r="2775" spans="1:7">
      <c r="A2775">
        <v>2774</v>
      </c>
      <c r="B2775" t="str">
        <f>"009035"</f>
        <v>0</v>
      </c>
      <c r="C2775" t="s">
        <v>4832</v>
      </c>
      <c r="D2775" t="s">
        <v>4833</v>
      </c>
      <c r="E2775" t="str">
        <f>"3570200091409"</f>
        <v>0</v>
      </c>
      <c r="F2775" t="str">
        <f>"000710"</f>
        <v>0</v>
      </c>
      <c r="G2775" t="s">
        <v>21</v>
      </c>
    </row>
    <row r="2776" spans="1:7">
      <c r="A2776">
        <v>2775</v>
      </c>
      <c r="B2776" t="str">
        <f>"009036"</f>
        <v>0</v>
      </c>
      <c r="C2776" t="s">
        <v>217</v>
      </c>
      <c r="D2776" t="s">
        <v>4834</v>
      </c>
      <c r="E2776" t="str">
        <f>"3579900280415"</f>
        <v>0</v>
      </c>
      <c r="F2776" t="str">
        <f>"000710"</f>
        <v>0</v>
      </c>
      <c r="G2776" t="s">
        <v>21</v>
      </c>
    </row>
    <row r="2777" spans="1:7">
      <c r="A2777">
        <v>2776</v>
      </c>
      <c r="B2777" t="str">
        <f>"009067"</f>
        <v>0</v>
      </c>
      <c r="C2777" t="s">
        <v>2216</v>
      </c>
      <c r="D2777" t="s">
        <v>4835</v>
      </c>
      <c r="E2777" t="str">
        <f>"3570200697889"</f>
        <v>0</v>
      </c>
      <c r="F2777" t="str">
        <f>"000710"</f>
        <v>0</v>
      </c>
      <c r="G2777" t="s">
        <v>21</v>
      </c>
    </row>
    <row r="2778" spans="1:7">
      <c r="A2778">
        <v>2777</v>
      </c>
      <c r="B2778" t="str">
        <f>"009223"</f>
        <v>0</v>
      </c>
      <c r="C2778" t="s">
        <v>4836</v>
      </c>
      <c r="D2778" t="s">
        <v>4837</v>
      </c>
      <c r="E2778" t="str">
        <f>"3570700304967"</f>
        <v>0</v>
      </c>
      <c r="F2778" t="str">
        <f>"000710"</f>
        <v>0</v>
      </c>
      <c r="G2778" t="s">
        <v>21</v>
      </c>
    </row>
    <row r="2779" spans="1:7">
      <c r="A2779">
        <v>2778</v>
      </c>
      <c r="B2779" t="str">
        <f>"009240"</f>
        <v>0</v>
      </c>
      <c r="C2779" t="s">
        <v>4838</v>
      </c>
      <c r="D2779" t="s">
        <v>4839</v>
      </c>
      <c r="E2779" t="str">
        <f>"3670700195750"</f>
        <v>0</v>
      </c>
      <c r="F2779" t="str">
        <f>"000710"</f>
        <v>0</v>
      </c>
      <c r="G2779" t="s">
        <v>21</v>
      </c>
    </row>
    <row r="2780" spans="1:7">
      <c r="A2780">
        <v>2779</v>
      </c>
      <c r="B2780" t="str">
        <f>"009353"</f>
        <v>0</v>
      </c>
      <c r="C2780" t="s">
        <v>774</v>
      </c>
      <c r="D2780" t="s">
        <v>4840</v>
      </c>
      <c r="E2780" t="str">
        <f>"3570300672489"</f>
        <v>0</v>
      </c>
      <c r="F2780" t="str">
        <f>"000710"</f>
        <v>0</v>
      </c>
      <c r="G2780" t="s">
        <v>21</v>
      </c>
    </row>
    <row r="2781" spans="1:7">
      <c r="A2781">
        <v>2780</v>
      </c>
      <c r="B2781" t="str">
        <f>"009360"</f>
        <v>0</v>
      </c>
      <c r="C2781" t="s">
        <v>4841</v>
      </c>
      <c r="D2781" t="s">
        <v>4842</v>
      </c>
      <c r="E2781" t="str">
        <f>"3510300014694"</f>
        <v>0</v>
      </c>
      <c r="F2781" t="str">
        <f>"000710"</f>
        <v>0</v>
      </c>
      <c r="G2781" t="s">
        <v>21</v>
      </c>
    </row>
    <row r="2782" spans="1:7">
      <c r="A2782">
        <v>2781</v>
      </c>
      <c r="B2782" t="str">
        <f>"009595"</f>
        <v>0</v>
      </c>
      <c r="C2782" t="s">
        <v>590</v>
      </c>
      <c r="D2782" t="s">
        <v>4843</v>
      </c>
      <c r="E2782" t="str">
        <f>"3490600125808"</f>
        <v>0</v>
      </c>
      <c r="F2782" t="str">
        <f>"000710"</f>
        <v>0</v>
      </c>
      <c r="G2782" t="s">
        <v>21</v>
      </c>
    </row>
    <row r="2783" spans="1:7">
      <c r="A2783">
        <v>2782</v>
      </c>
      <c r="B2783" t="str">
        <f>"009676"</f>
        <v>0</v>
      </c>
      <c r="C2783" t="s">
        <v>4844</v>
      </c>
      <c r="D2783" t="s">
        <v>4845</v>
      </c>
      <c r="E2783" t="str">
        <f>"3559900193288"</f>
        <v>0</v>
      </c>
      <c r="F2783" t="str">
        <f>"000710"</f>
        <v>0</v>
      </c>
      <c r="G2783" t="s">
        <v>21</v>
      </c>
    </row>
    <row r="2784" spans="1:7">
      <c r="A2784">
        <v>2783</v>
      </c>
      <c r="B2784" t="str">
        <f>"009720"</f>
        <v>0</v>
      </c>
      <c r="C2784" t="s">
        <v>3052</v>
      </c>
      <c r="D2784" t="s">
        <v>4846</v>
      </c>
      <c r="E2784" t="str">
        <f>"3570900653451"</f>
        <v>0</v>
      </c>
      <c r="F2784" t="str">
        <f>"000710"</f>
        <v>0</v>
      </c>
      <c r="G2784" t="s">
        <v>21</v>
      </c>
    </row>
    <row r="2785" spans="1:7">
      <c r="A2785">
        <v>2784</v>
      </c>
      <c r="B2785" t="str">
        <f>"009721"</f>
        <v>0</v>
      </c>
      <c r="C2785" t="s">
        <v>4847</v>
      </c>
      <c r="D2785" t="s">
        <v>4848</v>
      </c>
      <c r="E2785" t="str">
        <f>"3570900576201"</f>
        <v>0</v>
      </c>
      <c r="F2785" t="str">
        <f>"000710"</f>
        <v>0</v>
      </c>
      <c r="G2785" t="s">
        <v>21</v>
      </c>
    </row>
    <row r="2786" spans="1:7">
      <c r="A2786">
        <v>2785</v>
      </c>
      <c r="B2786" t="str">
        <f>"009726"</f>
        <v>0</v>
      </c>
      <c r="C2786" t="s">
        <v>126</v>
      </c>
      <c r="D2786" t="s">
        <v>4849</v>
      </c>
      <c r="E2786" t="str">
        <f>"3540600044785"</f>
        <v>0</v>
      </c>
      <c r="F2786" t="str">
        <f>"000710"</f>
        <v>0</v>
      </c>
      <c r="G2786" t="s">
        <v>21</v>
      </c>
    </row>
    <row r="2787" spans="1:7">
      <c r="A2787">
        <v>2786</v>
      </c>
      <c r="B2787" t="str">
        <f>"009727"</f>
        <v>0</v>
      </c>
      <c r="C2787" t="s">
        <v>1406</v>
      </c>
      <c r="D2787" t="s">
        <v>4850</v>
      </c>
      <c r="E2787" t="str">
        <f>"3589900009355"</f>
        <v>0</v>
      </c>
      <c r="F2787" t="str">
        <f>"000710"</f>
        <v>0</v>
      </c>
      <c r="G2787" t="s">
        <v>21</v>
      </c>
    </row>
    <row r="2788" spans="1:7">
      <c r="A2788">
        <v>2787</v>
      </c>
      <c r="B2788" t="str">
        <f>"009734"</f>
        <v>0</v>
      </c>
      <c r="C2788" t="s">
        <v>4851</v>
      </c>
      <c r="D2788" t="s">
        <v>4852</v>
      </c>
      <c r="E2788" t="str">
        <f>"3570600022153"</f>
        <v>0</v>
      </c>
      <c r="F2788" t="str">
        <f>"000710"</f>
        <v>0</v>
      </c>
      <c r="G2788" t="s">
        <v>21</v>
      </c>
    </row>
    <row r="2789" spans="1:7">
      <c r="A2789">
        <v>2788</v>
      </c>
      <c r="B2789" t="str">
        <f>"009735"</f>
        <v>0</v>
      </c>
      <c r="C2789" t="s">
        <v>678</v>
      </c>
      <c r="D2789" t="s">
        <v>4853</v>
      </c>
      <c r="E2789" t="str">
        <f>"3570600045927"</f>
        <v>0</v>
      </c>
      <c r="F2789" t="str">
        <f>"000710"</f>
        <v>0</v>
      </c>
      <c r="G2789" t="s">
        <v>21</v>
      </c>
    </row>
    <row r="2790" spans="1:7">
      <c r="A2790">
        <v>2789</v>
      </c>
      <c r="B2790" t="str">
        <f>"009808"</f>
        <v>0</v>
      </c>
      <c r="C2790" t="s">
        <v>4854</v>
      </c>
      <c r="D2790" t="s">
        <v>4855</v>
      </c>
      <c r="E2790" t="str">
        <f>"3560400011344"</f>
        <v>0</v>
      </c>
      <c r="F2790" t="str">
        <f>"000710"</f>
        <v>0</v>
      </c>
      <c r="G2790" t="s">
        <v>21</v>
      </c>
    </row>
    <row r="2791" spans="1:7">
      <c r="A2791">
        <v>2790</v>
      </c>
      <c r="B2791" t="str">
        <f>"009833"</f>
        <v>0</v>
      </c>
      <c r="C2791" t="s">
        <v>98</v>
      </c>
      <c r="D2791" t="s">
        <v>4856</v>
      </c>
      <c r="E2791" t="str">
        <f>"3501300203463"</f>
        <v>0</v>
      </c>
      <c r="F2791" t="str">
        <f>"000710"</f>
        <v>0</v>
      </c>
      <c r="G2791" t="s">
        <v>21</v>
      </c>
    </row>
    <row r="2792" spans="1:7">
      <c r="A2792">
        <v>2791</v>
      </c>
      <c r="B2792" t="str">
        <f>"009937"</f>
        <v>0</v>
      </c>
      <c r="C2792" t="s">
        <v>4857</v>
      </c>
      <c r="D2792" t="s">
        <v>4858</v>
      </c>
      <c r="E2792" t="str">
        <f>"3570100477771"</f>
        <v>0</v>
      </c>
      <c r="F2792" t="str">
        <f>"000710"</f>
        <v>0</v>
      </c>
      <c r="G2792" t="s">
        <v>21</v>
      </c>
    </row>
    <row r="2793" spans="1:7">
      <c r="A2793">
        <v>2792</v>
      </c>
      <c r="B2793" t="str">
        <f>"010164"</f>
        <v>0</v>
      </c>
      <c r="C2793" t="s">
        <v>4859</v>
      </c>
      <c r="D2793" t="s">
        <v>4860</v>
      </c>
      <c r="E2793" t="str">
        <f>"3330100450123"</f>
        <v>0</v>
      </c>
      <c r="F2793" t="str">
        <f>"000710"</f>
        <v>0</v>
      </c>
      <c r="G2793" t="s">
        <v>21</v>
      </c>
    </row>
    <row r="2794" spans="1:7">
      <c r="A2794">
        <v>2793</v>
      </c>
      <c r="B2794" t="str">
        <f>"010298"</f>
        <v>0</v>
      </c>
      <c r="C2794" t="s">
        <v>4861</v>
      </c>
      <c r="D2794" t="s">
        <v>4862</v>
      </c>
      <c r="E2794" t="str">
        <f>"3570100629431"</f>
        <v>0</v>
      </c>
      <c r="F2794" t="str">
        <f>"000710"</f>
        <v>0</v>
      </c>
      <c r="G2794" t="s">
        <v>21</v>
      </c>
    </row>
    <row r="2795" spans="1:7">
      <c r="A2795">
        <v>2794</v>
      </c>
      <c r="B2795" t="str">
        <f>"010299"</f>
        <v>0</v>
      </c>
      <c r="C2795" t="s">
        <v>2345</v>
      </c>
      <c r="D2795" t="s">
        <v>4863</v>
      </c>
      <c r="E2795" t="str">
        <f>"3579900214234"</f>
        <v>0</v>
      </c>
      <c r="F2795" t="str">
        <f>"000710"</f>
        <v>0</v>
      </c>
      <c r="G2795" t="s">
        <v>21</v>
      </c>
    </row>
    <row r="2796" spans="1:7">
      <c r="A2796">
        <v>2795</v>
      </c>
      <c r="B2796" t="str">
        <f>"010446"</f>
        <v>0</v>
      </c>
      <c r="C2796" t="s">
        <v>4864</v>
      </c>
      <c r="D2796" t="s">
        <v>4806</v>
      </c>
      <c r="E2796" t="str">
        <f>"3570700913203"</f>
        <v>0</v>
      </c>
      <c r="F2796" t="str">
        <f>"000710"</f>
        <v>0</v>
      </c>
      <c r="G2796" t="s">
        <v>21</v>
      </c>
    </row>
    <row r="2797" spans="1:7">
      <c r="A2797">
        <v>2796</v>
      </c>
      <c r="B2797" t="str">
        <f>"010449"</f>
        <v>0</v>
      </c>
      <c r="C2797" t="s">
        <v>2331</v>
      </c>
      <c r="D2797" t="s">
        <v>4865</v>
      </c>
      <c r="E2797" t="str">
        <f>"3570300638558"</f>
        <v>0</v>
      </c>
      <c r="F2797" t="str">
        <f>"000710"</f>
        <v>0</v>
      </c>
      <c r="G2797" t="s">
        <v>21</v>
      </c>
    </row>
    <row r="2798" spans="1:7">
      <c r="A2798">
        <v>2797</v>
      </c>
      <c r="B2798" t="str">
        <f>"010597"</f>
        <v>0</v>
      </c>
      <c r="C2798" t="s">
        <v>4866</v>
      </c>
      <c r="D2798" t="s">
        <v>4867</v>
      </c>
      <c r="E2798" t="str">
        <f>"4339900002229"</f>
        <v>0</v>
      </c>
      <c r="F2798" t="str">
        <f>"000710"</f>
        <v>0</v>
      </c>
      <c r="G2798" t="s">
        <v>21</v>
      </c>
    </row>
    <row r="2799" spans="1:7">
      <c r="A2799">
        <v>2798</v>
      </c>
      <c r="B2799" t="str">
        <f>"010889"</f>
        <v>0</v>
      </c>
      <c r="C2799" t="s">
        <v>4868</v>
      </c>
      <c r="D2799" t="s">
        <v>716</v>
      </c>
      <c r="E2799" t="str">
        <f>"3510600562603"</f>
        <v>0</v>
      </c>
      <c r="F2799" t="str">
        <f>"000710"</f>
        <v>0</v>
      </c>
      <c r="G2799" t="s">
        <v>21</v>
      </c>
    </row>
    <row r="2800" spans="1:7">
      <c r="A2800">
        <v>2799</v>
      </c>
      <c r="B2800" t="str">
        <f>"010967"</f>
        <v>0</v>
      </c>
      <c r="C2800" t="s">
        <v>130</v>
      </c>
      <c r="D2800" t="s">
        <v>4869</v>
      </c>
      <c r="E2800" t="str">
        <f>"3570200662252"</f>
        <v>0</v>
      </c>
      <c r="F2800" t="str">
        <f>"000710"</f>
        <v>0</v>
      </c>
      <c r="G2800" t="s">
        <v>21</v>
      </c>
    </row>
    <row r="2801" spans="1:7">
      <c r="A2801">
        <v>2800</v>
      </c>
      <c r="B2801" t="str">
        <f>"011500"</f>
        <v>0</v>
      </c>
      <c r="C2801" t="s">
        <v>46</v>
      </c>
      <c r="D2801" t="s">
        <v>4870</v>
      </c>
      <c r="E2801" t="str">
        <f>"3520400011107"</f>
        <v>0</v>
      </c>
      <c r="F2801" t="str">
        <f>"000710"</f>
        <v>0</v>
      </c>
      <c r="G2801" t="s">
        <v>21</v>
      </c>
    </row>
    <row r="2802" spans="1:7">
      <c r="A2802">
        <v>2801</v>
      </c>
      <c r="B2802" t="str">
        <f>"011533"</f>
        <v>0</v>
      </c>
      <c r="C2802" t="s">
        <v>4871</v>
      </c>
      <c r="D2802" t="s">
        <v>4872</v>
      </c>
      <c r="E2802" t="str">
        <f>"3570700197001"</f>
        <v>0</v>
      </c>
      <c r="F2802" t="str">
        <f>"000710"</f>
        <v>0</v>
      </c>
      <c r="G2802" t="s">
        <v>21</v>
      </c>
    </row>
    <row r="2803" spans="1:7">
      <c r="A2803">
        <v>2802</v>
      </c>
      <c r="B2803" t="str">
        <f>"011595"</f>
        <v>0</v>
      </c>
      <c r="C2803" t="s">
        <v>4873</v>
      </c>
      <c r="D2803" t="s">
        <v>4874</v>
      </c>
      <c r="E2803" t="str">
        <f>"3529900124189"</f>
        <v>0</v>
      </c>
      <c r="F2803" t="str">
        <f>"000710"</f>
        <v>0</v>
      </c>
      <c r="G2803" t="s">
        <v>21</v>
      </c>
    </row>
    <row r="2804" spans="1:7">
      <c r="A2804">
        <v>2803</v>
      </c>
      <c r="B2804" t="str">
        <f>"011699"</f>
        <v>0</v>
      </c>
      <c r="C2804" t="s">
        <v>4875</v>
      </c>
      <c r="D2804" t="s">
        <v>4837</v>
      </c>
      <c r="E2804" t="str">
        <f>"3579900279476"</f>
        <v>0</v>
      </c>
      <c r="F2804" t="str">
        <f>"000710"</f>
        <v>0</v>
      </c>
      <c r="G2804" t="s">
        <v>21</v>
      </c>
    </row>
    <row r="2805" spans="1:7">
      <c r="A2805">
        <v>2804</v>
      </c>
      <c r="B2805" t="str">
        <f>"011770"</f>
        <v>0</v>
      </c>
      <c r="C2805" t="s">
        <v>130</v>
      </c>
      <c r="D2805" t="s">
        <v>4876</v>
      </c>
      <c r="E2805" t="str">
        <f>"3570900261366"</f>
        <v>0</v>
      </c>
      <c r="F2805" t="str">
        <f>"000710"</f>
        <v>0</v>
      </c>
      <c r="G2805" t="s">
        <v>21</v>
      </c>
    </row>
    <row r="2806" spans="1:7">
      <c r="A2806">
        <v>2805</v>
      </c>
      <c r="B2806" t="str">
        <f>"011787"</f>
        <v>0</v>
      </c>
      <c r="C2806" t="s">
        <v>4877</v>
      </c>
      <c r="D2806" t="s">
        <v>4878</v>
      </c>
      <c r="E2806" t="str">
        <f>"3560300884133"</f>
        <v>0</v>
      </c>
      <c r="F2806" t="str">
        <f>"000710"</f>
        <v>0</v>
      </c>
      <c r="G2806" t="s">
        <v>21</v>
      </c>
    </row>
    <row r="2807" spans="1:7">
      <c r="A2807">
        <v>2806</v>
      </c>
      <c r="B2807" t="str">
        <f>"012410"</f>
        <v>0</v>
      </c>
      <c r="C2807" t="s">
        <v>4609</v>
      </c>
      <c r="D2807" t="s">
        <v>4879</v>
      </c>
      <c r="E2807" t="str">
        <f>"3571100532552"</f>
        <v>0</v>
      </c>
      <c r="F2807" t="str">
        <f>"000710"</f>
        <v>0</v>
      </c>
      <c r="G2807" t="s">
        <v>21</v>
      </c>
    </row>
    <row r="2808" spans="1:7">
      <c r="A2808">
        <v>2807</v>
      </c>
      <c r="B2808" t="str">
        <f>"012763"</f>
        <v>0</v>
      </c>
      <c r="C2808" t="s">
        <v>4607</v>
      </c>
      <c r="D2808" t="s">
        <v>4880</v>
      </c>
      <c r="E2808" t="str">
        <f>"3579900139313"</f>
        <v>0</v>
      </c>
      <c r="F2808" t="str">
        <f>"000710"</f>
        <v>0</v>
      </c>
      <c r="G2808" t="s">
        <v>21</v>
      </c>
    </row>
    <row r="2809" spans="1:7">
      <c r="A2809">
        <v>2808</v>
      </c>
      <c r="B2809" t="str">
        <f>"012837"</f>
        <v>0</v>
      </c>
      <c r="C2809" t="s">
        <v>4881</v>
      </c>
      <c r="D2809" t="s">
        <v>4882</v>
      </c>
      <c r="E2809" t="str">
        <f>"3570100479006"</f>
        <v>0</v>
      </c>
      <c r="F2809" t="str">
        <f>"000710"</f>
        <v>0</v>
      </c>
      <c r="G2809" t="s">
        <v>21</v>
      </c>
    </row>
    <row r="2810" spans="1:7">
      <c r="A2810">
        <v>2809</v>
      </c>
      <c r="B2810" t="str">
        <f>"013408"</f>
        <v>0</v>
      </c>
      <c r="C2810" t="s">
        <v>4883</v>
      </c>
      <c r="D2810" t="s">
        <v>4884</v>
      </c>
      <c r="E2810" t="str">
        <f>"3580400136333"</f>
        <v>0</v>
      </c>
      <c r="F2810" t="str">
        <f>"000710"</f>
        <v>0</v>
      </c>
      <c r="G2810" t="s">
        <v>21</v>
      </c>
    </row>
    <row r="2811" spans="1:7">
      <c r="A2811">
        <v>2810</v>
      </c>
      <c r="B2811" t="str">
        <f>"013498"</f>
        <v>0</v>
      </c>
      <c r="C2811" t="s">
        <v>4885</v>
      </c>
      <c r="D2811" t="s">
        <v>4886</v>
      </c>
      <c r="E2811" t="str">
        <f>"3570700173544"</f>
        <v>0</v>
      </c>
      <c r="F2811" t="str">
        <f>"000710"</f>
        <v>0</v>
      </c>
      <c r="G2811" t="s">
        <v>21</v>
      </c>
    </row>
    <row r="2812" spans="1:7">
      <c r="A2812">
        <v>2811</v>
      </c>
      <c r="B2812" t="str">
        <f>"013703"</f>
        <v>0</v>
      </c>
      <c r="C2812" t="s">
        <v>1502</v>
      </c>
      <c r="D2812" t="s">
        <v>4887</v>
      </c>
      <c r="E2812" t="str">
        <f>"3570100844553"</f>
        <v>0</v>
      </c>
      <c r="F2812" t="str">
        <f>"000710"</f>
        <v>0</v>
      </c>
      <c r="G2812" t="s">
        <v>21</v>
      </c>
    </row>
    <row r="2813" spans="1:7">
      <c r="A2813">
        <v>2812</v>
      </c>
      <c r="B2813" t="str">
        <f>"013790"</f>
        <v>0</v>
      </c>
      <c r="C2813" t="s">
        <v>4888</v>
      </c>
      <c r="D2813" t="s">
        <v>4889</v>
      </c>
      <c r="E2813" t="str">
        <f>"3650100495469"</f>
        <v>0</v>
      </c>
      <c r="F2813" t="str">
        <f>"000710"</f>
        <v>0</v>
      </c>
      <c r="G2813" t="s">
        <v>21</v>
      </c>
    </row>
    <row r="2814" spans="1:7">
      <c r="A2814">
        <v>2813</v>
      </c>
      <c r="B2814" t="str">
        <f>"013791"</f>
        <v>0</v>
      </c>
      <c r="C2814" t="s">
        <v>4890</v>
      </c>
      <c r="D2814" t="s">
        <v>1952</v>
      </c>
      <c r="E2814" t="str">
        <f>"3570100252231"</f>
        <v>0</v>
      </c>
      <c r="F2814" t="str">
        <f>"000710"</f>
        <v>0</v>
      </c>
      <c r="G2814" t="s">
        <v>21</v>
      </c>
    </row>
    <row r="2815" spans="1:7">
      <c r="A2815">
        <v>2814</v>
      </c>
      <c r="B2815" t="str">
        <f>"013915"</f>
        <v>0</v>
      </c>
      <c r="C2815" t="s">
        <v>4891</v>
      </c>
      <c r="D2815" t="s">
        <v>4892</v>
      </c>
      <c r="E2815" t="str">
        <f>"3569900020855"</f>
        <v>0</v>
      </c>
      <c r="F2815" t="str">
        <f>"000710"</f>
        <v>0</v>
      </c>
      <c r="G2815" t="s">
        <v>21</v>
      </c>
    </row>
    <row r="2816" spans="1:7">
      <c r="A2816">
        <v>2815</v>
      </c>
      <c r="B2816" t="str">
        <f>"014131"</f>
        <v>0</v>
      </c>
      <c r="C2816" t="s">
        <v>4893</v>
      </c>
      <c r="D2816" t="s">
        <v>4894</v>
      </c>
      <c r="E2816" t="str">
        <f>"3570100844511"</f>
        <v>0</v>
      </c>
      <c r="F2816" t="str">
        <f>"000710"</f>
        <v>0</v>
      </c>
      <c r="G2816" t="s">
        <v>21</v>
      </c>
    </row>
    <row r="2817" spans="1:7">
      <c r="A2817">
        <v>2816</v>
      </c>
      <c r="B2817" t="str">
        <f>"014209"</f>
        <v>0</v>
      </c>
      <c r="C2817" t="s">
        <v>514</v>
      </c>
      <c r="D2817" t="s">
        <v>4805</v>
      </c>
      <c r="E2817" t="str">
        <f>"3679800069045"</f>
        <v>0</v>
      </c>
      <c r="F2817" t="str">
        <f>"000710"</f>
        <v>0</v>
      </c>
      <c r="G2817" t="s">
        <v>21</v>
      </c>
    </row>
    <row r="2818" spans="1:7">
      <c r="A2818">
        <v>2817</v>
      </c>
      <c r="B2818" t="str">
        <f>"014687"</f>
        <v>0</v>
      </c>
      <c r="C2818" t="s">
        <v>4895</v>
      </c>
      <c r="D2818" t="s">
        <v>4896</v>
      </c>
      <c r="E2818" t="str">
        <f>"3589900058780"</f>
        <v>0</v>
      </c>
      <c r="F2818" t="str">
        <f>"000710"</f>
        <v>0</v>
      </c>
      <c r="G2818" t="s">
        <v>21</v>
      </c>
    </row>
    <row r="2819" spans="1:7">
      <c r="A2819">
        <v>2818</v>
      </c>
      <c r="B2819" t="str">
        <f>"015052"</f>
        <v>0</v>
      </c>
      <c r="C2819" t="s">
        <v>4897</v>
      </c>
      <c r="D2819" t="s">
        <v>4898</v>
      </c>
      <c r="E2819" t="str">
        <f>"3900900042717"</f>
        <v>0</v>
      </c>
      <c r="F2819" t="str">
        <f>"000710"</f>
        <v>0</v>
      </c>
      <c r="G2819" t="s">
        <v>21</v>
      </c>
    </row>
    <row r="2820" spans="1:7">
      <c r="A2820">
        <v>2819</v>
      </c>
      <c r="B2820" t="str">
        <f>"015230"</f>
        <v>0</v>
      </c>
      <c r="C2820" t="s">
        <v>4899</v>
      </c>
      <c r="D2820" t="s">
        <v>4900</v>
      </c>
      <c r="E2820" t="str">
        <f>"3160200494876"</f>
        <v>0</v>
      </c>
      <c r="F2820" t="str">
        <f>"000710"</f>
        <v>0</v>
      </c>
      <c r="G2820" t="s">
        <v>21</v>
      </c>
    </row>
    <row r="2821" spans="1:7">
      <c r="A2821">
        <v>2820</v>
      </c>
      <c r="B2821" t="str">
        <f>"015879"</f>
        <v>0</v>
      </c>
      <c r="C2821" t="s">
        <v>4901</v>
      </c>
      <c r="D2821" t="s">
        <v>4902</v>
      </c>
      <c r="E2821" t="str">
        <f>"3579900086538"</f>
        <v>0</v>
      </c>
      <c r="F2821" t="str">
        <f>"000710"</f>
        <v>0</v>
      </c>
      <c r="G2821" t="s">
        <v>21</v>
      </c>
    </row>
    <row r="2822" spans="1:7">
      <c r="A2822">
        <v>2821</v>
      </c>
      <c r="B2822" t="str">
        <f>"016380"</f>
        <v>0</v>
      </c>
      <c r="C2822" t="s">
        <v>4903</v>
      </c>
      <c r="D2822" t="s">
        <v>4904</v>
      </c>
      <c r="E2822" t="str">
        <f>"3570900196211"</f>
        <v>0</v>
      </c>
      <c r="F2822" t="str">
        <f>"000710"</f>
        <v>0</v>
      </c>
      <c r="G2822" t="s">
        <v>21</v>
      </c>
    </row>
    <row r="2823" spans="1:7">
      <c r="A2823">
        <v>2822</v>
      </c>
      <c r="B2823" t="str">
        <f>"017200"</f>
        <v>0</v>
      </c>
      <c r="C2823" t="s">
        <v>4435</v>
      </c>
      <c r="D2823" t="s">
        <v>4905</v>
      </c>
      <c r="E2823" t="str">
        <f>"3571100292608"</f>
        <v>0</v>
      </c>
      <c r="F2823" t="str">
        <f>"000710"</f>
        <v>0</v>
      </c>
      <c r="G2823" t="s">
        <v>21</v>
      </c>
    </row>
    <row r="2824" spans="1:7">
      <c r="A2824">
        <v>2823</v>
      </c>
      <c r="B2824" t="str">
        <f>"017281"</f>
        <v>0</v>
      </c>
      <c r="C2824" t="s">
        <v>4906</v>
      </c>
      <c r="D2824" t="s">
        <v>4907</v>
      </c>
      <c r="E2824" t="str">
        <f>"3579900305655"</f>
        <v>0</v>
      </c>
      <c r="F2824" t="str">
        <f>"000710"</f>
        <v>0</v>
      </c>
      <c r="G2824" t="s">
        <v>21</v>
      </c>
    </row>
    <row r="2825" spans="1:7">
      <c r="A2825">
        <v>2824</v>
      </c>
      <c r="B2825" t="str">
        <f>"017658"</f>
        <v>0</v>
      </c>
      <c r="C2825" t="s">
        <v>2262</v>
      </c>
      <c r="D2825" t="s">
        <v>2473</v>
      </c>
      <c r="E2825" t="str">
        <f>"3500900498781"</f>
        <v>0</v>
      </c>
      <c r="F2825" t="str">
        <f>"000710"</f>
        <v>0</v>
      </c>
      <c r="G2825" t="s">
        <v>21</v>
      </c>
    </row>
    <row r="2826" spans="1:7">
      <c r="A2826">
        <v>2825</v>
      </c>
      <c r="B2826" t="str">
        <f>"017755"</f>
        <v>0</v>
      </c>
      <c r="C2826" t="s">
        <v>322</v>
      </c>
      <c r="D2826" t="s">
        <v>4908</v>
      </c>
      <c r="E2826" t="str">
        <f>"3570800246381"</f>
        <v>0</v>
      </c>
      <c r="F2826" t="str">
        <f>"000710"</f>
        <v>0</v>
      </c>
      <c r="G2826" t="s">
        <v>21</v>
      </c>
    </row>
    <row r="2827" spans="1:7">
      <c r="A2827">
        <v>2826</v>
      </c>
      <c r="B2827" t="str">
        <f>"018306"</f>
        <v>0</v>
      </c>
      <c r="C2827" t="s">
        <v>4909</v>
      </c>
      <c r="D2827" t="s">
        <v>4910</v>
      </c>
      <c r="E2827" t="str">
        <f>"3489900017235"</f>
        <v>0</v>
      </c>
      <c r="F2827" t="str">
        <f>"000710"</f>
        <v>0</v>
      </c>
      <c r="G2827" t="s">
        <v>21</v>
      </c>
    </row>
    <row r="2828" spans="1:7">
      <c r="A2828">
        <v>2827</v>
      </c>
      <c r="B2828" t="str">
        <f>"019476"</f>
        <v>0</v>
      </c>
      <c r="C2828" t="s">
        <v>4911</v>
      </c>
      <c r="D2828" t="s">
        <v>4912</v>
      </c>
      <c r="E2828" t="str">
        <f>"3600300301676"</f>
        <v>0</v>
      </c>
      <c r="F2828" t="str">
        <f>"000710"</f>
        <v>0</v>
      </c>
      <c r="G2828" t="s">
        <v>21</v>
      </c>
    </row>
    <row r="2829" spans="1:7">
      <c r="A2829">
        <v>2828</v>
      </c>
      <c r="B2829" t="str">
        <f>"020058"</f>
        <v>0</v>
      </c>
      <c r="C2829" t="s">
        <v>4913</v>
      </c>
      <c r="D2829" t="s">
        <v>4914</v>
      </c>
      <c r="E2829" t="str">
        <f>"3650700115616"</f>
        <v>0</v>
      </c>
      <c r="F2829" t="str">
        <f>"000710"</f>
        <v>0</v>
      </c>
      <c r="G2829" t="s">
        <v>21</v>
      </c>
    </row>
    <row r="2830" spans="1:7">
      <c r="A2830">
        <v>2829</v>
      </c>
      <c r="B2830" t="str">
        <f>"025372"</f>
        <v>0</v>
      </c>
      <c r="C2830" t="s">
        <v>4915</v>
      </c>
      <c r="D2830" t="s">
        <v>4916</v>
      </c>
      <c r="E2830" t="str">
        <f>"3579900385535"</f>
        <v>0</v>
      </c>
      <c r="F2830" t="str">
        <f>"000710"</f>
        <v>0</v>
      </c>
      <c r="G2830" t="s">
        <v>21</v>
      </c>
    </row>
    <row r="2831" spans="1:7">
      <c r="A2831">
        <v>2830</v>
      </c>
      <c r="B2831" t="str">
        <f>"026276"</f>
        <v>0</v>
      </c>
      <c r="C2831" t="s">
        <v>4917</v>
      </c>
      <c r="D2831" t="s">
        <v>4918</v>
      </c>
      <c r="E2831" t="str">
        <f>"3489900017243"</f>
        <v>0</v>
      </c>
      <c r="F2831" t="str">
        <f>"000710"</f>
        <v>0</v>
      </c>
      <c r="G2831" t="s">
        <v>21</v>
      </c>
    </row>
    <row r="2832" spans="1:7">
      <c r="A2832">
        <v>2831</v>
      </c>
      <c r="B2832" t="str">
        <f>"007859"</f>
        <v>0</v>
      </c>
      <c r="C2832" t="s">
        <v>520</v>
      </c>
      <c r="D2832" t="s">
        <v>4919</v>
      </c>
      <c r="E2832" t="str">
        <f>"3570100521771"</f>
        <v>0</v>
      </c>
      <c r="F2832" t="str">
        <f>"000710"</f>
        <v>0</v>
      </c>
      <c r="G2832" t="s">
        <v>21</v>
      </c>
    </row>
    <row r="2833" spans="1:7">
      <c r="A2833">
        <v>2832</v>
      </c>
      <c r="B2833" t="str">
        <f>"012481"</f>
        <v>0</v>
      </c>
      <c r="C2833" t="s">
        <v>4920</v>
      </c>
      <c r="D2833" t="s">
        <v>4769</v>
      </c>
      <c r="E2833" t="str">
        <f>"3579900202864"</f>
        <v>0</v>
      </c>
      <c r="F2833" t="str">
        <f>"000710"</f>
        <v>0</v>
      </c>
      <c r="G2833" t="s">
        <v>21</v>
      </c>
    </row>
    <row r="2834" spans="1:7">
      <c r="A2834">
        <v>2833</v>
      </c>
      <c r="B2834" t="str">
        <f>"012832"</f>
        <v>0</v>
      </c>
      <c r="C2834" t="s">
        <v>4921</v>
      </c>
      <c r="D2834" t="s">
        <v>4922</v>
      </c>
      <c r="E2834" t="str">
        <f>"3570101463707"</f>
        <v>0</v>
      </c>
      <c r="F2834" t="str">
        <f>"000710"</f>
        <v>0</v>
      </c>
      <c r="G2834" t="s">
        <v>21</v>
      </c>
    </row>
    <row r="2835" spans="1:7">
      <c r="A2835">
        <v>2834</v>
      </c>
      <c r="B2835" t="str">
        <f>"015456"</f>
        <v>0</v>
      </c>
      <c r="C2835" t="s">
        <v>4923</v>
      </c>
      <c r="D2835" t="s">
        <v>4922</v>
      </c>
      <c r="E2835" t="str">
        <f>"3570100453511"</f>
        <v>0</v>
      </c>
      <c r="F2835" t="str">
        <f>"000710"</f>
        <v>0</v>
      </c>
      <c r="G2835" t="s">
        <v>21</v>
      </c>
    </row>
    <row r="2836" spans="1:7">
      <c r="A2836">
        <v>2835</v>
      </c>
      <c r="B2836" t="str">
        <f>"024342"</f>
        <v>0</v>
      </c>
      <c r="C2836" t="s">
        <v>4924</v>
      </c>
      <c r="D2836" t="s">
        <v>4925</v>
      </c>
      <c r="E2836" t="str">
        <f>"3230100073444"</f>
        <v>0</v>
      </c>
      <c r="F2836" t="str">
        <f>"000710"</f>
        <v>0</v>
      </c>
      <c r="G2836" t="s">
        <v>21</v>
      </c>
    </row>
    <row r="2837" spans="1:7">
      <c r="A2837">
        <v>2836</v>
      </c>
      <c r="B2837" t="str">
        <f>"020169"</f>
        <v>0</v>
      </c>
      <c r="C2837" t="s">
        <v>4926</v>
      </c>
      <c r="D2837" t="s">
        <v>4927</v>
      </c>
      <c r="E2837" t="str">
        <f>"3570100898955"</f>
        <v>0</v>
      </c>
      <c r="F2837" t="str">
        <f>"000710"</f>
        <v>0</v>
      </c>
      <c r="G2837" t="s">
        <v>21</v>
      </c>
    </row>
    <row r="2838" spans="1:7">
      <c r="A2838">
        <v>2837</v>
      </c>
      <c r="B2838" t="str">
        <f>"018751"</f>
        <v>0</v>
      </c>
      <c r="C2838" t="s">
        <v>4928</v>
      </c>
      <c r="D2838" t="s">
        <v>4929</v>
      </c>
      <c r="E2838" t="str">
        <f>"3570400051940"</f>
        <v>0</v>
      </c>
      <c r="F2838" t="str">
        <f>"000710"</f>
        <v>0</v>
      </c>
      <c r="G2838" t="s">
        <v>21</v>
      </c>
    </row>
    <row r="2839" spans="1:7">
      <c r="A2839">
        <v>2838</v>
      </c>
      <c r="B2839" t="str">
        <f>"023146"</f>
        <v>0</v>
      </c>
      <c r="C2839" t="s">
        <v>4930</v>
      </c>
      <c r="D2839" t="s">
        <v>4931</v>
      </c>
      <c r="E2839" t="str">
        <f>"1500900009831"</f>
        <v>0</v>
      </c>
      <c r="F2839" t="str">
        <f>"000710"</f>
        <v>0</v>
      </c>
      <c r="G2839" t="s">
        <v>21</v>
      </c>
    </row>
    <row r="2840" spans="1:7">
      <c r="A2840">
        <v>2839</v>
      </c>
      <c r="B2840" t="str">
        <f>"023307"</f>
        <v>0</v>
      </c>
      <c r="C2840" t="s">
        <v>4932</v>
      </c>
      <c r="D2840" t="s">
        <v>4933</v>
      </c>
      <c r="E2840" t="str">
        <f>"3501300484934"</f>
        <v>0</v>
      </c>
      <c r="F2840" t="str">
        <f>"000710"</f>
        <v>0</v>
      </c>
      <c r="G2840" t="s">
        <v>21</v>
      </c>
    </row>
    <row r="2841" spans="1:7">
      <c r="A2841">
        <v>2840</v>
      </c>
      <c r="B2841" t="str">
        <f>"023732"</f>
        <v>0</v>
      </c>
      <c r="C2841" t="s">
        <v>4934</v>
      </c>
      <c r="D2841" t="s">
        <v>4277</v>
      </c>
      <c r="E2841" t="str">
        <f>"1509900239397"</f>
        <v>0</v>
      </c>
      <c r="F2841" t="str">
        <f>"000710"</f>
        <v>0</v>
      </c>
      <c r="G2841" t="s">
        <v>21</v>
      </c>
    </row>
    <row r="2842" spans="1:7">
      <c r="A2842">
        <v>2841</v>
      </c>
      <c r="B2842" t="str">
        <f>"023837"</f>
        <v>0</v>
      </c>
      <c r="C2842" t="s">
        <v>4935</v>
      </c>
      <c r="D2842" t="s">
        <v>4936</v>
      </c>
      <c r="E2842" t="str">
        <f>"1509900588596"</f>
        <v>0</v>
      </c>
      <c r="F2842" t="str">
        <f>"000710"</f>
        <v>0</v>
      </c>
      <c r="G2842" t="s">
        <v>21</v>
      </c>
    </row>
    <row r="2843" spans="1:7">
      <c r="A2843">
        <v>2842</v>
      </c>
      <c r="B2843" t="str">
        <f>"024553"</f>
        <v>0</v>
      </c>
      <c r="C2843" t="s">
        <v>4937</v>
      </c>
      <c r="D2843" t="s">
        <v>4938</v>
      </c>
      <c r="E2843" t="str">
        <f>"3500900416165"</f>
        <v>0</v>
      </c>
      <c r="F2843" t="str">
        <f>"000710"</f>
        <v>0</v>
      </c>
      <c r="G2843" t="s">
        <v>21</v>
      </c>
    </row>
    <row r="2844" spans="1:7">
      <c r="A2844">
        <v>2843</v>
      </c>
      <c r="B2844" t="str">
        <f>"024604"</f>
        <v>0</v>
      </c>
      <c r="C2844" t="s">
        <v>4939</v>
      </c>
      <c r="D2844" t="s">
        <v>4940</v>
      </c>
      <c r="E2844" t="str">
        <f>"3501500229466"</f>
        <v>0</v>
      </c>
      <c r="F2844" t="str">
        <f>"000710"</f>
        <v>0</v>
      </c>
      <c r="G2844" t="s">
        <v>21</v>
      </c>
    </row>
    <row r="2845" spans="1:7">
      <c r="A2845">
        <v>2844</v>
      </c>
      <c r="B2845" t="str">
        <f>"024605"</f>
        <v>0</v>
      </c>
      <c r="C2845" t="s">
        <v>4941</v>
      </c>
      <c r="D2845" t="s">
        <v>4942</v>
      </c>
      <c r="E2845" t="str">
        <f>"1509900525101"</f>
        <v>0</v>
      </c>
      <c r="F2845" t="str">
        <f>"000710"</f>
        <v>0</v>
      </c>
      <c r="G2845" t="s">
        <v>21</v>
      </c>
    </row>
    <row r="2846" spans="1:7">
      <c r="A2846">
        <v>2845</v>
      </c>
      <c r="B2846" t="str">
        <f>"025256"</f>
        <v>0</v>
      </c>
      <c r="C2846" t="s">
        <v>4943</v>
      </c>
      <c r="D2846" t="s">
        <v>4944</v>
      </c>
      <c r="E2846" t="str">
        <f>"3500500377219"</f>
        <v>0</v>
      </c>
      <c r="F2846" t="str">
        <f>"000710"</f>
        <v>0</v>
      </c>
      <c r="G2846" t="s">
        <v>21</v>
      </c>
    </row>
    <row r="2847" spans="1:7">
      <c r="A2847">
        <v>2846</v>
      </c>
      <c r="B2847" t="str">
        <f>"026479"</f>
        <v>0</v>
      </c>
      <c r="C2847" t="s">
        <v>1392</v>
      </c>
      <c r="D2847" t="s">
        <v>4945</v>
      </c>
      <c r="E2847" t="str">
        <f>"3501400175003"</f>
        <v>0</v>
      </c>
      <c r="F2847" t="str">
        <f>"000710"</f>
        <v>0</v>
      </c>
      <c r="G2847" t="s">
        <v>21</v>
      </c>
    </row>
    <row r="2848" spans="1:7">
      <c r="A2848">
        <v>2847</v>
      </c>
      <c r="B2848" t="str">
        <f>"025253"</f>
        <v>0</v>
      </c>
      <c r="C2848" t="s">
        <v>4946</v>
      </c>
      <c r="D2848" t="s">
        <v>4947</v>
      </c>
      <c r="E2848" t="str">
        <f>"3560300174829"</f>
        <v>0</v>
      </c>
      <c r="F2848" t="str">
        <f>"000710"</f>
        <v>0</v>
      </c>
      <c r="G2848" t="s">
        <v>21</v>
      </c>
    </row>
    <row r="2849" spans="1:7">
      <c r="A2849">
        <v>2848</v>
      </c>
      <c r="B2849" t="str">
        <f>"010237"</f>
        <v>0</v>
      </c>
      <c r="C2849" t="s">
        <v>4948</v>
      </c>
      <c r="D2849" t="s">
        <v>4860</v>
      </c>
      <c r="E2849" t="str">
        <f>"3330401098658"</f>
        <v>0</v>
      </c>
      <c r="F2849" t="str">
        <f>"000710"</f>
        <v>0</v>
      </c>
      <c r="G2849" t="s">
        <v>21</v>
      </c>
    </row>
    <row r="2850" spans="1:7">
      <c r="A2850">
        <v>2849</v>
      </c>
      <c r="B2850" t="str">
        <f>"023615"</f>
        <v>0</v>
      </c>
      <c r="C2850" t="s">
        <v>4949</v>
      </c>
      <c r="D2850" t="s">
        <v>4950</v>
      </c>
      <c r="E2850" t="str">
        <f>"3540200221221"</f>
        <v>0</v>
      </c>
      <c r="F2850" t="str">
        <f>"000710"</f>
        <v>0</v>
      </c>
      <c r="G2850" t="s">
        <v>21</v>
      </c>
    </row>
    <row r="2851" spans="1:7">
      <c r="A2851">
        <v>2850</v>
      </c>
      <c r="B2851" t="str">
        <f>"021558"</f>
        <v>0</v>
      </c>
      <c r="C2851" t="s">
        <v>4951</v>
      </c>
      <c r="D2851" t="s">
        <v>4952</v>
      </c>
      <c r="E2851" t="str">
        <f>"3560600197166"</f>
        <v>0</v>
      </c>
      <c r="F2851" t="str">
        <f>"000710"</f>
        <v>0</v>
      </c>
      <c r="G2851" t="s">
        <v>21</v>
      </c>
    </row>
    <row r="2852" spans="1:7">
      <c r="A2852">
        <v>2851</v>
      </c>
      <c r="B2852" t="str">
        <f>"023427"</f>
        <v>0</v>
      </c>
      <c r="C2852" t="s">
        <v>4953</v>
      </c>
      <c r="D2852" t="s">
        <v>4954</v>
      </c>
      <c r="E2852" t="str">
        <f>"3570200620304"</f>
        <v>0</v>
      </c>
      <c r="F2852" t="str">
        <f>"000710"</f>
        <v>0</v>
      </c>
      <c r="G2852" t="s">
        <v>21</v>
      </c>
    </row>
    <row r="2853" spans="1:7">
      <c r="A2853">
        <v>2852</v>
      </c>
      <c r="B2853" t="str">
        <f>"023505"</f>
        <v>0</v>
      </c>
      <c r="C2853" t="s">
        <v>4955</v>
      </c>
      <c r="D2853" t="s">
        <v>4956</v>
      </c>
      <c r="E2853" t="str">
        <f>"3560300815492"</f>
        <v>0</v>
      </c>
      <c r="F2853" t="str">
        <f>"000710"</f>
        <v>0</v>
      </c>
      <c r="G2853" t="s">
        <v>21</v>
      </c>
    </row>
    <row r="2854" spans="1:7">
      <c r="A2854">
        <v>2853</v>
      </c>
      <c r="B2854" t="str">
        <f>"023675"</f>
        <v>0</v>
      </c>
      <c r="C2854" t="s">
        <v>4957</v>
      </c>
      <c r="D2854" t="s">
        <v>4958</v>
      </c>
      <c r="E2854" t="str">
        <f>"3560600448541"</f>
        <v>0</v>
      </c>
      <c r="F2854" t="str">
        <f>"000710"</f>
        <v>0</v>
      </c>
      <c r="G2854" t="s">
        <v>21</v>
      </c>
    </row>
    <row r="2855" spans="1:7">
      <c r="A2855">
        <v>2854</v>
      </c>
      <c r="B2855" t="str">
        <f>"025249"</f>
        <v>0</v>
      </c>
      <c r="C2855" t="s">
        <v>4959</v>
      </c>
      <c r="D2855" t="s">
        <v>4960</v>
      </c>
      <c r="E2855" t="str">
        <f>"1560300111189"</f>
        <v>0</v>
      </c>
      <c r="F2855" t="str">
        <f>"000710"</f>
        <v>0</v>
      </c>
      <c r="G2855" t="s">
        <v>21</v>
      </c>
    </row>
    <row r="2856" spans="1:7">
      <c r="A2856">
        <v>2855</v>
      </c>
      <c r="B2856" t="str">
        <f>"008874"</f>
        <v>0</v>
      </c>
      <c r="C2856" t="s">
        <v>4961</v>
      </c>
      <c r="D2856" t="s">
        <v>4962</v>
      </c>
      <c r="E2856" t="str">
        <f>"3500400308134"</f>
        <v>0</v>
      </c>
      <c r="F2856" t="str">
        <f>"000710"</f>
        <v>0</v>
      </c>
      <c r="G2856" t="s">
        <v>21</v>
      </c>
    </row>
    <row r="2857" spans="1:7">
      <c r="A2857">
        <v>2856</v>
      </c>
      <c r="B2857" t="str">
        <f>"009295"</f>
        <v>0</v>
      </c>
      <c r="C2857" t="s">
        <v>4963</v>
      </c>
      <c r="D2857" t="s">
        <v>4964</v>
      </c>
      <c r="E2857" t="str">
        <f>"3580400297990"</f>
        <v>0</v>
      </c>
      <c r="F2857" t="str">
        <f>"000710"</f>
        <v>0</v>
      </c>
      <c r="G2857" t="s">
        <v>21</v>
      </c>
    </row>
    <row r="2858" spans="1:7">
      <c r="A2858">
        <v>2857</v>
      </c>
      <c r="B2858" t="str">
        <f>"009637"</f>
        <v>0</v>
      </c>
      <c r="C2858" t="s">
        <v>4965</v>
      </c>
      <c r="D2858" t="s">
        <v>4966</v>
      </c>
      <c r="E2858" t="str">
        <f>"3669900216881"</f>
        <v>0</v>
      </c>
      <c r="F2858" t="str">
        <f>"000710"</f>
        <v>0</v>
      </c>
      <c r="G2858" t="s">
        <v>21</v>
      </c>
    </row>
    <row r="2859" spans="1:7">
      <c r="A2859">
        <v>2858</v>
      </c>
      <c r="B2859" t="str">
        <f>"010657"</f>
        <v>0</v>
      </c>
      <c r="C2859" t="s">
        <v>4967</v>
      </c>
      <c r="D2859" t="s">
        <v>4968</v>
      </c>
      <c r="E2859" t="str">
        <f>"3570300617836"</f>
        <v>0</v>
      </c>
      <c r="F2859" t="str">
        <f>"000710"</f>
        <v>0</v>
      </c>
      <c r="G2859" t="s">
        <v>21</v>
      </c>
    </row>
    <row r="2860" spans="1:7">
      <c r="A2860">
        <v>2859</v>
      </c>
      <c r="B2860" t="str">
        <f>"010667"</f>
        <v>0</v>
      </c>
      <c r="C2860" t="s">
        <v>4969</v>
      </c>
      <c r="D2860" t="s">
        <v>4970</v>
      </c>
      <c r="E2860" t="str">
        <f>"4321000002551"</f>
        <v>0</v>
      </c>
      <c r="F2860" t="str">
        <f>"000710"</f>
        <v>0</v>
      </c>
      <c r="G2860" t="s">
        <v>21</v>
      </c>
    </row>
    <row r="2861" spans="1:7">
      <c r="A2861">
        <v>2860</v>
      </c>
      <c r="B2861" t="str">
        <f>"012229"</f>
        <v>0</v>
      </c>
      <c r="C2861" t="s">
        <v>4971</v>
      </c>
      <c r="D2861" t="s">
        <v>4850</v>
      </c>
      <c r="E2861" t="str">
        <f>"3579900021061"</f>
        <v>0</v>
      </c>
      <c r="F2861" t="str">
        <f>"000710"</f>
        <v>0</v>
      </c>
      <c r="G2861" t="s">
        <v>21</v>
      </c>
    </row>
    <row r="2862" spans="1:7">
      <c r="A2862">
        <v>2861</v>
      </c>
      <c r="B2862" t="str">
        <f>"012570"</f>
        <v>0</v>
      </c>
      <c r="C2862" t="s">
        <v>4972</v>
      </c>
      <c r="D2862" t="s">
        <v>4973</v>
      </c>
      <c r="E2862" t="str">
        <f>"3570700740601"</f>
        <v>0</v>
      </c>
      <c r="F2862" t="str">
        <f>"000710"</f>
        <v>0</v>
      </c>
      <c r="G2862" t="s">
        <v>21</v>
      </c>
    </row>
    <row r="2863" spans="1:7">
      <c r="A2863">
        <v>2862</v>
      </c>
      <c r="B2863" t="str">
        <f>"013911"</f>
        <v>0</v>
      </c>
      <c r="C2863" t="s">
        <v>4974</v>
      </c>
      <c r="D2863" t="s">
        <v>4809</v>
      </c>
      <c r="E2863" t="str">
        <f>"3570300678151"</f>
        <v>0</v>
      </c>
      <c r="F2863" t="str">
        <f>"000710"</f>
        <v>0</v>
      </c>
      <c r="G2863" t="s">
        <v>21</v>
      </c>
    </row>
    <row r="2864" spans="1:7">
      <c r="A2864">
        <v>2863</v>
      </c>
      <c r="B2864" t="str">
        <f>"014107"</f>
        <v>0</v>
      </c>
      <c r="C2864" t="s">
        <v>4975</v>
      </c>
      <c r="D2864" t="s">
        <v>4976</v>
      </c>
      <c r="E2864" t="str">
        <f>"3559900139801"</f>
        <v>0</v>
      </c>
      <c r="F2864" t="str">
        <f>"000710"</f>
        <v>0</v>
      </c>
      <c r="G2864" t="s">
        <v>21</v>
      </c>
    </row>
    <row r="2865" spans="1:7">
      <c r="A2865">
        <v>2864</v>
      </c>
      <c r="B2865" t="str">
        <f>"015097"</f>
        <v>0</v>
      </c>
      <c r="C2865" t="s">
        <v>4977</v>
      </c>
      <c r="D2865" t="s">
        <v>4978</v>
      </c>
      <c r="E2865" t="str">
        <f>"3570101548591"</f>
        <v>0</v>
      </c>
      <c r="F2865" t="str">
        <f>"000710"</f>
        <v>0</v>
      </c>
      <c r="G2865" t="s">
        <v>21</v>
      </c>
    </row>
    <row r="2866" spans="1:7">
      <c r="A2866">
        <v>2865</v>
      </c>
      <c r="B2866" t="str">
        <f>"016378"</f>
        <v>0</v>
      </c>
      <c r="C2866" t="s">
        <v>311</v>
      </c>
      <c r="D2866" t="s">
        <v>4979</v>
      </c>
      <c r="E2866" t="str">
        <f>"5570500006411"</f>
        <v>0</v>
      </c>
      <c r="F2866" t="str">
        <f>"000710"</f>
        <v>0</v>
      </c>
      <c r="G2866" t="s">
        <v>21</v>
      </c>
    </row>
    <row r="2867" spans="1:7">
      <c r="A2867">
        <v>2866</v>
      </c>
      <c r="B2867" t="str">
        <f>"016698"</f>
        <v>0</v>
      </c>
      <c r="C2867" t="s">
        <v>4980</v>
      </c>
      <c r="D2867" t="s">
        <v>4981</v>
      </c>
      <c r="E2867" t="str">
        <f>"3570101055048"</f>
        <v>0</v>
      </c>
      <c r="F2867" t="str">
        <f>"000710"</f>
        <v>0</v>
      </c>
      <c r="G2867" t="s">
        <v>21</v>
      </c>
    </row>
    <row r="2868" spans="1:7">
      <c r="A2868">
        <v>2867</v>
      </c>
      <c r="B2868" t="str">
        <f>"017087"</f>
        <v>0</v>
      </c>
      <c r="C2868" t="s">
        <v>1697</v>
      </c>
      <c r="D2868" t="s">
        <v>4982</v>
      </c>
      <c r="E2868" t="str">
        <f>"3560500163995"</f>
        <v>0</v>
      </c>
      <c r="F2868" t="str">
        <f>"000710"</f>
        <v>0</v>
      </c>
      <c r="G2868" t="s">
        <v>21</v>
      </c>
    </row>
    <row r="2869" spans="1:7">
      <c r="A2869">
        <v>2868</v>
      </c>
      <c r="B2869" t="str">
        <f>"019043"</f>
        <v>0</v>
      </c>
      <c r="C2869" t="s">
        <v>2241</v>
      </c>
      <c r="D2869" t="s">
        <v>4919</v>
      </c>
      <c r="E2869" t="str">
        <f>"3570100521797"</f>
        <v>0</v>
      </c>
      <c r="F2869" t="str">
        <f>"000710"</f>
        <v>0</v>
      </c>
      <c r="G2869" t="s">
        <v>21</v>
      </c>
    </row>
    <row r="2870" spans="1:7">
      <c r="A2870">
        <v>2869</v>
      </c>
      <c r="B2870" t="str">
        <f>"019601"</f>
        <v>0</v>
      </c>
      <c r="C2870" t="s">
        <v>86</v>
      </c>
      <c r="D2870" t="s">
        <v>4983</v>
      </c>
      <c r="E2870" t="str">
        <f>"3570700252398"</f>
        <v>0</v>
      </c>
      <c r="F2870" t="str">
        <f>"000710"</f>
        <v>0</v>
      </c>
      <c r="G2870" t="s">
        <v>21</v>
      </c>
    </row>
    <row r="2871" spans="1:7">
      <c r="A2871">
        <v>2870</v>
      </c>
      <c r="B2871" t="str">
        <f>"019873"</f>
        <v>0</v>
      </c>
      <c r="C2871" t="s">
        <v>460</v>
      </c>
      <c r="D2871" t="s">
        <v>1270</v>
      </c>
      <c r="E2871" t="str">
        <f>"3570200655973"</f>
        <v>0</v>
      </c>
      <c r="F2871" t="str">
        <f>"000710"</f>
        <v>0</v>
      </c>
      <c r="G2871" t="s">
        <v>21</v>
      </c>
    </row>
    <row r="2872" spans="1:7">
      <c r="A2872">
        <v>2871</v>
      </c>
      <c r="B2872" t="str">
        <f>"020924"</f>
        <v>0</v>
      </c>
      <c r="C2872" t="s">
        <v>4984</v>
      </c>
      <c r="D2872" t="s">
        <v>4985</v>
      </c>
      <c r="E2872" t="str">
        <f>"3570100301223"</f>
        <v>0</v>
      </c>
      <c r="F2872" t="str">
        <f>"000710"</f>
        <v>0</v>
      </c>
      <c r="G2872" t="s">
        <v>21</v>
      </c>
    </row>
    <row r="2873" spans="1:7">
      <c r="A2873">
        <v>2872</v>
      </c>
      <c r="B2873" t="str">
        <f>"021014"</f>
        <v>0</v>
      </c>
      <c r="C2873" t="s">
        <v>4986</v>
      </c>
      <c r="D2873" t="s">
        <v>4987</v>
      </c>
      <c r="E2873" t="str">
        <f>"3570501217690"</f>
        <v>0</v>
      </c>
      <c r="F2873" t="str">
        <f>"000710"</f>
        <v>0</v>
      </c>
      <c r="G2873" t="s">
        <v>21</v>
      </c>
    </row>
    <row r="2874" spans="1:7">
      <c r="A2874">
        <v>2873</v>
      </c>
      <c r="B2874" t="str">
        <f>"022023"</f>
        <v>0</v>
      </c>
      <c r="C2874" t="s">
        <v>4988</v>
      </c>
      <c r="D2874" t="s">
        <v>4989</v>
      </c>
      <c r="E2874" t="str">
        <f>"1509900268770"</f>
        <v>0</v>
      </c>
      <c r="F2874" t="str">
        <f>"000710"</f>
        <v>0</v>
      </c>
      <c r="G2874" t="s">
        <v>21</v>
      </c>
    </row>
    <row r="2875" spans="1:7">
      <c r="A2875">
        <v>2874</v>
      </c>
      <c r="B2875" t="str">
        <f>"022323"</f>
        <v>0</v>
      </c>
      <c r="C2875" t="s">
        <v>4990</v>
      </c>
      <c r="D2875" t="s">
        <v>4991</v>
      </c>
      <c r="E2875" t="str">
        <f>"3570500380694"</f>
        <v>0</v>
      </c>
      <c r="F2875" t="str">
        <f>"000710"</f>
        <v>0</v>
      </c>
      <c r="G2875" t="s">
        <v>21</v>
      </c>
    </row>
    <row r="2876" spans="1:7">
      <c r="A2876">
        <v>2875</v>
      </c>
      <c r="B2876" t="str">
        <f>"022426"</f>
        <v>0</v>
      </c>
      <c r="C2876" t="s">
        <v>4992</v>
      </c>
      <c r="D2876" t="s">
        <v>4993</v>
      </c>
      <c r="E2876" t="str">
        <f>"3570200649442"</f>
        <v>0</v>
      </c>
      <c r="F2876" t="str">
        <f>"000710"</f>
        <v>0</v>
      </c>
      <c r="G2876" t="s">
        <v>21</v>
      </c>
    </row>
    <row r="2877" spans="1:7">
      <c r="A2877">
        <v>2876</v>
      </c>
      <c r="B2877" t="str">
        <f>"022627"</f>
        <v>0</v>
      </c>
      <c r="C2877" t="s">
        <v>4994</v>
      </c>
      <c r="D2877" t="s">
        <v>4995</v>
      </c>
      <c r="E2877" t="str">
        <f>"1579900017441"</f>
        <v>0</v>
      </c>
      <c r="F2877" t="str">
        <f>"000710"</f>
        <v>0</v>
      </c>
      <c r="G2877" t="s">
        <v>21</v>
      </c>
    </row>
    <row r="2878" spans="1:7">
      <c r="A2878">
        <v>2877</v>
      </c>
      <c r="B2878" t="str">
        <f>"022688"</f>
        <v>0</v>
      </c>
      <c r="C2878" t="s">
        <v>3599</v>
      </c>
      <c r="D2878" t="s">
        <v>4996</v>
      </c>
      <c r="E2878" t="str">
        <f>"3570101452781"</f>
        <v>0</v>
      </c>
      <c r="F2878" t="str">
        <f>"000710"</f>
        <v>0</v>
      </c>
      <c r="G2878" t="s">
        <v>21</v>
      </c>
    </row>
    <row r="2879" spans="1:7">
      <c r="A2879">
        <v>2878</v>
      </c>
      <c r="B2879" t="str">
        <f>"022748"</f>
        <v>0</v>
      </c>
      <c r="C2879" t="s">
        <v>4997</v>
      </c>
      <c r="D2879" t="s">
        <v>4998</v>
      </c>
      <c r="E2879" t="str">
        <f>"1570400019195"</f>
        <v>0</v>
      </c>
      <c r="F2879" t="str">
        <f>"000710"</f>
        <v>0</v>
      </c>
      <c r="G2879" t="s">
        <v>21</v>
      </c>
    </row>
    <row r="2880" spans="1:7">
      <c r="A2880">
        <v>2879</v>
      </c>
      <c r="B2880" t="str">
        <f>"022856"</f>
        <v>0</v>
      </c>
      <c r="C2880" t="s">
        <v>4999</v>
      </c>
      <c r="D2880" t="s">
        <v>5000</v>
      </c>
      <c r="E2880" t="str">
        <f>"3570100535585"</f>
        <v>0</v>
      </c>
      <c r="F2880" t="str">
        <f>"000710"</f>
        <v>0</v>
      </c>
      <c r="G2880" t="s">
        <v>21</v>
      </c>
    </row>
    <row r="2881" spans="1:7">
      <c r="A2881">
        <v>2880</v>
      </c>
      <c r="B2881" t="str">
        <f>"022951"</f>
        <v>0</v>
      </c>
      <c r="C2881" t="s">
        <v>5001</v>
      </c>
      <c r="D2881" t="s">
        <v>5002</v>
      </c>
      <c r="E2881" t="str">
        <f>"1570500096876"</f>
        <v>0</v>
      </c>
      <c r="F2881" t="str">
        <f>"000710"</f>
        <v>0</v>
      </c>
      <c r="G2881" t="s">
        <v>21</v>
      </c>
    </row>
    <row r="2882" spans="1:7">
      <c r="A2882">
        <v>2881</v>
      </c>
      <c r="B2882" t="str">
        <f>"022952"</f>
        <v>0</v>
      </c>
      <c r="C2882" t="s">
        <v>5003</v>
      </c>
      <c r="D2882" t="s">
        <v>5004</v>
      </c>
      <c r="E2882" t="str">
        <f>"1509900194059"</f>
        <v>0</v>
      </c>
      <c r="F2882" t="str">
        <f>"000710"</f>
        <v>0</v>
      </c>
      <c r="G2882" t="s">
        <v>21</v>
      </c>
    </row>
    <row r="2883" spans="1:7">
      <c r="A2883">
        <v>2882</v>
      </c>
      <c r="B2883" t="str">
        <f>"023121"</f>
        <v>0</v>
      </c>
      <c r="C2883" t="s">
        <v>5005</v>
      </c>
      <c r="D2883" t="s">
        <v>5006</v>
      </c>
      <c r="E2883" t="str">
        <f>"1571000011066"</f>
        <v>0</v>
      </c>
      <c r="F2883" t="str">
        <f>"000710"</f>
        <v>0</v>
      </c>
      <c r="G2883" t="s">
        <v>21</v>
      </c>
    </row>
    <row r="2884" spans="1:7">
      <c r="A2884">
        <v>2883</v>
      </c>
      <c r="B2884" t="str">
        <f>"023188"</f>
        <v>0</v>
      </c>
      <c r="C2884" t="s">
        <v>5007</v>
      </c>
      <c r="D2884" t="s">
        <v>5008</v>
      </c>
      <c r="E2884" t="str">
        <f>"1579900011825"</f>
        <v>0</v>
      </c>
      <c r="F2884" t="str">
        <f>"000710"</f>
        <v>0</v>
      </c>
      <c r="G2884" t="s">
        <v>21</v>
      </c>
    </row>
    <row r="2885" spans="1:7">
      <c r="A2885">
        <v>2884</v>
      </c>
      <c r="B2885" t="str">
        <f>"023272"</f>
        <v>0</v>
      </c>
      <c r="C2885" t="s">
        <v>5009</v>
      </c>
      <c r="D2885" t="s">
        <v>5010</v>
      </c>
      <c r="E2885" t="str">
        <f>"3571000209377"</f>
        <v>0</v>
      </c>
      <c r="F2885" t="str">
        <f>"000710"</f>
        <v>0</v>
      </c>
      <c r="G2885" t="s">
        <v>21</v>
      </c>
    </row>
    <row r="2886" spans="1:7">
      <c r="A2886">
        <v>2885</v>
      </c>
      <c r="B2886" t="str">
        <f>"023273"</f>
        <v>0</v>
      </c>
      <c r="C2886" t="s">
        <v>5011</v>
      </c>
      <c r="D2886" t="s">
        <v>5012</v>
      </c>
      <c r="E2886" t="str">
        <f>"3579900191919"</f>
        <v>0</v>
      </c>
      <c r="F2886" t="str">
        <f>"000710"</f>
        <v>0</v>
      </c>
      <c r="G2886" t="s">
        <v>21</v>
      </c>
    </row>
    <row r="2887" spans="1:7">
      <c r="A2887">
        <v>2886</v>
      </c>
      <c r="B2887" t="str">
        <f>"023470"</f>
        <v>0</v>
      </c>
      <c r="C2887" t="s">
        <v>5013</v>
      </c>
      <c r="D2887" t="s">
        <v>5014</v>
      </c>
      <c r="E2887" t="str">
        <f>"3570900261102"</f>
        <v>0</v>
      </c>
      <c r="F2887" t="str">
        <f>"000710"</f>
        <v>0</v>
      </c>
      <c r="G2887" t="s">
        <v>21</v>
      </c>
    </row>
    <row r="2888" spans="1:7">
      <c r="A2888">
        <v>2887</v>
      </c>
      <c r="B2888" t="str">
        <f>"023640"</f>
        <v>0</v>
      </c>
      <c r="C2888" t="s">
        <v>5015</v>
      </c>
      <c r="D2888" t="s">
        <v>5016</v>
      </c>
      <c r="E2888" t="str">
        <f>"1579900038421"</f>
        <v>0</v>
      </c>
      <c r="F2888" t="str">
        <f>"000710"</f>
        <v>0</v>
      </c>
      <c r="G2888" t="s">
        <v>21</v>
      </c>
    </row>
    <row r="2889" spans="1:7">
      <c r="A2889">
        <v>2888</v>
      </c>
      <c r="B2889" t="str">
        <f>"023731"</f>
        <v>0</v>
      </c>
      <c r="C2889" t="s">
        <v>5017</v>
      </c>
      <c r="D2889" t="s">
        <v>5018</v>
      </c>
      <c r="E2889" t="str">
        <f>"3220400529745"</f>
        <v>0</v>
      </c>
      <c r="F2889" t="str">
        <f>"000710"</f>
        <v>0</v>
      </c>
      <c r="G2889" t="s">
        <v>21</v>
      </c>
    </row>
    <row r="2890" spans="1:7">
      <c r="A2890">
        <v>2889</v>
      </c>
      <c r="B2890" t="str">
        <f>"023777"</f>
        <v>0</v>
      </c>
      <c r="C2890" t="s">
        <v>5019</v>
      </c>
      <c r="D2890" t="s">
        <v>5020</v>
      </c>
      <c r="E2890" t="str">
        <f>"3501400111129"</f>
        <v>0</v>
      </c>
      <c r="F2890" t="str">
        <f>"000710"</f>
        <v>0</v>
      </c>
      <c r="G2890" t="s">
        <v>21</v>
      </c>
    </row>
    <row r="2891" spans="1:7">
      <c r="A2891">
        <v>2890</v>
      </c>
      <c r="B2891" t="str">
        <f>"023868"</f>
        <v>0</v>
      </c>
      <c r="C2891" t="s">
        <v>1335</v>
      </c>
      <c r="D2891" t="s">
        <v>5021</v>
      </c>
      <c r="E2891" t="str">
        <f>"1570500011927"</f>
        <v>0</v>
      </c>
      <c r="F2891" t="str">
        <f>"000710"</f>
        <v>0</v>
      </c>
      <c r="G2891" t="s">
        <v>21</v>
      </c>
    </row>
    <row r="2892" spans="1:7">
      <c r="A2892">
        <v>2891</v>
      </c>
      <c r="B2892" t="str">
        <f>"023869"</f>
        <v>0</v>
      </c>
      <c r="C2892" t="s">
        <v>5022</v>
      </c>
      <c r="D2892" t="s">
        <v>5023</v>
      </c>
      <c r="E2892" t="str">
        <f>"1579900063779"</f>
        <v>0</v>
      </c>
      <c r="F2892" t="str">
        <f>"000710"</f>
        <v>0</v>
      </c>
      <c r="G2892" t="s">
        <v>21</v>
      </c>
    </row>
    <row r="2893" spans="1:7">
      <c r="A2893">
        <v>2892</v>
      </c>
      <c r="B2893" t="str">
        <f>"024038"</f>
        <v>0</v>
      </c>
      <c r="C2893" t="s">
        <v>5024</v>
      </c>
      <c r="D2893" t="s">
        <v>5025</v>
      </c>
      <c r="E2893" t="str">
        <f>"1570200057280"</f>
        <v>0</v>
      </c>
      <c r="F2893" t="str">
        <f>"000710"</f>
        <v>0</v>
      </c>
      <c r="G2893" t="s">
        <v>21</v>
      </c>
    </row>
    <row r="2894" spans="1:7">
      <c r="A2894">
        <v>2893</v>
      </c>
      <c r="B2894" t="str">
        <f>"024172"</f>
        <v>0</v>
      </c>
      <c r="C2894" t="s">
        <v>44</v>
      </c>
      <c r="D2894" t="s">
        <v>5026</v>
      </c>
      <c r="E2894" t="str">
        <f>"4570900002105"</f>
        <v>0</v>
      </c>
      <c r="F2894" t="str">
        <f>"000710"</f>
        <v>0</v>
      </c>
      <c r="G2894" t="s">
        <v>21</v>
      </c>
    </row>
    <row r="2895" spans="1:7">
      <c r="A2895">
        <v>2894</v>
      </c>
      <c r="B2895" t="str">
        <f>"024212"</f>
        <v>0</v>
      </c>
      <c r="C2895" t="s">
        <v>3090</v>
      </c>
      <c r="D2895" t="s">
        <v>5027</v>
      </c>
      <c r="E2895" t="str">
        <f>"3579900301251"</f>
        <v>0</v>
      </c>
      <c r="F2895" t="str">
        <f>"000710"</f>
        <v>0</v>
      </c>
      <c r="G2895" t="s">
        <v>21</v>
      </c>
    </row>
    <row r="2896" spans="1:7">
      <c r="A2896">
        <v>2895</v>
      </c>
      <c r="B2896" t="str">
        <f>"024213"</f>
        <v>0</v>
      </c>
      <c r="C2896" t="s">
        <v>442</v>
      </c>
      <c r="D2896" t="s">
        <v>5028</v>
      </c>
      <c r="E2896" t="str">
        <f>"3540100207430"</f>
        <v>0</v>
      </c>
      <c r="F2896" t="str">
        <f>"000710"</f>
        <v>0</v>
      </c>
      <c r="G2896" t="s">
        <v>21</v>
      </c>
    </row>
    <row r="2897" spans="1:7">
      <c r="A2897">
        <v>2896</v>
      </c>
      <c r="B2897" t="str">
        <f>"024336"</f>
        <v>0</v>
      </c>
      <c r="C2897" t="s">
        <v>5029</v>
      </c>
      <c r="D2897" t="s">
        <v>5030</v>
      </c>
      <c r="E2897" t="str">
        <f>"5570300002285"</f>
        <v>0</v>
      </c>
      <c r="F2897" t="str">
        <f>"000710"</f>
        <v>0</v>
      </c>
      <c r="G2897" t="s">
        <v>21</v>
      </c>
    </row>
    <row r="2898" spans="1:7">
      <c r="A2898">
        <v>2897</v>
      </c>
      <c r="B2898" t="str">
        <f>"024375"</f>
        <v>0</v>
      </c>
      <c r="C2898" t="s">
        <v>4384</v>
      </c>
      <c r="D2898" t="s">
        <v>5031</v>
      </c>
      <c r="E2898" t="str">
        <f>"1571200036208"</f>
        <v>0</v>
      </c>
      <c r="F2898" t="str">
        <f>"000710"</f>
        <v>0</v>
      </c>
      <c r="G2898" t="s">
        <v>21</v>
      </c>
    </row>
    <row r="2899" spans="1:7">
      <c r="A2899">
        <v>2898</v>
      </c>
      <c r="B2899" t="str">
        <f>"024467"</f>
        <v>0</v>
      </c>
      <c r="C2899" t="s">
        <v>5032</v>
      </c>
      <c r="D2899" t="s">
        <v>5033</v>
      </c>
      <c r="E2899" t="str">
        <f>"1579900164010"</f>
        <v>0</v>
      </c>
      <c r="F2899" t="str">
        <f>"000710"</f>
        <v>0</v>
      </c>
      <c r="G2899" t="s">
        <v>21</v>
      </c>
    </row>
    <row r="2900" spans="1:7">
      <c r="A2900">
        <v>2899</v>
      </c>
      <c r="B2900" t="str">
        <f>"024687"</f>
        <v>0</v>
      </c>
      <c r="C2900" t="s">
        <v>5034</v>
      </c>
      <c r="D2900" t="s">
        <v>5035</v>
      </c>
      <c r="E2900" t="str">
        <f>"3571200225449"</f>
        <v>0</v>
      </c>
      <c r="F2900" t="str">
        <f>"000710"</f>
        <v>0</v>
      </c>
      <c r="G2900" t="s">
        <v>21</v>
      </c>
    </row>
    <row r="2901" spans="1:7">
      <c r="A2901">
        <v>2900</v>
      </c>
      <c r="B2901" t="str">
        <f>"024828"</f>
        <v>0</v>
      </c>
      <c r="C2901" t="s">
        <v>5036</v>
      </c>
      <c r="D2901" t="s">
        <v>5037</v>
      </c>
      <c r="E2901" t="str">
        <f>"1579900241669"</f>
        <v>0</v>
      </c>
      <c r="F2901" t="str">
        <f>"000710"</f>
        <v>0</v>
      </c>
      <c r="G2901" t="s">
        <v>21</v>
      </c>
    </row>
    <row r="2902" spans="1:7">
      <c r="A2902">
        <v>2901</v>
      </c>
      <c r="B2902" t="str">
        <f>"024878"</f>
        <v>0</v>
      </c>
      <c r="C2902" t="s">
        <v>5038</v>
      </c>
      <c r="D2902" t="s">
        <v>5039</v>
      </c>
      <c r="E2902" t="str">
        <f>"1579900054168"</f>
        <v>0</v>
      </c>
      <c r="F2902" t="str">
        <f>"000710"</f>
        <v>0</v>
      </c>
      <c r="G2902" t="s">
        <v>21</v>
      </c>
    </row>
    <row r="2903" spans="1:7">
      <c r="A2903">
        <v>2902</v>
      </c>
      <c r="B2903" t="str">
        <f>"024932"</f>
        <v>0</v>
      </c>
      <c r="C2903" t="s">
        <v>5040</v>
      </c>
      <c r="D2903" t="s">
        <v>5041</v>
      </c>
      <c r="E2903" t="str">
        <f>"1579900183880"</f>
        <v>0</v>
      </c>
      <c r="F2903" t="str">
        <f>"000710"</f>
        <v>0</v>
      </c>
      <c r="G2903" t="s">
        <v>21</v>
      </c>
    </row>
    <row r="2904" spans="1:7">
      <c r="A2904">
        <v>2903</v>
      </c>
      <c r="B2904" t="str">
        <f>"024934"</f>
        <v>0</v>
      </c>
      <c r="C2904" t="s">
        <v>5042</v>
      </c>
      <c r="D2904" t="s">
        <v>5043</v>
      </c>
      <c r="E2904" t="str">
        <f>"1579900132754"</f>
        <v>0</v>
      </c>
      <c r="F2904" t="str">
        <f>"000710"</f>
        <v>0</v>
      </c>
      <c r="G2904" t="s">
        <v>21</v>
      </c>
    </row>
    <row r="2905" spans="1:7">
      <c r="A2905">
        <v>2904</v>
      </c>
      <c r="B2905" t="str">
        <f>"025097"</f>
        <v>0</v>
      </c>
      <c r="C2905" t="s">
        <v>5044</v>
      </c>
      <c r="D2905" t="s">
        <v>5045</v>
      </c>
      <c r="E2905" t="str">
        <f>"3570200196201"</f>
        <v>0</v>
      </c>
      <c r="F2905" t="str">
        <f>"000710"</f>
        <v>0</v>
      </c>
      <c r="G2905" t="s">
        <v>21</v>
      </c>
    </row>
    <row r="2906" spans="1:7">
      <c r="A2906">
        <v>2905</v>
      </c>
      <c r="B2906" t="str">
        <f>"025134"</f>
        <v>0</v>
      </c>
      <c r="C2906" t="s">
        <v>3699</v>
      </c>
      <c r="D2906" t="s">
        <v>5046</v>
      </c>
      <c r="E2906" t="str">
        <f>"5570100070392"</f>
        <v>0</v>
      </c>
      <c r="F2906" t="str">
        <f>"000710"</f>
        <v>0</v>
      </c>
      <c r="G2906" t="s">
        <v>21</v>
      </c>
    </row>
    <row r="2907" spans="1:7">
      <c r="A2907">
        <v>2906</v>
      </c>
      <c r="B2907" t="str">
        <f>"025139"</f>
        <v>0</v>
      </c>
      <c r="C2907" t="s">
        <v>5047</v>
      </c>
      <c r="D2907" t="s">
        <v>4996</v>
      </c>
      <c r="E2907" t="str">
        <f>"1509900867401"</f>
        <v>0</v>
      </c>
      <c r="F2907" t="str">
        <f>"000710"</f>
        <v>0</v>
      </c>
      <c r="G2907" t="s">
        <v>21</v>
      </c>
    </row>
    <row r="2908" spans="1:7">
      <c r="A2908">
        <v>2907</v>
      </c>
      <c r="B2908" t="str">
        <f>"025158"</f>
        <v>0</v>
      </c>
      <c r="C2908" t="s">
        <v>3939</v>
      </c>
      <c r="D2908" t="s">
        <v>5048</v>
      </c>
      <c r="E2908" t="str">
        <f>"3570900533455"</f>
        <v>0</v>
      </c>
      <c r="F2908" t="str">
        <f>"000710"</f>
        <v>0</v>
      </c>
      <c r="G2908" t="s">
        <v>21</v>
      </c>
    </row>
    <row r="2909" spans="1:7">
      <c r="A2909">
        <v>2908</v>
      </c>
      <c r="B2909" t="str">
        <f>"025252"</f>
        <v>0</v>
      </c>
      <c r="C2909" t="s">
        <v>5049</v>
      </c>
      <c r="D2909" t="s">
        <v>5050</v>
      </c>
      <c r="E2909" t="str">
        <f>"1530700016892"</f>
        <v>0</v>
      </c>
      <c r="F2909" t="str">
        <f>"000710"</f>
        <v>0</v>
      </c>
      <c r="G2909" t="s">
        <v>21</v>
      </c>
    </row>
    <row r="2910" spans="1:7">
      <c r="A2910">
        <v>2909</v>
      </c>
      <c r="B2910" t="str">
        <f>"025255"</f>
        <v>0</v>
      </c>
      <c r="C2910" t="s">
        <v>5051</v>
      </c>
      <c r="D2910" t="s">
        <v>5052</v>
      </c>
      <c r="E2910" t="str">
        <f>"1570800038065"</f>
        <v>0</v>
      </c>
      <c r="F2910" t="str">
        <f>"000710"</f>
        <v>0</v>
      </c>
      <c r="G2910" t="s">
        <v>21</v>
      </c>
    </row>
    <row r="2911" spans="1:7">
      <c r="A2911">
        <v>2910</v>
      </c>
      <c r="B2911" t="str">
        <f>"025409"</f>
        <v>0</v>
      </c>
      <c r="C2911" t="s">
        <v>5053</v>
      </c>
      <c r="D2911" t="s">
        <v>5054</v>
      </c>
      <c r="E2911" t="str">
        <f>"1579900300207"</f>
        <v>0</v>
      </c>
      <c r="F2911" t="str">
        <f>"000710"</f>
        <v>0</v>
      </c>
      <c r="G2911" t="s">
        <v>21</v>
      </c>
    </row>
    <row r="2912" spans="1:7">
      <c r="A2912">
        <v>2911</v>
      </c>
      <c r="B2912" t="str">
        <f>"025410"</f>
        <v>0</v>
      </c>
      <c r="C2912" t="s">
        <v>5055</v>
      </c>
      <c r="D2912" t="s">
        <v>5056</v>
      </c>
      <c r="E2912" t="str">
        <f>"3570700754423"</f>
        <v>0</v>
      </c>
      <c r="F2912" t="str">
        <f>"000710"</f>
        <v>0</v>
      </c>
      <c r="G2912" t="s">
        <v>21</v>
      </c>
    </row>
    <row r="2913" spans="1:7">
      <c r="A2913">
        <v>2912</v>
      </c>
      <c r="B2913" t="str">
        <f>"025587"</f>
        <v>0</v>
      </c>
      <c r="C2913" t="s">
        <v>5057</v>
      </c>
      <c r="D2913" t="s">
        <v>2924</v>
      </c>
      <c r="E2913" t="str">
        <f>"1579900162556"</f>
        <v>0</v>
      </c>
      <c r="F2913" t="str">
        <f>"000710"</f>
        <v>0</v>
      </c>
      <c r="G2913" t="s">
        <v>21</v>
      </c>
    </row>
    <row r="2914" spans="1:7">
      <c r="A2914">
        <v>2913</v>
      </c>
      <c r="B2914" t="str">
        <f>"025775"</f>
        <v>0</v>
      </c>
      <c r="C2914" t="s">
        <v>1402</v>
      </c>
      <c r="D2914" t="s">
        <v>5058</v>
      </c>
      <c r="E2914" t="str">
        <f>"1579900222877"</f>
        <v>0</v>
      </c>
      <c r="F2914" t="str">
        <f>"000710"</f>
        <v>0</v>
      </c>
      <c r="G2914" t="s">
        <v>21</v>
      </c>
    </row>
    <row r="2915" spans="1:7">
      <c r="A2915">
        <v>2914</v>
      </c>
      <c r="B2915" t="str">
        <f>"025791"</f>
        <v>0</v>
      </c>
      <c r="C2915" t="s">
        <v>5059</v>
      </c>
      <c r="D2915" t="s">
        <v>5060</v>
      </c>
      <c r="E2915" t="str">
        <f>"1579900009693"</f>
        <v>0</v>
      </c>
      <c r="F2915" t="str">
        <f>"000710"</f>
        <v>0</v>
      </c>
      <c r="G2915" t="s">
        <v>21</v>
      </c>
    </row>
    <row r="2916" spans="1:7">
      <c r="A2916">
        <v>2915</v>
      </c>
      <c r="B2916" t="str">
        <f>"025818"</f>
        <v>0</v>
      </c>
      <c r="C2916" t="s">
        <v>5061</v>
      </c>
      <c r="D2916" t="s">
        <v>5062</v>
      </c>
      <c r="E2916" t="str">
        <f>"1100200699501"</f>
        <v>0</v>
      </c>
      <c r="F2916" t="str">
        <f>"000710"</f>
        <v>0</v>
      </c>
      <c r="G2916" t="s">
        <v>21</v>
      </c>
    </row>
    <row r="2917" spans="1:7">
      <c r="A2917">
        <v>2916</v>
      </c>
      <c r="B2917" t="str">
        <f>"025863"</f>
        <v>0</v>
      </c>
      <c r="C2917" t="s">
        <v>5063</v>
      </c>
      <c r="D2917" t="s">
        <v>5064</v>
      </c>
      <c r="E2917" t="str">
        <f>"3570400322684"</f>
        <v>0</v>
      </c>
      <c r="F2917" t="str">
        <f>"000710"</f>
        <v>0</v>
      </c>
      <c r="G2917" t="s">
        <v>21</v>
      </c>
    </row>
    <row r="2918" spans="1:7">
      <c r="A2918">
        <v>2917</v>
      </c>
      <c r="B2918" t="str">
        <f>"026320"</f>
        <v>0</v>
      </c>
      <c r="C2918" t="s">
        <v>5065</v>
      </c>
      <c r="D2918" t="s">
        <v>619</v>
      </c>
      <c r="E2918" t="str">
        <f>"1570300116407"</f>
        <v>0</v>
      </c>
      <c r="F2918" t="str">
        <f>"000710"</f>
        <v>0</v>
      </c>
      <c r="G2918" t="s">
        <v>21</v>
      </c>
    </row>
    <row r="2919" spans="1:7">
      <c r="A2919">
        <v>2918</v>
      </c>
      <c r="B2919" t="str">
        <f>"026425"</f>
        <v>0</v>
      </c>
      <c r="C2919" t="s">
        <v>5066</v>
      </c>
      <c r="D2919" t="s">
        <v>5067</v>
      </c>
      <c r="E2919" t="str">
        <f>"1579900228344"</f>
        <v>0</v>
      </c>
      <c r="F2919" t="str">
        <f>"000710"</f>
        <v>0</v>
      </c>
      <c r="G2919" t="s">
        <v>21</v>
      </c>
    </row>
    <row r="2920" spans="1:7">
      <c r="A2920">
        <v>2919</v>
      </c>
      <c r="B2920" t="str">
        <f>"026612"</f>
        <v>0</v>
      </c>
      <c r="C2920" t="s">
        <v>5068</v>
      </c>
      <c r="D2920" t="s">
        <v>5069</v>
      </c>
      <c r="E2920" t="str">
        <f>"1570500187944"</f>
        <v>0</v>
      </c>
      <c r="F2920" t="str">
        <f>"000710"</f>
        <v>0</v>
      </c>
      <c r="G2920" t="s">
        <v>21</v>
      </c>
    </row>
    <row r="2921" spans="1:7">
      <c r="A2921">
        <v>2920</v>
      </c>
      <c r="B2921" t="str">
        <f>"026736"</f>
        <v>0</v>
      </c>
      <c r="C2921" t="s">
        <v>5070</v>
      </c>
      <c r="D2921" t="s">
        <v>5071</v>
      </c>
      <c r="E2921" t="str">
        <f>"1579900188482"</f>
        <v>0</v>
      </c>
      <c r="F2921" t="str">
        <f>"000710"</f>
        <v>0</v>
      </c>
      <c r="G2921" t="s">
        <v>21</v>
      </c>
    </row>
    <row r="2922" spans="1:7">
      <c r="A2922">
        <v>2921</v>
      </c>
      <c r="B2922" t="str">
        <f>"027303"</f>
        <v>0</v>
      </c>
      <c r="C2922" t="s">
        <v>909</v>
      </c>
      <c r="D2922" t="s">
        <v>5072</v>
      </c>
      <c r="E2922" t="str">
        <f>"1570500166769"</f>
        <v>0</v>
      </c>
      <c r="F2922" t="str">
        <f>"000710"</f>
        <v>0</v>
      </c>
      <c r="G2922" t="s">
        <v>21</v>
      </c>
    </row>
    <row r="2923" spans="1:7">
      <c r="A2923">
        <v>2922</v>
      </c>
      <c r="B2923" t="str">
        <f>"021238"</f>
        <v>0</v>
      </c>
      <c r="C2923" t="s">
        <v>5073</v>
      </c>
      <c r="D2923" t="s">
        <v>5074</v>
      </c>
      <c r="E2923" t="str">
        <f>"3560600168018"</f>
        <v>0</v>
      </c>
      <c r="F2923" t="str">
        <f>"000710"</f>
        <v>0</v>
      </c>
      <c r="G2923" t="s">
        <v>21</v>
      </c>
    </row>
    <row r="2924" spans="1:7">
      <c r="A2924">
        <v>2923</v>
      </c>
      <c r="B2924" t="str">
        <f>"020252"</f>
        <v>0</v>
      </c>
      <c r="C2924" t="s">
        <v>3797</v>
      </c>
      <c r="D2924" t="s">
        <v>5075</v>
      </c>
      <c r="E2924" t="str">
        <f>"3679900121880"</f>
        <v>0</v>
      </c>
      <c r="F2924" t="str">
        <f>"000710"</f>
        <v>0</v>
      </c>
      <c r="G2924" t="s">
        <v>21</v>
      </c>
    </row>
    <row r="2925" spans="1:7">
      <c r="A2925">
        <v>2924</v>
      </c>
      <c r="B2925" t="str">
        <f>"025346"</f>
        <v>0</v>
      </c>
      <c r="C2925" t="s">
        <v>5076</v>
      </c>
      <c r="D2925" t="s">
        <v>5077</v>
      </c>
      <c r="E2925" t="str">
        <f>"3810100490139"</f>
        <v>0</v>
      </c>
      <c r="F2925" t="str">
        <f>"000710"</f>
        <v>0</v>
      </c>
      <c r="G2925" t="s">
        <v>21</v>
      </c>
    </row>
    <row r="2926" spans="1:7">
      <c r="A2926">
        <v>2925</v>
      </c>
      <c r="B2926" t="str">
        <f>"014779"</f>
        <v>0</v>
      </c>
      <c r="C2926" t="s">
        <v>5078</v>
      </c>
      <c r="D2926" t="s">
        <v>5079</v>
      </c>
      <c r="E2926" t="str">
        <f>"3909900011232"</f>
        <v>0</v>
      </c>
      <c r="F2926" t="str">
        <f>"000710"</f>
        <v>0</v>
      </c>
      <c r="G2926" t="s">
        <v>21</v>
      </c>
    </row>
    <row r="2927" spans="1:7">
      <c r="A2927">
        <v>2926</v>
      </c>
      <c r="B2927" t="str">
        <f>"022832"</f>
        <v>0</v>
      </c>
      <c r="C2927" t="s">
        <v>5080</v>
      </c>
      <c r="D2927" t="s">
        <v>5081</v>
      </c>
      <c r="E2927" t="str">
        <f>"3570900218878"</f>
        <v>0</v>
      </c>
      <c r="F2927" t="str">
        <f>"000710"</f>
        <v>0</v>
      </c>
      <c r="G2927" t="s">
        <v>21</v>
      </c>
    </row>
    <row r="2928" spans="1:7">
      <c r="A2928">
        <v>2927</v>
      </c>
      <c r="B2928" t="str">
        <f>"024379"</f>
        <v>0</v>
      </c>
      <c r="C2928" t="s">
        <v>5082</v>
      </c>
      <c r="D2928" t="s">
        <v>5083</v>
      </c>
      <c r="E2928" t="str">
        <f>"1509900664331"</f>
        <v>0</v>
      </c>
      <c r="F2928" t="str">
        <f>"000710"</f>
        <v>0</v>
      </c>
      <c r="G2928" t="s">
        <v>21</v>
      </c>
    </row>
    <row r="2929" spans="1:7">
      <c r="A2929">
        <v>2928</v>
      </c>
      <c r="B2929" t="str">
        <f>"020613"</f>
        <v>0</v>
      </c>
      <c r="C2929" t="s">
        <v>5084</v>
      </c>
      <c r="D2929" t="s">
        <v>5085</v>
      </c>
      <c r="E2929" t="str">
        <f>"3700800390332"</f>
        <v>0</v>
      </c>
      <c r="F2929" t="str">
        <f>"000710"</f>
        <v>0</v>
      </c>
      <c r="G2929" t="s">
        <v>21</v>
      </c>
    </row>
    <row r="2930" spans="1:7">
      <c r="A2930">
        <v>2929</v>
      </c>
      <c r="B2930" t="str">
        <f>"021449"</f>
        <v>0</v>
      </c>
      <c r="C2930" t="s">
        <v>1190</v>
      </c>
      <c r="D2930" t="s">
        <v>5086</v>
      </c>
      <c r="E2930" t="str">
        <f>"3101500442848"</f>
        <v>0</v>
      </c>
      <c r="F2930" t="str">
        <f>"000710"</f>
        <v>0</v>
      </c>
      <c r="G2930" t="s">
        <v>21</v>
      </c>
    </row>
    <row r="2931" spans="1:7">
      <c r="A2931">
        <v>2930</v>
      </c>
      <c r="B2931" t="str">
        <f>"009400"</f>
        <v>0</v>
      </c>
      <c r="C2931" t="s">
        <v>5087</v>
      </c>
      <c r="D2931" t="s">
        <v>5088</v>
      </c>
      <c r="E2931" t="str">
        <f>"3570300638540"</f>
        <v>0</v>
      </c>
      <c r="F2931" t="str">
        <f>"000710"</f>
        <v>0</v>
      </c>
      <c r="G2931" t="s">
        <v>21</v>
      </c>
    </row>
    <row r="2932" spans="1:7">
      <c r="A2932">
        <v>2931</v>
      </c>
      <c r="B2932" t="str">
        <f>"017832"</f>
        <v>0</v>
      </c>
      <c r="C2932" t="s">
        <v>5089</v>
      </c>
      <c r="D2932" t="s">
        <v>5090</v>
      </c>
      <c r="E2932" t="str">
        <f>"3100603209983"</f>
        <v>0</v>
      </c>
      <c r="F2932" t="str">
        <f>"000710"</f>
        <v>0</v>
      </c>
      <c r="G2932" t="s">
        <v>21</v>
      </c>
    </row>
    <row r="2933" spans="1:7">
      <c r="A2933">
        <v>2932</v>
      </c>
      <c r="B2933" t="str">
        <f>"018807"</f>
        <v>0</v>
      </c>
      <c r="C2933" t="s">
        <v>5091</v>
      </c>
      <c r="D2933" t="s">
        <v>3861</v>
      </c>
      <c r="E2933" t="str">
        <f>"3570700931325"</f>
        <v>0</v>
      </c>
      <c r="F2933" t="str">
        <f>"000710"</f>
        <v>0</v>
      </c>
      <c r="G2933" t="s">
        <v>21</v>
      </c>
    </row>
    <row r="2934" spans="1:7">
      <c r="A2934">
        <v>2933</v>
      </c>
      <c r="B2934" t="str">
        <f>"020017"</f>
        <v>0</v>
      </c>
      <c r="C2934" t="s">
        <v>5092</v>
      </c>
      <c r="D2934" t="s">
        <v>5093</v>
      </c>
      <c r="E2934" t="str">
        <f>"3579900125673"</f>
        <v>0</v>
      </c>
      <c r="F2934" t="str">
        <f>"000710"</f>
        <v>0</v>
      </c>
      <c r="G2934" t="s">
        <v>21</v>
      </c>
    </row>
    <row r="2935" spans="1:7">
      <c r="A2935">
        <v>2934</v>
      </c>
      <c r="B2935" t="str">
        <f>"022950"</f>
        <v>0</v>
      </c>
      <c r="C2935" t="s">
        <v>5094</v>
      </c>
      <c r="D2935" t="s">
        <v>5095</v>
      </c>
      <c r="E2935" t="str">
        <f>"3570101162596"</f>
        <v>0</v>
      </c>
      <c r="F2935" t="str">
        <f>"000710"</f>
        <v>0</v>
      </c>
      <c r="G2935" t="s">
        <v>21</v>
      </c>
    </row>
    <row r="2936" spans="1:7">
      <c r="A2936">
        <v>2935</v>
      </c>
      <c r="B2936" t="str">
        <f>"025455"</f>
        <v>0</v>
      </c>
      <c r="C2936" t="s">
        <v>5096</v>
      </c>
      <c r="D2936" t="s">
        <v>4833</v>
      </c>
      <c r="E2936" t="str">
        <f>"3570200091425"</f>
        <v>0</v>
      </c>
      <c r="F2936" t="str">
        <f>"000710"</f>
        <v>0</v>
      </c>
      <c r="G2936" t="s">
        <v>21</v>
      </c>
    </row>
    <row r="2937" spans="1:7">
      <c r="A2937">
        <v>2936</v>
      </c>
      <c r="B2937" t="str">
        <f>"020778"</f>
        <v>0</v>
      </c>
      <c r="C2937" t="s">
        <v>814</v>
      </c>
      <c r="D2937" t="s">
        <v>5097</v>
      </c>
      <c r="E2937" t="str">
        <f>"3430600251307"</f>
        <v>0</v>
      </c>
      <c r="F2937" t="str">
        <f>"000710"</f>
        <v>0</v>
      </c>
      <c r="G2937" t="s">
        <v>21</v>
      </c>
    </row>
    <row r="2938" spans="1:7">
      <c r="A2938">
        <v>2937</v>
      </c>
      <c r="B2938" t="str">
        <f>"025223"</f>
        <v>0</v>
      </c>
      <c r="C2938" t="s">
        <v>5098</v>
      </c>
      <c r="D2938" t="s">
        <v>5099</v>
      </c>
      <c r="E2938" t="str">
        <f>"1579900163935"</f>
        <v>0</v>
      </c>
      <c r="F2938" t="str">
        <f>"000710"</f>
        <v>0</v>
      </c>
      <c r="G2938" t="s">
        <v>21</v>
      </c>
    </row>
    <row r="2939" spans="1:7">
      <c r="A2939">
        <v>2938</v>
      </c>
      <c r="B2939" t="str">
        <f>"026266"</f>
        <v>0</v>
      </c>
      <c r="C2939" t="s">
        <v>5100</v>
      </c>
      <c r="D2939" t="s">
        <v>5101</v>
      </c>
      <c r="E2939" t="str">
        <f>"1520600065409"</f>
        <v>0</v>
      </c>
      <c r="F2939" t="str">
        <f>"000710"</f>
        <v>0</v>
      </c>
      <c r="G2939" t="s">
        <v>21</v>
      </c>
    </row>
    <row r="2940" spans="1:7">
      <c r="A2940">
        <v>2939</v>
      </c>
      <c r="B2940" t="str">
        <f>"011029"</f>
        <v>0</v>
      </c>
      <c r="C2940" t="s">
        <v>2275</v>
      </c>
      <c r="D2940" t="s">
        <v>5102</v>
      </c>
      <c r="E2940" t="str">
        <f>"3341300373646"</f>
        <v>0</v>
      </c>
      <c r="F2940" t="str">
        <f>"000710"</f>
        <v>0</v>
      </c>
      <c r="G2940" t="s">
        <v>21</v>
      </c>
    </row>
    <row r="2941" spans="1:7">
      <c r="A2941">
        <v>2940</v>
      </c>
      <c r="B2941" t="str">
        <f>"013315"</f>
        <v>0</v>
      </c>
      <c r="C2941" t="s">
        <v>470</v>
      </c>
      <c r="D2941" t="s">
        <v>5103</v>
      </c>
      <c r="E2941" t="str">
        <f>"3570101142404"</f>
        <v>0</v>
      </c>
      <c r="F2941" t="str">
        <f>"000710"</f>
        <v>0</v>
      </c>
      <c r="G2941" t="s">
        <v>21</v>
      </c>
    </row>
    <row r="2942" spans="1:7">
      <c r="A2942">
        <v>2941</v>
      </c>
      <c r="B2942" t="str">
        <f>"015532"</f>
        <v>0</v>
      </c>
      <c r="C2942" t="s">
        <v>5104</v>
      </c>
      <c r="D2942" t="s">
        <v>5105</v>
      </c>
      <c r="E2942" t="str">
        <f>"3570101362749"</f>
        <v>0</v>
      </c>
      <c r="F2942" t="str">
        <f>"000710"</f>
        <v>0</v>
      </c>
      <c r="G2942" t="s">
        <v>21</v>
      </c>
    </row>
    <row r="2943" spans="1:7">
      <c r="A2943">
        <v>2942</v>
      </c>
      <c r="B2943" t="str">
        <f>"015533"</f>
        <v>0</v>
      </c>
      <c r="C2943" t="s">
        <v>5106</v>
      </c>
      <c r="D2943" t="s">
        <v>5107</v>
      </c>
      <c r="E2943" t="str">
        <f>"3600900446942"</f>
        <v>0</v>
      </c>
      <c r="F2943" t="str">
        <f>"000710"</f>
        <v>0</v>
      </c>
      <c r="G2943" t="s">
        <v>21</v>
      </c>
    </row>
    <row r="2944" spans="1:7">
      <c r="A2944">
        <v>2943</v>
      </c>
      <c r="B2944" t="str">
        <f>"017474"</f>
        <v>0</v>
      </c>
      <c r="C2944" t="s">
        <v>5108</v>
      </c>
      <c r="D2944" t="s">
        <v>5109</v>
      </c>
      <c r="E2944" t="str">
        <f>"3560100212328"</f>
        <v>0</v>
      </c>
      <c r="F2944" t="str">
        <f>"000710"</f>
        <v>0</v>
      </c>
      <c r="G2944" t="s">
        <v>21</v>
      </c>
    </row>
    <row r="2945" spans="1:7">
      <c r="A2945">
        <v>2944</v>
      </c>
      <c r="B2945" t="str">
        <f>"018668"</f>
        <v>0</v>
      </c>
      <c r="C2945" t="s">
        <v>5110</v>
      </c>
      <c r="D2945" t="s">
        <v>5111</v>
      </c>
      <c r="E2945" t="str">
        <f>"3571100128662"</f>
        <v>0</v>
      </c>
      <c r="F2945" t="str">
        <f>"000710"</f>
        <v>0</v>
      </c>
      <c r="G2945" t="s">
        <v>21</v>
      </c>
    </row>
    <row r="2946" spans="1:7">
      <c r="A2946">
        <v>2945</v>
      </c>
      <c r="B2946" t="str">
        <f>"018998"</f>
        <v>0</v>
      </c>
      <c r="C2946" t="s">
        <v>5112</v>
      </c>
      <c r="D2946" t="s">
        <v>5113</v>
      </c>
      <c r="E2946" t="str">
        <f>"3570100436641"</f>
        <v>0</v>
      </c>
      <c r="F2946" t="str">
        <f>"000710"</f>
        <v>0</v>
      </c>
      <c r="G2946" t="s">
        <v>21</v>
      </c>
    </row>
    <row r="2947" spans="1:7">
      <c r="A2947">
        <v>2946</v>
      </c>
      <c r="B2947" t="str">
        <f>"023346"</f>
        <v>0</v>
      </c>
      <c r="C2947" t="s">
        <v>5114</v>
      </c>
      <c r="D2947" t="s">
        <v>5115</v>
      </c>
      <c r="E2947" t="str">
        <f>"3570500660352"</f>
        <v>0</v>
      </c>
      <c r="F2947" t="str">
        <f>"000710"</f>
        <v>0</v>
      </c>
      <c r="G2947" t="s">
        <v>21</v>
      </c>
    </row>
    <row r="2948" spans="1:7">
      <c r="A2948">
        <v>2947</v>
      </c>
      <c r="B2948" t="str">
        <f>"023993"</f>
        <v>0</v>
      </c>
      <c r="C2948" t="s">
        <v>5116</v>
      </c>
      <c r="D2948" t="s">
        <v>5117</v>
      </c>
      <c r="E2948" t="str">
        <f>"1509900695244"</f>
        <v>0</v>
      </c>
      <c r="F2948" t="str">
        <f>"000710"</f>
        <v>0</v>
      </c>
      <c r="G2948" t="s">
        <v>21</v>
      </c>
    </row>
    <row r="2949" spans="1:7">
      <c r="A2949">
        <v>2948</v>
      </c>
      <c r="B2949" t="str">
        <f>"000375"</f>
        <v>0</v>
      </c>
      <c r="C2949" t="s">
        <v>5118</v>
      </c>
      <c r="D2949" t="s">
        <v>5119</v>
      </c>
      <c r="E2949" t="str">
        <f>"3500700086684"</f>
        <v>0</v>
      </c>
      <c r="F2949" t="str">
        <f>"000730"</f>
        <v>0</v>
      </c>
      <c r="G2949" t="s">
        <v>21</v>
      </c>
    </row>
    <row r="2950" spans="1:7">
      <c r="A2950">
        <v>2949</v>
      </c>
      <c r="B2950" t="str">
        <f>"000670"</f>
        <v>0</v>
      </c>
      <c r="C2950" t="s">
        <v>447</v>
      </c>
      <c r="D2950" t="s">
        <v>4954</v>
      </c>
      <c r="E2950" t="str">
        <f>"3509901393353"</f>
        <v>0</v>
      </c>
      <c r="F2950" t="str">
        <f>"000730"</f>
        <v>0</v>
      </c>
      <c r="G2950" t="s">
        <v>21</v>
      </c>
    </row>
    <row r="2951" spans="1:7">
      <c r="A2951">
        <v>2950</v>
      </c>
      <c r="B2951" t="str">
        <f>"001247"</f>
        <v>0</v>
      </c>
      <c r="C2951" t="s">
        <v>2312</v>
      </c>
      <c r="D2951" t="s">
        <v>5120</v>
      </c>
      <c r="E2951" t="str">
        <f>"3501200129920"</f>
        <v>0</v>
      </c>
      <c r="F2951" t="str">
        <f>"000730"</f>
        <v>0</v>
      </c>
      <c r="G2951" t="s">
        <v>21</v>
      </c>
    </row>
    <row r="2952" spans="1:7">
      <c r="A2952">
        <v>2951</v>
      </c>
      <c r="B2952" t="str">
        <f>"001333"</f>
        <v>0</v>
      </c>
      <c r="C2952" t="s">
        <v>5121</v>
      </c>
      <c r="D2952" t="s">
        <v>5122</v>
      </c>
      <c r="E2952" t="str">
        <f>"3501800010125"</f>
        <v>0</v>
      </c>
      <c r="F2952" t="str">
        <f>"000730"</f>
        <v>0</v>
      </c>
      <c r="G2952" t="s">
        <v>21</v>
      </c>
    </row>
    <row r="2953" spans="1:7">
      <c r="A2953">
        <v>2952</v>
      </c>
      <c r="B2953" t="str">
        <f>"001384"</f>
        <v>0</v>
      </c>
      <c r="C2953" t="s">
        <v>2239</v>
      </c>
      <c r="D2953" t="s">
        <v>5123</v>
      </c>
      <c r="E2953" t="str">
        <f>"3500600362388"</f>
        <v>0</v>
      </c>
      <c r="F2953" t="str">
        <f>"000730"</f>
        <v>0</v>
      </c>
      <c r="G2953" t="s">
        <v>21</v>
      </c>
    </row>
    <row r="2954" spans="1:7">
      <c r="A2954">
        <v>2953</v>
      </c>
      <c r="B2954" t="str">
        <f>"001608"</f>
        <v>0</v>
      </c>
      <c r="C2954" t="s">
        <v>3801</v>
      </c>
      <c r="D2954" t="s">
        <v>5124</v>
      </c>
      <c r="E2954" t="str">
        <f>"3509901393400"</f>
        <v>0</v>
      </c>
      <c r="F2954" t="str">
        <f>"000730"</f>
        <v>0</v>
      </c>
      <c r="G2954" t="s">
        <v>21</v>
      </c>
    </row>
    <row r="2955" spans="1:7">
      <c r="A2955">
        <v>2954</v>
      </c>
      <c r="B2955" t="str">
        <f>"001684"</f>
        <v>0</v>
      </c>
      <c r="C2955" t="s">
        <v>5125</v>
      </c>
      <c r="D2955" t="s">
        <v>5126</v>
      </c>
      <c r="E2955" t="str">
        <f>"3509900699351"</f>
        <v>0</v>
      </c>
      <c r="F2955" t="str">
        <f>"000730"</f>
        <v>0</v>
      </c>
      <c r="G2955" t="s">
        <v>21</v>
      </c>
    </row>
    <row r="2956" spans="1:7">
      <c r="A2956">
        <v>2955</v>
      </c>
      <c r="B2956" t="str">
        <f>"001826"</f>
        <v>0</v>
      </c>
      <c r="C2956" t="s">
        <v>5127</v>
      </c>
      <c r="D2956" t="s">
        <v>5128</v>
      </c>
      <c r="E2956" t="str">
        <f>"3500100179894"</f>
        <v>0</v>
      </c>
      <c r="F2956" t="str">
        <f>"000730"</f>
        <v>0</v>
      </c>
      <c r="G2956" t="s">
        <v>21</v>
      </c>
    </row>
    <row r="2957" spans="1:7">
      <c r="A2957">
        <v>2956</v>
      </c>
      <c r="B2957" t="str">
        <f>"001869"</f>
        <v>0</v>
      </c>
      <c r="C2957" t="s">
        <v>5129</v>
      </c>
      <c r="D2957" t="s">
        <v>5130</v>
      </c>
      <c r="E2957" t="str">
        <f>"3559900162200"</f>
        <v>0</v>
      </c>
      <c r="F2957" t="str">
        <f>"000730"</f>
        <v>0</v>
      </c>
      <c r="G2957" t="s">
        <v>21</v>
      </c>
    </row>
    <row r="2958" spans="1:7">
      <c r="A2958">
        <v>2957</v>
      </c>
      <c r="B2958" t="str">
        <f>"001900"</f>
        <v>0</v>
      </c>
      <c r="C2958" t="s">
        <v>5131</v>
      </c>
      <c r="D2958" t="s">
        <v>5132</v>
      </c>
      <c r="E2958" t="str">
        <f>"3500700489568"</f>
        <v>0</v>
      </c>
      <c r="F2958" t="str">
        <f>"000730"</f>
        <v>0</v>
      </c>
      <c r="G2958" t="s">
        <v>21</v>
      </c>
    </row>
    <row r="2959" spans="1:7">
      <c r="A2959">
        <v>2958</v>
      </c>
      <c r="B2959" t="str">
        <f>"002005"</f>
        <v>0</v>
      </c>
      <c r="C2959" t="s">
        <v>5133</v>
      </c>
      <c r="D2959" t="s">
        <v>5134</v>
      </c>
      <c r="E2959" t="str">
        <f>"3509901392624"</f>
        <v>0</v>
      </c>
      <c r="F2959" t="str">
        <f>"000730"</f>
        <v>0</v>
      </c>
      <c r="G2959" t="s">
        <v>21</v>
      </c>
    </row>
    <row r="2960" spans="1:7">
      <c r="A2960">
        <v>2959</v>
      </c>
      <c r="B2960" t="str">
        <f>"002021"</f>
        <v>0</v>
      </c>
      <c r="C2960" t="s">
        <v>5135</v>
      </c>
      <c r="D2960" t="s">
        <v>5136</v>
      </c>
      <c r="E2960" t="str">
        <f>"3500600018652"</f>
        <v>0</v>
      </c>
      <c r="F2960" t="str">
        <f>"000730"</f>
        <v>0</v>
      </c>
      <c r="G2960" t="s">
        <v>21</v>
      </c>
    </row>
    <row r="2961" spans="1:7">
      <c r="A2961">
        <v>2960</v>
      </c>
      <c r="B2961" t="str">
        <f>"002022"</f>
        <v>0</v>
      </c>
      <c r="C2961" t="s">
        <v>5137</v>
      </c>
      <c r="D2961" t="s">
        <v>5138</v>
      </c>
      <c r="E2961" t="str">
        <f>"3500600269663"</f>
        <v>0</v>
      </c>
      <c r="F2961" t="str">
        <f>"000730"</f>
        <v>0</v>
      </c>
      <c r="G2961" t="s">
        <v>21</v>
      </c>
    </row>
    <row r="2962" spans="1:7">
      <c r="A2962">
        <v>2961</v>
      </c>
      <c r="B2962" t="str">
        <f>"002023"</f>
        <v>0</v>
      </c>
      <c r="C2962" t="s">
        <v>802</v>
      </c>
      <c r="D2962" t="s">
        <v>5139</v>
      </c>
      <c r="E2962" t="str">
        <f>"3501400696291"</f>
        <v>0</v>
      </c>
      <c r="F2962" t="str">
        <f>"000730"</f>
        <v>0</v>
      </c>
      <c r="G2962" t="s">
        <v>21</v>
      </c>
    </row>
    <row r="2963" spans="1:7">
      <c r="A2963">
        <v>2962</v>
      </c>
      <c r="B2963" t="str">
        <f>"002071"</f>
        <v>0</v>
      </c>
      <c r="C2963" t="s">
        <v>5140</v>
      </c>
      <c r="D2963" t="s">
        <v>5141</v>
      </c>
      <c r="E2963" t="str">
        <f>"3500300013698"</f>
        <v>0</v>
      </c>
      <c r="F2963" t="str">
        <f>"000730"</f>
        <v>0</v>
      </c>
      <c r="G2963" t="s">
        <v>21</v>
      </c>
    </row>
    <row r="2964" spans="1:7">
      <c r="A2964">
        <v>2963</v>
      </c>
      <c r="B2964" t="str">
        <f>"002183"</f>
        <v>0</v>
      </c>
      <c r="C2964" t="s">
        <v>5142</v>
      </c>
      <c r="D2964" t="s">
        <v>5139</v>
      </c>
      <c r="E2964" t="str">
        <f>"3509901146429"</f>
        <v>0</v>
      </c>
      <c r="F2964" t="str">
        <f>"000730"</f>
        <v>0</v>
      </c>
      <c r="G2964" t="s">
        <v>21</v>
      </c>
    </row>
    <row r="2965" spans="1:7">
      <c r="A2965">
        <v>2964</v>
      </c>
      <c r="B2965" t="str">
        <f>"002215"</f>
        <v>0</v>
      </c>
      <c r="C2965" t="s">
        <v>3634</v>
      </c>
      <c r="D2965" t="s">
        <v>5143</v>
      </c>
      <c r="E2965" t="str">
        <f>"3509900819641"</f>
        <v>0</v>
      </c>
      <c r="F2965" t="str">
        <f>"000730"</f>
        <v>0</v>
      </c>
      <c r="G2965" t="s">
        <v>21</v>
      </c>
    </row>
    <row r="2966" spans="1:7">
      <c r="A2966">
        <v>2965</v>
      </c>
      <c r="B2966" t="str">
        <f>"002216"</f>
        <v>0</v>
      </c>
      <c r="C2966" t="s">
        <v>5144</v>
      </c>
      <c r="D2966" t="s">
        <v>5145</v>
      </c>
      <c r="E2966" t="str">
        <f>"4501000001677"</f>
        <v>0</v>
      </c>
      <c r="F2966" t="str">
        <f>"000730"</f>
        <v>0</v>
      </c>
      <c r="G2966" t="s">
        <v>21</v>
      </c>
    </row>
    <row r="2967" spans="1:7">
      <c r="A2967">
        <v>2966</v>
      </c>
      <c r="B2967" t="str">
        <f>"002382"</f>
        <v>0</v>
      </c>
      <c r="C2967" t="s">
        <v>60</v>
      </c>
      <c r="D2967" t="s">
        <v>5146</v>
      </c>
      <c r="E2967" t="str">
        <f>"3501400602122"</f>
        <v>0</v>
      </c>
      <c r="F2967" t="str">
        <f>"000730"</f>
        <v>0</v>
      </c>
      <c r="G2967" t="s">
        <v>21</v>
      </c>
    </row>
    <row r="2968" spans="1:7">
      <c r="A2968">
        <v>2967</v>
      </c>
      <c r="B2968" t="str">
        <f>"002502"</f>
        <v>0</v>
      </c>
      <c r="C2968" t="s">
        <v>2107</v>
      </c>
      <c r="D2968" t="s">
        <v>5147</v>
      </c>
      <c r="E2968" t="str">
        <f>"4501400002719"</f>
        <v>0</v>
      </c>
      <c r="F2968" t="str">
        <f>"000730"</f>
        <v>0</v>
      </c>
      <c r="G2968" t="s">
        <v>21</v>
      </c>
    </row>
    <row r="2969" spans="1:7">
      <c r="A2969">
        <v>2968</v>
      </c>
      <c r="B2969" t="str">
        <f>"002505"</f>
        <v>0</v>
      </c>
      <c r="C2969" t="s">
        <v>5148</v>
      </c>
      <c r="D2969" t="s">
        <v>5149</v>
      </c>
      <c r="E2969" t="str">
        <f>"3501900080109"</f>
        <v>0</v>
      </c>
      <c r="F2969" t="str">
        <f>"000730"</f>
        <v>0</v>
      </c>
      <c r="G2969" t="s">
        <v>21</v>
      </c>
    </row>
    <row r="2970" spans="1:7">
      <c r="A2970">
        <v>2969</v>
      </c>
      <c r="B2970" t="str">
        <f>"002581"</f>
        <v>0</v>
      </c>
      <c r="C2970" t="s">
        <v>5150</v>
      </c>
      <c r="D2970" t="s">
        <v>5151</v>
      </c>
      <c r="E2970" t="str">
        <f>"5500790002457"</f>
        <v>0</v>
      </c>
      <c r="F2970" t="str">
        <f>"000730"</f>
        <v>0</v>
      </c>
      <c r="G2970" t="s">
        <v>21</v>
      </c>
    </row>
    <row r="2971" spans="1:7">
      <c r="A2971">
        <v>2970</v>
      </c>
      <c r="B2971" t="str">
        <f>"002670"</f>
        <v>0</v>
      </c>
      <c r="C2971" t="s">
        <v>1058</v>
      </c>
      <c r="D2971" t="s">
        <v>5152</v>
      </c>
      <c r="E2971" t="str">
        <f>"3509900949145"</f>
        <v>0</v>
      </c>
      <c r="F2971" t="str">
        <f>"000730"</f>
        <v>0</v>
      </c>
      <c r="G2971" t="s">
        <v>21</v>
      </c>
    </row>
    <row r="2972" spans="1:7">
      <c r="A2972">
        <v>2971</v>
      </c>
      <c r="B2972" t="str">
        <f>"002685"</f>
        <v>0</v>
      </c>
      <c r="C2972" t="s">
        <v>2758</v>
      </c>
      <c r="D2972" t="s">
        <v>5153</v>
      </c>
      <c r="E2972" t="str">
        <f>"3501200212975"</f>
        <v>0</v>
      </c>
      <c r="F2972" t="str">
        <f>"000730"</f>
        <v>0</v>
      </c>
      <c r="G2972" t="s">
        <v>21</v>
      </c>
    </row>
    <row r="2973" spans="1:7">
      <c r="A2973">
        <v>2972</v>
      </c>
      <c r="B2973" t="str">
        <f>"002961"</f>
        <v>0</v>
      </c>
      <c r="C2973" t="s">
        <v>5154</v>
      </c>
      <c r="D2973" t="s">
        <v>5155</v>
      </c>
      <c r="E2973" t="str">
        <f>"3500600203590"</f>
        <v>0</v>
      </c>
      <c r="F2973" t="str">
        <f>"000730"</f>
        <v>0</v>
      </c>
      <c r="G2973" t="s">
        <v>21</v>
      </c>
    </row>
    <row r="2974" spans="1:7">
      <c r="A2974">
        <v>2973</v>
      </c>
      <c r="B2974" t="str">
        <f>"002964"</f>
        <v>0</v>
      </c>
      <c r="C2974" t="s">
        <v>5156</v>
      </c>
      <c r="D2974" t="s">
        <v>5157</v>
      </c>
      <c r="E2974" t="str">
        <f>"3500800022696"</f>
        <v>0</v>
      </c>
      <c r="F2974" t="str">
        <f>"000730"</f>
        <v>0</v>
      </c>
      <c r="G2974" t="s">
        <v>21</v>
      </c>
    </row>
    <row r="2975" spans="1:7">
      <c r="A2975">
        <v>2974</v>
      </c>
      <c r="B2975" t="str">
        <f>"003122"</f>
        <v>0</v>
      </c>
      <c r="C2975" t="s">
        <v>5158</v>
      </c>
      <c r="D2975" t="s">
        <v>5159</v>
      </c>
      <c r="E2975" t="str">
        <f>"3549900106873"</f>
        <v>0</v>
      </c>
      <c r="F2975" t="str">
        <f>"000730"</f>
        <v>0</v>
      </c>
      <c r="G2975" t="s">
        <v>21</v>
      </c>
    </row>
    <row r="2976" spans="1:7">
      <c r="A2976">
        <v>2975</v>
      </c>
      <c r="B2976" t="str">
        <f>"003222"</f>
        <v>0</v>
      </c>
      <c r="C2976" t="s">
        <v>5160</v>
      </c>
      <c r="D2976" t="s">
        <v>5161</v>
      </c>
      <c r="E2976" t="str">
        <f>"3501400630754"</f>
        <v>0</v>
      </c>
      <c r="F2976" t="str">
        <f>"000730"</f>
        <v>0</v>
      </c>
      <c r="G2976" t="s">
        <v>21</v>
      </c>
    </row>
    <row r="2977" spans="1:7">
      <c r="A2977">
        <v>2976</v>
      </c>
      <c r="B2977" t="str">
        <f>"003259"</f>
        <v>0</v>
      </c>
      <c r="C2977" t="s">
        <v>5162</v>
      </c>
      <c r="D2977" t="s">
        <v>5163</v>
      </c>
      <c r="E2977" t="str">
        <f>"3501400677432"</f>
        <v>0</v>
      </c>
      <c r="F2977" t="str">
        <f>"000730"</f>
        <v>0</v>
      </c>
      <c r="G2977" t="s">
        <v>21</v>
      </c>
    </row>
    <row r="2978" spans="1:7">
      <c r="A2978">
        <v>2977</v>
      </c>
      <c r="B2978" t="str">
        <f>"003293"</f>
        <v>0</v>
      </c>
      <c r="C2978" t="s">
        <v>5164</v>
      </c>
      <c r="D2978" t="s">
        <v>5165</v>
      </c>
      <c r="E2978" t="str">
        <f>"3509900834844"</f>
        <v>0</v>
      </c>
      <c r="F2978" t="str">
        <f>"000730"</f>
        <v>0</v>
      </c>
      <c r="G2978" t="s">
        <v>21</v>
      </c>
    </row>
    <row r="2979" spans="1:7">
      <c r="A2979">
        <v>2978</v>
      </c>
      <c r="B2979" t="str">
        <f>"003472"</f>
        <v>0</v>
      </c>
      <c r="C2979" t="s">
        <v>5166</v>
      </c>
      <c r="D2979" t="s">
        <v>5167</v>
      </c>
      <c r="E2979" t="str">
        <f>"3500500489963"</f>
        <v>0</v>
      </c>
      <c r="F2979" t="str">
        <f>"000730"</f>
        <v>0</v>
      </c>
      <c r="G2979" t="s">
        <v>21</v>
      </c>
    </row>
    <row r="2980" spans="1:7">
      <c r="A2980">
        <v>2979</v>
      </c>
      <c r="B2980" t="str">
        <f>"003491"</f>
        <v>0</v>
      </c>
      <c r="C2980" t="s">
        <v>5168</v>
      </c>
      <c r="D2980" t="s">
        <v>5169</v>
      </c>
      <c r="E2980" t="str">
        <f>"5500100007046"</f>
        <v>0</v>
      </c>
      <c r="F2980" t="str">
        <f>"000730"</f>
        <v>0</v>
      </c>
      <c r="G2980" t="s">
        <v>21</v>
      </c>
    </row>
    <row r="2981" spans="1:7">
      <c r="A2981">
        <v>2980</v>
      </c>
      <c r="B2981" t="str">
        <f>"003518"</f>
        <v>0</v>
      </c>
      <c r="C2981" t="s">
        <v>397</v>
      </c>
      <c r="D2981" t="s">
        <v>5170</v>
      </c>
      <c r="E2981" t="str">
        <f>"3501900672791"</f>
        <v>0</v>
      </c>
      <c r="F2981" t="str">
        <f>"000730"</f>
        <v>0</v>
      </c>
      <c r="G2981" t="s">
        <v>21</v>
      </c>
    </row>
    <row r="2982" spans="1:7">
      <c r="A2982">
        <v>2981</v>
      </c>
      <c r="B2982" t="str">
        <f>"003546"</f>
        <v>0</v>
      </c>
      <c r="C2982" t="s">
        <v>5171</v>
      </c>
      <c r="D2982" t="s">
        <v>5172</v>
      </c>
      <c r="E2982" t="str">
        <f>"3509900090641"</f>
        <v>0</v>
      </c>
      <c r="F2982" t="str">
        <f>"000730"</f>
        <v>0</v>
      </c>
      <c r="G2982" t="s">
        <v>21</v>
      </c>
    </row>
    <row r="2983" spans="1:7">
      <c r="A2983">
        <v>2982</v>
      </c>
      <c r="B2983" t="str">
        <f>"003548"</f>
        <v>0</v>
      </c>
      <c r="C2983" t="s">
        <v>1804</v>
      </c>
      <c r="D2983" t="s">
        <v>5173</v>
      </c>
      <c r="E2983" t="str">
        <f>"3500100150268"</f>
        <v>0</v>
      </c>
      <c r="F2983" t="str">
        <f>"000730"</f>
        <v>0</v>
      </c>
      <c r="G2983" t="s">
        <v>21</v>
      </c>
    </row>
    <row r="2984" spans="1:7">
      <c r="A2984">
        <v>2983</v>
      </c>
      <c r="B2984" t="str">
        <f>"003550"</f>
        <v>0</v>
      </c>
      <c r="C2984" t="s">
        <v>2573</v>
      </c>
      <c r="D2984" t="s">
        <v>5174</v>
      </c>
      <c r="E2984" t="str">
        <f>"3509901393531"</f>
        <v>0</v>
      </c>
      <c r="F2984" t="str">
        <f>"000730"</f>
        <v>0</v>
      </c>
      <c r="G2984" t="s">
        <v>21</v>
      </c>
    </row>
    <row r="2985" spans="1:7">
      <c r="A2985">
        <v>2984</v>
      </c>
      <c r="B2985" t="str">
        <f>"003563"</f>
        <v>0</v>
      </c>
      <c r="C2985" t="s">
        <v>5175</v>
      </c>
      <c r="D2985" t="s">
        <v>5176</v>
      </c>
      <c r="E2985" t="str">
        <f>"3509900578911"</f>
        <v>0</v>
      </c>
      <c r="F2985" t="str">
        <f>"000730"</f>
        <v>0</v>
      </c>
      <c r="G2985" t="s">
        <v>21</v>
      </c>
    </row>
    <row r="2986" spans="1:7">
      <c r="A2986">
        <v>2985</v>
      </c>
      <c r="B2986" t="str">
        <f>"003624"</f>
        <v>0</v>
      </c>
      <c r="C2986" t="s">
        <v>181</v>
      </c>
      <c r="D2986" t="s">
        <v>5177</v>
      </c>
      <c r="E2986" t="str">
        <f>"3100200167743"</f>
        <v>0</v>
      </c>
      <c r="F2986" t="str">
        <f>"000730"</f>
        <v>0</v>
      </c>
      <c r="G2986" t="s">
        <v>21</v>
      </c>
    </row>
    <row r="2987" spans="1:7">
      <c r="A2987">
        <v>2986</v>
      </c>
      <c r="B2987" t="str">
        <f>"003738"</f>
        <v>0</v>
      </c>
      <c r="C2987" t="s">
        <v>5178</v>
      </c>
      <c r="D2987" t="s">
        <v>5179</v>
      </c>
      <c r="E2987" t="str">
        <f>"3501700125214"</f>
        <v>0</v>
      </c>
      <c r="F2987" t="str">
        <f>"000730"</f>
        <v>0</v>
      </c>
      <c r="G2987" t="s">
        <v>21</v>
      </c>
    </row>
    <row r="2988" spans="1:7">
      <c r="A2988">
        <v>2987</v>
      </c>
      <c r="B2988" t="str">
        <f>"003740"</f>
        <v>0</v>
      </c>
      <c r="C2988" t="s">
        <v>1260</v>
      </c>
      <c r="D2988" t="s">
        <v>5180</v>
      </c>
      <c r="E2988" t="str">
        <f>"3500700181865"</f>
        <v>0</v>
      </c>
      <c r="F2988" t="str">
        <f>"000730"</f>
        <v>0</v>
      </c>
      <c r="G2988" t="s">
        <v>21</v>
      </c>
    </row>
    <row r="2989" spans="1:7">
      <c r="A2989">
        <v>2988</v>
      </c>
      <c r="B2989" t="str">
        <f>"003910"</f>
        <v>0</v>
      </c>
      <c r="C2989" t="s">
        <v>5181</v>
      </c>
      <c r="D2989" t="s">
        <v>5182</v>
      </c>
      <c r="E2989" t="str">
        <f>"3409700029922"</f>
        <v>0</v>
      </c>
      <c r="F2989" t="str">
        <f>"000730"</f>
        <v>0</v>
      </c>
      <c r="G2989" t="s">
        <v>21</v>
      </c>
    </row>
    <row r="2990" spans="1:7">
      <c r="A2990">
        <v>2989</v>
      </c>
      <c r="B2990" t="str">
        <f>"003927"</f>
        <v>0</v>
      </c>
      <c r="C2990" t="s">
        <v>1628</v>
      </c>
      <c r="D2990" t="s">
        <v>5183</v>
      </c>
      <c r="E2990" t="str">
        <f>"3120101236615"</f>
        <v>0</v>
      </c>
      <c r="F2990" t="str">
        <f>"000730"</f>
        <v>0</v>
      </c>
      <c r="G2990" t="s">
        <v>21</v>
      </c>
    </row>
    <row r="2991" spans="1:7">
      <c r="A2991">
        <v>2990</v>
      </c>
      <c r="B2991" t="str">
        <f>"003976"</f>
        <v>0</v>
      </c>
      <c r="C2991" t="s">
        <v>5184</v>
      </c>
      <c r="D2991" t="s">
        <v>5185</v>
      </c>
      <c r="E2991" t="str">
        <f>"3500200566342"</f>
        <v>0</v>
      </c>
      <c r="F2991" t="str">
        <f>"000730"</f>
        <v>0</v>
      </c>
      <c r="G2991" t="s">
        <v>21</v>
      </c>
    </row>
    <row r="2992" spans="1:7">
      <c r="A2992">
        <v>2991</v>
      </c>
      <c r="B2992" t="str">
        <f>"004074"</f>
        <v>0</v>
      </c>
      <c r="C2992" t="s">
        <v>755</v>
      </c>
      <c r="D2992" t="s">
        <v>5186</v>
      </c>
      <c r="E2992" t="str">
        <f>"3630200045074"</f>
        <v>0</v>
      </c>
      <c r="F2992" t="str">
        <f>"000730"</f>
        <v>0</v>
      </c>
      <c r="G2992" t="s">
        <v>21</v>
      </c>
    </row>
    <row r="2993" spans="1:7">
      <c r="A2993">
        <v>2992</v>
      </c>
      <c r="B2993" t="str">
        <f>"004087"</f>
        <v>0</v>
      </c>
      <c r="C2993" t="s">
        <v>3040</v>
      </c>
      <c r="D2993" t="s">
        <v>5187</v>
      </c>
      <c r="E2993" t="str">
        <f>"5500700007667"</f>
        <v>0</v>
      </c>
      <c r="F2993" t="str">
        <f>"000730"</f>
        <v>0</v>
      </c>
      <c r="G2993" t="s">
        <v>21</v>
      </c>
    </row>
    <row r="2994" spans="1:7">
      <c r="A2994">
        <v>2993</v>
      </c>
      <c r="B2994" t="str">
        <f>"004200"</f>
        <v>0</v>
      </c>
      <c r="C2994" t="s">
        <v>5188</v>
      </c>
      <c r="D2994" t="s">
        <v>5189</v>
      </c>
      <c r="E2994" t="str">
        <f>"3609900685171"</f>
        <v>0</v>
      </c>
      <c r="F2994" t="str">
        <f>"000730"</f>
        <v>0</v>
      </c>
      <c r="G2994" t="s">
        <v>21</v>
      </c>
    </row>
    <row r="2995" spans="1:7">
      <c r="A2995">
        <v>2994</v>
      </c>
      <c r="B2995" t="str">
        <f>"004527"</f>
        <v>0</v>
      </c>
      <c r="C2995" t="s">
        <v>1001</v>
      </c>
      <c r="D2995" t="s">
        <v>5190</v>
      </c>
      <c r="E2995" t="str">
        <f>"3500200473590"</f>
        <v>0</v>
      </c>
      <c r="F2995" t="str">
        <f>"000730"</f>
        <v>0</v>
      </c>
      <c r="G2995" t="s">
        <v>21</v>
      </c>
    </row>
    <row r="2996" spans="1:7">
      <c r="A2996">
        <v>2995</v>
      </c>
      <c r="B2996" t="str">
        <f>"004544"</f>
        <v>0</v>
      </c>
      <c r="C2996" t="s">
        <v>5191</v>
      </c>
      <c r="D2996" t="s">
        <v>5192</v>
      </c>
      <c r="E2996" t="str">
        <f>"3540200240072"</f>
        <v>0</v>
      </c>
      <c r="F2996" t="str">
        <f>"000730"</f>
        <v>0</v>
      </c>
      <c r="G2996" t="s">
        <v>21</v>
      </c>
    </row>
    <row r="2997" spans="1:7">
      <c r="A2997">
        <v>2996</v>
      </c>
      <c r="B2997" t="str">
        <f>"004589"</f>
        <v>0</v>
      </c>
      <c r="C2997" t="s">
        <v>5193</v>
      </c>
      <c r="D2997" t="s">
        <v>5194</v>
      </c>
      <c r="E2997" t="str">
        <f>"4509900003371"</f>
        <v>0</v>
      </c>
      <c r="F2997" t="str">
        <f>"000730"</f>
        <v>0</v>
      </c>
      <c r="G2997" t="s">
        <v>21</v>
      </c>
    </row>
    <row r="2998" spans="1:7">
      <c r="A2998">
        <v>2997</v>
      </c>
      <c r="B2998" t="str">
        <f>"004613"</f>
        <v>0</v>
      </c>
      <c r="C2998" t="s">
        <v>5195</v>
      </c>
      <c r="D2998" t="s">
        <v>2661</v>
      </c>
      <c r="E2998" t="str">
        <f>"3520100300111"</f>
        <v>0</v>
      </c>
      <c r="F2998" t="str">
        <f>"000730"</f>
        <v>0</v>
      </c>
      <c r="G2998" t="s">
        <v>21</v>
      </c>
    </row>
    <row r="2999" spans="1:7">
      <c r="A2999">
        <v>2998</v>
      </c>
      <c r="B2999" t="str">
        <f>"004652"</f>
        <v>0</v>
      </c>
      <c r="C2999" t="s">
        <v>1949</v>
      </c>
      <c r="D2999" t="s">
        <v>5196</v>
      </c>
      <c r="E2999" t="str">
        <f>"3509901097177"</f>
        <v>0</v>
      </c>
      <c r="F2999" t="str">
        <f>"000730"</f>
        <v>0</v>
      </c>
      <c r="G2999" t="s">
        <v>21</v>
      </c>
    </row>
    <row r="3000" spans="1:7">
      <c r="A3000">
        <v>2999</v>
      </c>
      <c r="B3000" t="str">
        <f>"004682"</f>
        <v>0</v>
      </c>
      <c r="C3000" t="s">
        <v>2333</v>
      </c>
      <c r="D3000" t="s">
        <v>666</v>
      </c>
      <c r="E3000" t="str">
        <f>"3509901393515"</f>
        <v>0</v>
      </c>
      <c r="F3000" t="str">
        <f>"000730"</f>
        <v>0</v>
      </c>
      <c r="G3000" t="s">
        <v>21</v>
      </c>
    </row>
    <row r="3001" spans="1:7">
      <c r="A3001">
        <v>3000</v>
      </c>
      <c r="B3001" t="str">
        <f>"004800"</f>
        <v>0</v>
      </c>
      <c r="C3001" t="s">
        <v>4355</v>
      </c>
      <c r="D3001" t="s">
        <v>5197</v>
      </c>
      <c r="E3001" t="str">
        <f>"5501590005372"</f>
        <v>0</v>
      </c>
      <c r="F3001" t="str">
        <f>"000730"</f>
        <v>0</v>
      </c>
      <c r="G3001" t="s">
        <v>21</v>
      </c>
    </row>
    <row r="3002" spans="1:7">
      <c r="A3002">
        <v>3001</v>
      </c>
      <c r="B3002" t="str">
        <f>"004930"</f>
        <v>0</v>
      </c>
      <c r="C3002" t="s">
        <v>5198</v>
      </c>
      <c r="D3002" t="s">
        <v>5199</v>
      </c>
      <c r="E3002" t="str">
        <f>"3501200976851"</f>
        <v>0</v>
      </c>
      <c r="F3002" t="str">
        <f>"000730"</f>
        <v>0</v>
      </c>
      <c r="G3002" t="s">
        <v>21</v>
      </c>
    </row>
    <row r="3003" spans="1:7">
      <c r="A3003">
        <v>3002</v>
      </c>
      <c r="B3003" t="str">
        <f>"004966"</f>
        <v>0</v>
      </c>
      <c r="C3003" t="s">
        <v>4173</v>
      </c>
      <c r="D3003" t="s">
        <v>5200</v>
      </c>
      <c r="E3003" t="str">
        <f>"3500600186458"</f>
        <v>0</v>
      </c>
      <c r="F3003" t="str">
        <f>"000730"</f>
        <v>0</v>
      </c>
      <c r="G3003" t="s">
        <v>21</v>
      </c>
    </row>
    <row r="3004" spans="1:7">
      <c r="A3004">
        <v>3003</v>
      </c>
      <c r="B3004" t="str">
        <f>"004968"</f>
        <v>0</v>
      </c>
      <c r="C3004" t="s">
        <v>5201</v>
      </c>
      <c r="D3004" t="s">
        <v>5202</v>
      </c>
      <c r="E3004" t="str">
        <f>"3500300153546"</f>
        <v>0</v>
      </c>
      <c r="F3004" t="str">
        <f>"000730"</f>
        <v>0</v>
      </c>
      <c r="G3004" t="s">
        <v>21</v>
      </c>
    </row>
    <row r="3005" spans="1:7">
      <c r="A3005">
        <v>3004</v>
      </c>
      <c r="B3005" t="str">
        <f>"005076"</f>
        <v>0</v>
      </c>
      <c r="C3005" t="s">
        <v>5203</v>
      </c>
      <c r="D3005" t="s">
        <v>5204</v>
      </c>
      <c r="E3005" t="str">
        <f>"3500600396967"</f>
        <v>0</v>
      </c>
      <c r="F3005" t="str">
        <f>"000730"</f>
        <v>0</v>
      </c>
      <c r="G3005" t="s">
        <v>21</v>
      </c>
    </row>
    <row r="3006" spans="1:7">
      <c r="A3006">
        <v>3005</v>
      </c>
      <c r="B3006" t="str">
        <f>"005310"</f>
        <v>0</v>
      </c>
      <c r="C3006" t="s">
        <v>5205</v>
      </c>
      <c r="D3006" t="s">
        <v>5206</v>
      </c>
      <c r="E3006" t="str">
        <f>"3570400153807"</f>
        <v>0</v>
      </c>
      <c r="F3006" t="str">
        <f>"000730"</f>
        <v>0</v>
      </c>
      <c r="G3006" t="s">
        <v>21</v>
      </c>
    </row>
    <row r="3007" spans="1:7">
      <c r="A3007">
        <v>3006</v>
      </c>
      <c r="B3007" t="str">
        <f>"005386"</f>
        <v>0</v>
      </c>
      <c r="C3007" t="s">
        <v>3801</v>
      </c>
      <c r="D3007" t="s">
        <v>5207</v>
      </c>
      <c r="E3007" t="str">
        <f>"3509900920899"</f>
        <v>0</v>
      </c>
      <c r="F3007" t="str">
        <f>"000730"</f>
        <v>0</v>
      </c>
      <c r="G3007" t="s">
        <v>21</v>
      </c>
    </row>
    <row r="3008" spans="1:7">
      <c r="A3008">
        <v>3007</v>
      </c>
      <c r="B3008" t="str">
        <f>"005563"</f>
        <v>0</v>
      </c>
      <c r="C3008" t="s">
        <v>5208</v>
      </c>
      <c r="D3008" t="s">
        <v>5209</v>
      </c>
      <c r="E3008" t="str">
        <f>"4509900004866"</f>
        <v>0</v>
      </c>
      <c r="F3008" t="str">
        <f>"000730"</f>
        <v>0</v>
      </c>
      <c r="G3008" t="s">
        <v>21</v>
      </c>
    </row>
    <row r="3009" spans="1:7">
      <c r="A3009">
        <v>3008</v>
      </c>
      <c r="B3009" t="str">
        <f>"005606"</f>
        <v>0</v>
      </c>
      <c r="C3009" t="s">
        <v>5210</v>
      </c>
      <c r="D3009" t="s">
        <v>4663</v>
      </c>
      <c r="E3009" t="str">
        <f>"3509900685229"</f>
        <v>0</v>
      </c>
      <c r="F3009" t="str">
        <f>"000730"</f>
        <v>0</v>
      </c>
      <c r="G3009" t="s">
        <v>21</v>
      </c>
    </row>
    <row r="3010" spans="1:7">
      <c r="A3010">
        <v>3009</v>
      </c>
      <c r="B3010" t="str">
        <f>"005610"</f>
        <v>0</v>
      </c>
      <c r="C3010" t="s">
        <v>2371</v>
      </c>
      <c r="D3010" t="s">
        <v>5211</v>
      </c>
      <c r="E3010" t="str">
        <f>"3500200783343"</f>
        <v>0</v>
      </c>
      <c r="F3010" t="str">
        <f>"000730"</f>
        <v>0</v>
      </c>
      <c r="G3010" t="s">
        <v>21</v>
      </c>
    </row>
    <row r="3011" spans="1:7">
      <c r="A3011">
        <v>3010</v>
      </c>
      <c r="B3011" t="str">
        <f>"005758"</f>
        <v>0</v>
      </c>
      <c r="C3011" t="s">
        <v>5212</v>
      </c>
      <c r="D3011" t="s">
        <v>5213</v>
      </c>
      <c r="E3011" t="str">
        <f>"3500200784226"</f>
        <v>0</v>
      </c>
      <c r="F3011" t="str">
        <f>"000730"</f>
        <v>0</v>
      </c>
      <c r="G3011" t="s">
        <v>21</v>
      </c>
    </row>
    <row r="3012" spans="1:7">
      <c r="A3012">
        <v>3011</v>
      </c>
      <c r="B3012" t="str">
        <f>"005803"</f>
        <v>0</v>
      </c>
      <c r="C3012" t="s">
        <v>5214</v>
      </c>
      <c r="D3012" t="s">
        <v>5215</v>
      </c>
      <c r="E3012" t="str">
        <f>"3520800071115"</f>
        <v>0</v>
      </c>
      <c r="F3012" t="str">
        <f>"000730"</f>
        <v>0</v>
      </c>
      <c r="G3012" t="s">
        <v>21</v>
      </c>
    </row>
    <row r="3013" spans="1:7">
      <c r="A3013">
        <v>3012</v>
      </c>
      <c r="B3013" t="str">
        <f>"005832"</f>
        <v>0</v>
      </c>
      <c r="C3013" t="s">
        <v>5216</v>
      </c>
      <c r="D3013" t="s">
        <v>5217</v>
      </c>
      <c r="E3013" t="str">
        <f>"3501200591143"</f>
        <v>0</v>
      </c>
      <c r="F3013" t="str">
        <f>"000730"</f>
        <v>0</v>
      </c>
      <c r="G3013" t="s">
        <v>21</v>
      </c>
    </row>
    <row r="3014" spans="1:7">
      <c r="A3014">
        <v>3013</v>
      </c>
      <c r="B3014" t="str">
        <f>"005836"</f>
        <v>0</v>
      </c>
      <c r="C3014" t="s">
        <v>3546</v>
      </c>
      <c r="D3014" t="s">
        <v>5218</v>
      </c>
      <c r="E3014" t="str">
        <f>"3501200124715"</f>
        <v>0</v>
      </c>
      <c r="F3014" t="str">
        <f>"000730"</f>
        <v>0</v>
      </c>
      <c r="G3014" t="s">
        <v>21</v>
      </c>
    </row>
    <row r="3015" spans="1:7">
      <c r="A3015">
        <v>3014</v>
      </c>
      <c r="B3015" t="str">
        <f>"005837"</f>
        <v>0</v>
      </c>
      <c r="C3015" t="s">
        <v>5219</v>
      </c>
      <c r="D3015" t="s">
        <v>2274</v>
      </c>
      <c r="E3015" t="str">
        <f>"3509900472390"</f>
        <v>0</v>
      </c>
      <c r="F3015" t="str">
        <f>"000730"</f>
        <v>0</v>
      </c>
      <c r="G3015" t="s">
        <v>21</v>
      </c>
    </row>
    <row r="3016" spans="1:7">
      <c r="A3016">
        <v>3015</v>
      </c>
      <c r="B3016" t="str">
        <f>"006112"</f>
        <v>0</v>
      </c>
      <c r="C3016" t="s">
        <v>5220</v>
      </c>
      <c r="D3016" t="s">
        <v>5221</v>
      </c>
      <c r="E3016" t="str">
        <f>"3959900227243"</f>
        <v>0</v>
      </c>
      <c r="F3016" t="str">
        <f>"000730"</f>
        <v>0</v>
      </c>
      <c r="G3016" t="s">
        <v>21</v>
      </c>
    </row>
    <row r="3017" spans="1:7">
      <c r="A3017">
        <v>3016</v>
      </c>
      <c r="B3017" t="str">
        <f>"006123"</f>
        <v>0</v>
      </c>
      <c r="C3017" t="s">
        <v>5222</v>
      </c>
      <c r="D3017" t="s">
        <v>5223</v>
      </c>
      <c r="E3017" t="str">
        <f>"3520100946178"</f>
        <v>0</v>
      </c>
      <c r="F3017" t="str">
        <f>"000730"</f>
        <v>0</v>
      </c>
      <c r="G3017" t="s">
        <v>21</v>
      </c>
    </row>
    <row r="3018" spans="1:7">
      <c r="A3018">
        <v>3017</v>
      </c>
      <c r="B3018" t="str">
        <f>"006173"</f>
        <v>0</v>
      </c>
      <c r="C3018" t="s">
        <v>5224</v>
      </c>
      <c r="D3018" t="s">
        <v>5225</v>
      </c>
      <c r="E3018" t="str">
        <f>"3500600030253"</f>
        <v>0</v>
      </c>
      <c r="F3018" t="str">
        <f>"000730"</f>
        <v>0</v>
      </c>
      <c r="G3018" t="s">
        <v>21</v>
      </c>
    </row>
    <row r="3019" spans="1:7">
      <c r="A3019">
        <v>3018</v>
      </c>
      <c r="B3019" t="str">
        <f>"006176"</f>
        <v>0</v>
      </c>
      <c r="C3019" t="s">
        <v>789</v>
      </c>
      <c r="D3019" t="s">
        <v>5226</v>
      </c>
      <c r="E3019" t="str">
        <f>"3500200663186"</f>
        <v>0</v>
      </c>
      <c r="F3019" t="str">
        <f>"000730"</f>
        <v>0</v>
      </c>
      <c r="G3019" t="s">
        <v>21</v>
      </c>
    </row>
    <row r="3020" spans="1:7">
      <c r="A3020">
        <v>3019</v>
      </c>
      <c r="B3020" t="str">
        <f>"006180"</f>
        <v>0</v>
      </c>
      <c r="C3020" t="s">
        <v>5227</v>
      </c>
      <c r="D3020" t="s">
        <v>5228</v>
      </c>
      <c r="E3020" t="str">
        <f>"3500200488899"</f>
        <v>0</v>
      </c>
      <c r="F3020" t="str">
        <f>"000730"</f>
        <v>0</v>
      </c>
      <c r="G3020" t="s">
        <v>21</v>
      </c>
    </row>
    <row r="3021" spans="1:7">
      <c r="A3021">
        <v>3020</v>
      </c>
      <c r="B3021" t="str">
        <f>"006291"</f>
        <v>0</v>
      </c>
      <c r="C3021" t="s">
        <v>5229</v>
      </c>
      <c r="D3021" t="s">
        <v>5230</v>
      </c>
      <c r="E3021" t="str">
        <f>"3501400612420"</f>
        <v>0</v>
      </c>
      <c r="F3021" t="str">
        <f>"000730"</f>
        <v>0</v>
      </c>
      <c r="G3021" t="s">
        <v>21</v>
      </c>
    </row>
    <row r="3022" spans="1:7">
      <c r="A3022">
        <v>3021</v>
      </c>
      <c r="B3022" t="str">
        <f>"006354"</f>
        <v>0</v>
      </c>
      <c r="C3022" t="s">
        <v>5231</v>
      </c>
      <c r="D3022" t="s">
        <v>5232</v>
      </c>
      <c r="E3022" t="str">
        <f>"3500700467190"</f>
        <v>0</v>
      </c>
      <c r="F3022" t="str">
        <f>"000730"</f>
        <v>0</v>
      </c>
      <c r="G3022" t="s">
        <v>21</v>
      </c>
    </row>
    <row r="3023" spans="1:7">
      <c r="A3023">
        <v>3022</v>
      </c>
      <c r="B3023" t="str">
        <f>"006355"</f>
        <v>0</v>
      </c>
      <c r="C3023" t="s">
        <v>655</v>
      </c>
      <c r="D3023" t="s">
        <v>5233</v>
      </c>
      <c r="E3023" t="str">
        <f>"3500700510443"</f>
        <v>0</v>
      </c>
      <c r="F3023" t="str">
        <f>"000730"</f>
        <v>0</v>
      </c>
      <c r="G3023" t="s">
        <v>21</v>
      </c>
    </row>
    <row r="3024" spans="1:7">
      <c r="A3024">
        <v>3023</v>
      </c>
      <c r="B3024" t="str">
        <f>"006559"</f>
        <v>0</v>
      </c>
      <c r="C3024" t="s">
        <v>5234</v>
      </c>
      <c r="D3024" t="s">
        <v>5235</v>
      </c>
      <c r="E3024" t="str">
        <f>"3501200428561"</f>
        <v>0</v>
      </c>
      <c r="F3024" t="str">
        <f>"000730"</f>
        <v>0</v>
      </c>
      <c r="G3024" t="s">
        <v>21</v>
      </c>
    </row>
    <row r="3025" spans="1:7">
      <c r="A3025">
        <v>3024</v>
      </c>
      <c r="B3025" t="str">
        <f>"006599"</f>
        <v>0</v>
      </c>
      <c r="C3025" t="s">
        <v>5236</v>
      </c>
      <c r="D3025" t="s">
        <v>5237</v>
      </c>
      <c r="E3025" t="str">
        <f>"3600200067388"</f>
        <v>0</v>
      </c>
      <c r="F3025" t="str">
        <f>"000730"</f>
        <v>0</v>
      </c>
      <c r="G3025" t="s">
        <v>21</v>
      </c>
    </row>
    <row r="3026" spans="1:7">
      <c r="A3026">
        <v>3025</v>
      </c>
      <c r="B3026" t="str">
        <f>"006810"</f>
        <v>0</v>
      </c>
      <c r="C3026" t="s">
        <v>5238</v>
      </c>
      <c r="D3026" t="s">
        <v>5239</v>
      </c>
      <c r="E3026" t="str">
        <f>"3501300168889"</f>
        <v>0</v>
      </c>
      <c r="F3026" t="str">
        <f>"000730"</f>
        <v>0</v>
      </c>
      <c r="G3026" t="s">
        <v>21</v>
      </c>
    </row>
    <row r="3027" spans="1:7">
      <c r="A3027">
        <v>3026</v>
      </c>
      <c r="B3027" t="str">
        <f>"006812"</f>
        <v>0</v>
      </c>
      <c r="C3027" t="s">
        <v>5240</v>
      </c>
      <c r="D3027" t="s">
        <v>5241</v>
      </c>
      <c r="E3027" t="str">
        <f>"3501000305597"</f>
        <v>0</v>
      </c>
      <c r="F3027" t="str">
        <f>"000730"</f>
        <v>0</v>
      </c>
      <c r="G3027" t="s">
        <v>21</v>
      </c>
    </row>
    <row r="3028" spans="1:7">
      <c r="A3028">
        <v>3027</v>
      </c>
      <c r="B3028" t="str">
        <f>"006834"</f>
        <v>0</v>
      </c>
      <c r="C3028" t="s">
        <v>5242</v>
      </c>
      <c r="D3028" t="s">
        <v>5243</v>
      </c>
      <c r="E3028" t="str">
        <f>"3500100150314"</f>
        <v>0</v>
      </c>
      <c r="F3028" t="str">
        <f>"000730"</f>
        <v>0</v>
      </c>
      <c r="G3028" t="s">
        <v>21</v>
      </c>
    </row>
    <row r="3029" spans="1:7">
      <c r="A3029">
        <v>3028</v>
      </c>
      <c r="B3029" t="str">
        <f>"006851"</f>
        <v>0</v>
      </c>
      <c r="C3029" t="s">
        <v>5244</v>
      </c>
      <c r="D3029" t="s">
        <v>5245</v>
      </c>
      <c r="E3029" t="str">
        <f>"3650900136307"</f>
        <v>0</v>
      </c>
      <c r="F3029" t="str">
        <f>"000730"</f>
        <v>0</v>
      </c>
      <c r="G3029" t="s">
        <v>21</v>
      </c>
    </row>
    <row r="3030" spans="1:7">
      <c r="A3030">
        <v>3029</v>
      </c>
      <c r="B3030" t="str">
        <f>"007189"</f>
        <v>0</v>
      </c>
      <c r="C3030" t="s">
        <v>391</v>
      </c>
      <c r="D3030" t="s">
        <v>5246</v>
      </c>
      <c r="E3030" t="str">
        <f>"3501400434238"</f>
        <v>0</v>
      </c>
      <c r="F3030" t="str">
        <f>"000730"</f>
        <v>0</v>
      </c>
      <c r="G3030" t="s">
        <v>21</v>
      </c>
    </row>
    <row r="3031" spans="1:7">
      <c r="A3031">
        <v>3030</v>
      </c>
      <c r="B3031" t="str">
        <f>"007194"</f>
        <v>0</v>
      </c>
      <c r="C3031" t="s">
        <v>5247</v>
      </c>
      <c r="D3031" t="s">
        <v>5248</v>
      </c>
      <c r="E3031" t="str">
        <f>"3580500014230"</f>
        <v>0</v>
      </c>
      <c r="F3031" t="str">
        <f>"000730"</f>
        <v>0</v>
      </c>
      <c r="G3031" t="s">
        <v>21</v>
      </c>
    </row>
    <row r="3032" spans="1:7">
      <c r="A3032">
        <v>3031</v>
      </c>
      <c r="B3032" t="str">
        <f>"007266"</f>
        <v>0</v>
      </c>
      <c r="C3032" t="s">
        <v>5249</v>
      </c>
      <c r="D3032" t="s">
        <v>5250</v>
      </c>
      <c r="E3032" t="str">
        <f>"3500400084546"</f>
        <v>0</v>
      </c>
      <c r="F3032" t="str">
        <f>"000730"</f>
        <v>0</v>
      </c>
      <c r="G3032" t="s">
        <v>21</v>
      </c>
    </row>
    <row r="3033" spans="1:7">
      <c r="A3033">
        <v>3032</v>
      </c>
      <c r="B3033" t="str">
        <f>"007276"</f>
        <v>0</v>
      </c>
      <c r="C3033" t="s">
        <v>837</v>
      </c>
      <c r="D3033" t="s">
        <v>5251</v>
      </c>
      <c r="E3033" t="str">
        <f>"3579900173589"</f>
        <v>0</v>
      </c>
      <c r="F3033" t="str">
        <f>"000730"</f>
        <v>0</v>
      </c>
      <c r="G3033" t="s">
        <v>21</v>
      </c>
    </row>
    <row r="3034" spans="1:7">
      <c r="A3034">
        <v>3033</v>
      </c>
      <c r="B3034" t="str">
        <f>"007473"</f>
        <v>0</v>
      </c>
      <c r="C3034" t="s">
        <v>4465</v>
      </c>
      <c r="D3034" t="s">
        <v>1793</v>
      </c>
      <c r="E3034" t="str">
        <f>"3101600041811"</f>
        <v>0</v>
      </c>
      <c r="F3034" t="str">
        <f>"000730"</f>
        <v>0</v>
      </c>
      <c r="G3034" t="s">
        <v>21</v>
      </c>
    </row>
    <row r="3035" spans="1:7">
      <c r="A3035">
        <v>3034</v>
      </c>
      <c r="B3035" t="str">
        <f>"007557"</f>
        <v>0</v>
      </c>
      <c r="C3035" t="s">
        <v>2592</v>
      </c>
      <c r="D3035" t="s">
        <v>5252</v>
      </c>
      <c r="E3035" t="str">
        <f>"5609990013395"</f>
        <v>0</v>
      </c>
      <c r="F3035" t="str">
        <f>"000730"</f>
        <v>0</v>
      </c>
      <c r="G3035" t="s">
        <v>21</v>
      </c>
    </row>
    <row r="3036" spans="1:7">
      <c r="A3036">
        <v>3035</v>
      </c>
      <c r="B3036" t="str">
        <f>"007599"</f>
        <v>0</v>
      </c>
      <c r="C3036" t="s">
        <v>5253</v>
      </c>
      <c r="D3036" t="s">
        <v>5254</v>
      </c>
      <c r="E3036" t="str">
        <f>"3619900153706"</f>
        <v>0</v>
      </c>
      <c r="F3036" t="str">
        <f>"000730"</f>
        <v>0</v>
      </c>
      <c r="G3036" t="s">
        <v>21</v>
      </c>
    </row>
    <row r="3037" spans="1:7">
      <c r="A3037">
        <v>3036</v>
      </c>
      <c r="B3037" t="str">
        <f>"007611"</f>
        <v>0</v>
      </c>
      <c r="C3037" t="s">
        <v>370</v>
      </c>
      <c r="D3037" t="s">
        <v>5255</v>
      </c>
      <c r="E3037" t="str">
        <f>"3560200077431"</f>
        <v>0</v>
      </c>
      <c r="F3037" t="str">
        <f>"000730"</f>
        <v>0</v>
      </c>
      <c r="G3037" t="s">
        <v>21</v>
      </c>
    </row>
    <row r="3038" spans="1:7">
      <c r="A3038">
        <v>3037</v>
      </c>
      <c r="B3038" t="str">
        <f>"007681"</f>
        <v>0</v>
      </c>
      <c r="C3038" t="s">
        <v>5256</v>
      </c>
      <c r="D3038" t="s">
        <v>5257</v>
      </c>
      <c r="E3038" t="str">
        <f>"3509901393523"</f>
        <v>0</v>
      </c>
      <c r="F3038" t="str">
        <f>"000730"</f>
        <v>0</v>
      </c>
      <c r="G3038" t="s">
        <v>21</v>
      </c>
    </row>
    <row r="3039" spans="1:7">
      <c r="A3039">
        <v>3038</v>
      </c>
      <c r="B3039" t="str">
        <f>"007729"</f>
        <v>0</v>
      </c>
      <c r="C3039" t="s">
        <v>5258</v>
      </c>
      <c r="D3039" t="s">
        <v>5259</v>
      </c>
      <c r="E3039" t="str">
        <f>"3500900761016"</f>
        <v>0</v>
      </c>
      <c r="F3039" t="str">
        <f>"000730"</f>
        <v>0</v>
      </c>
      <c r="G3039" t="s">
        <v>21</v>
      </c>
    </row>
    <row r="3040" spans="1:7">
      <c r="A3040">
        <v>3039</v>
      </c>
      <c r="B3040" t="str">
        <f>"007923"</f>
        <v>0</v>
      </c>
      <c r="C3040" t="s">
        <v>5260</v>
      </c>
      <c r="D3040" t="s">
        <v>5128</v>
      </c>
      <c r="E3040" t="str">
        <f>"3501300369868"</f>
        <v>0</v>
      </c>
      <c r="F3040" t="str">
        <f>"000730"</f>
        <v>0</v>
      </c>
      <c r="G3040" t="s">
        <v>21</v>
      </c>
    </row>
    <row r="3041" spans="1:7">
      <c r="A3041">
        <v>3040</v>
      </c>
      <c r="B3041" t="str">
        <f>"008004"</f>
        <v>0</v>
      </c>
      <c r="C3041" t="s">
        <v>5261</v>
      </c>
      <c r="D3041" t="s">
        <v>5262</v>
      </c>
      <c r="E3041" t="str">
        <f>"3501200123361"</f>
        <v>0</v>
      </c>
      <c r="F3041" t="str">
        <f>"000730"</f>
        <v>0</v>
      </c>
      <c r="G3041" t="s">
        <v>21</v>
      </c>
    </row>
    <row r="3042" spans="1:7">
      <c r="A3042">
        <v>3041</v>
      </c>
      <c r="B3042" t="str">
        <f>"008005"</f>
        <v>0</v>
      </c>
      <c r="C3042" t="s">
        <v>5263</v>
      </c>
      <c r="D3042" t="s">
        <v>5264</v>
      </c>
      <c r="E3042" t="str">
        <f>"3580400004020"</f>
        <v>0</v>
      </c>
      <c r="F3042" t="str">
        <f>"000730"</f>
        <v>0</v>
      </c>
      <c r="G3042" t="s">
        <v>21</v>
      </c>
    </row>
    <row r="3043" spans="1:7">
      <c r="A3043">
        <v>3042</v>
      </c>
      <c r="B3043" t="str">
        <f>"008099"</f>
        <v>0</v>
      </c>
      <c r="C3043" t="s">
        <v>5265</v>
      </c>
      <c r="D3043" t="s">
        <v>5266</v>
      </c>
      <c r="E3043" t="str">
        <f>"3500100488609"</f>
        <v>0</v>
      </c>
      <c r="F3043" t="str">
        <f>"000730"</f>
        <v>0</v>
      </c>
      <c r="G3043" t="s">
        <v>21</v>
      </c>
    </row>
    <row r="3044" spans="1:7">
      <c r="A3044">
        <v>3043</v>
      </c>
      <c r="B3044" t="str">
        <f>"008119"</f>
        <v>0</v>
      </c>
      <c r="C3044" t="s">
        <v>5267</v>
      </c>
      <c r="D3044" t="s">
        <v>5268</v>
      </c>
      <c r="E3044" t="str">
        <f>"3509900750047"</f>
        <v>0</v>
      </c>
      <c r="F3044" t="str">
        <f>"000730"</f>
        <v>0</v>
      </c>
      <c r="G3044" t="s">
        <v>21</v>
      </c>
    </row>
    <row r="3045" spans="1:7">
      <c r="A3045">
        <v>3044</v>
      </c>
      <c r="B3045" t="str">
        <f>"008135"</f>
        <v>0</v>
      </c>
      <c r="C3045" t="s">
        <v>5269</v>
      </c>
      <c r="D3045" t="s">
        <v>5270</v>
      </c>
      <c r="E3045" t="str">
        <f>"3501300428864"</f>
        <v>0</v>
      </c>
      <c r="F3045" t="str">
        <f>"000730"</f>
        <v>0</v>
      </c>
      <c r="G3045" t="s">
        <v>21</v>
      </c>
    </row>
    <row r="3046" spans="1:7">
      <c r="A3046">
        <v>3045</v>
      </c>
      <c r="B3046" t="str">
        <f>"008139"</f>
        <v>0</v>
      </c>
      <c r="C3046" t="s">
        <v>4799</v>
      </c>
      <c r="D3046" t="s">
        <v>5271</v>
      </c>
      <c r="E3046" t="str">
        <f>"3500900859300"</f>
        <v>0</v>
      </c>
      <c r="F3046" t="str">
        <f>"000730"</f>
        <v>0</v>
      </c>
      <c r="G3046" t="s">
        <v>21</v>
      </c>
    </row>
    <row r="3047" spans="1:7">
      <c r="A3047">
        <v>3046</v>
      </c>
      <c r="B3047" t="str">
        <f>"008214"</f>
        <v>0</v>
      </c>
      <c r="C3047" t="s">
        <v>624</v>
      </c>
      <c r="D3047" t="s">
        <v>5272</v>
      </c>
      <c r="E3047" t="str">
        <f>"3501300742909"</f>
        <v>0</v>
      </c>
      <c r="F3047" t="str">
        <f>"000730"</f>
        <v>0</v>
      </c>
      <c r="G3047" t="s">
        <v>21</v>
      </c>
    </row>
    <row r="3048" spans="1:7">
      <c r="A3048">
        <v>3047</v>
      </c>
      <c r="B3048" t="str">
        <f>"008219"</f>
        <v>0</v>
      </c>
      <c r="C3048" t="s">
        <v>4225</v>
      </c>
      <c r="D3048" t="s">
        <v>5273</v>
      </c>
      <c r="E3048" t="str">
        <f>"3500400169045"</f>
        <v>0</v>
      </c>
      <c r="F3048" t="str">
        <f>"000730"</f>
        <v>0</v>
      </c>
      <c r="G3048" t="s">
        <v>21</v>
      </c>
    </row>
    <row r="3049" spans="1:7">
      <c r="A3049">
        <v>3048</v>
      </c>
      <c r="B3049" t="str">
        <f>"008473"</f>
        <v>0</v>
      </c>
      <c r="C3049" t="s">
        <v>5274</v>
      </c>
      <c r="D3049" t="s">
        <v>5239</v>
      </c>
      <c r="E3049" t="str">
        <f>"3501500514799"</f>
        <v>0</v>
      </c>
      <c r="F3049" t="str">
        <f>"000730"</f>
        <v>0</v>
      </c>
      <c r="G3049" t="s">
        <v>21</v>
      </c>
    </row>
    <row r="3050" spans="1:7">
      <c r="A3050">
        <v>3049</v>
      </c>
      <c r="B3050" t="str">
        <f>"008474"</f>
        <v>0</v>
      </c>
      <c r="C3050" t="s">
        <v>5275</v>
      </c>
      <c r="D3050" t="s">
        <v>5276</v>
      </c>
      <c r="E3050" t="str">
        <f>"3500400166976"</f>
        <v>0</v>
      </c>
      <c r="F3050" t="str">
        <f>"000730"</f>
        <v>0</v>
      </c>
      <c r="G3050" t="s">
        <v>21</v>
      </c>
    </row>
    <row r="3051" spans="1:7">
      <c r="A3051">
        <v>3050</v>
      </c>
      <c r="B3051" t="str">
        <f>"008671"</f>
        <v>0</v>
      </c>
      <c r="C3051" t="s">
        <v>5277</v>
      </c>
      <c r="D3051" t="s">
        <v>5278</v>
      </c>
      <c r="E3051" t="str">
        <f>"5510400002074"</f>
        <v>0</v>
      </c>
      <c r="F3051" t="str">
        <f>"000730"</f>
        <v>0</v>
      </c>
      <c r="G3051" t="s">
        <v>21</v>
      </c>
    </row>
    <row r="3052" spans="1:7">
      <c r="A3052">
        <v>3051</v>
      </c>
      <c r="B3052" t="str">
        <f>"008787"</f>
        <v>0</v>
      </c>
      <c r="C3052" t="s">
        <v>3765</v>
      </c>
      <c r="D3052" t="s">
        <v>5279</v>
      </c>
      <c r="E3052" t="str">
        <f>"3500500262306"</f>
        <v>0</v>
      </c>
      <c r="F3052" t="str">
        <f>"000730"</f>
        <v>0</v>
      </c>
      <c r="G3052" t="s">
        <v>21</v>
      </c>
    </row>
    <row r="3053" spans="1:7">
      <c r="A3053">
        <v>3052</v>
      </c>
      <c r="B3053" t="str">
        <f>"008880"</f>
        <v>0</v>
      </c>
      <c r="C3053" t="s">
        <v>5216</v>
      </c>
      <c r="D3053" t="s">
        <v>5280</v>
      </c>
      <c r="E3053" t="str">
        <f>"3670800580302"</f>
        <v>0</v>
      </c>
      <c r="F3053" t="str">
        <f>"000730"</f>
        <v>0</v>
      </c>
      <c r="G3053" t="s">
        <v>21</v>
      </c>
    </row>
    <row r="3054" spans="1:7">
      <c r="A3054">
        <v>3053</v>
      </c>
      <c r="B3054" t="str">
        <f>"008902"</f>
        <v>0</v>
      </c>
      <c r="C3054" t="s">
        <v>5281</v>
      </c>
      <c r="D3054" t="s">
        <v>5282</v>
      </c>
      <c r="E3054" t="str">
        <f>"3510101221916"</f>
        <v>0</v>
      </c>
      <c r="F3054" t="str">
        <f>"000730"</f>
        <v>0</v>
      </c>
      <c r="G3054" t="s">
        <v>21</v>
      </c>
    </row>
    <row r="3055" spans="1:7">
      <c r="A3055">
        <v>3054</v>
      </c>
      <c r="B3055" t="str">
        <f>"009139"</f>
        <v>0</v>
      </c>
      <c r="C3055" t="s">
        <v>409</v>
      </c>
      <c r="D3055" t="s">
        <v>5283</v>
      </c>
      <c r="E3055" t="str">
        <f>"3500500082219"</f>
        <v>0</v>
      </c>
      <c r="F3055" t="str">
        <f>"000730"</f>
        <v>0</v>
      </c>
      <c r="G3055" t="s">
        <v>21</v>
      </c>
    </row>
    <row r="3056" spans="1:7">
      <c r="A3056">
        <v>3055</v>
      </c>
      <c r="B3056" t="str">
        <f>"009143"</f>
        <v>0</v>
      </c>
      <c r="C3056" t="s">
        <v>5284</v>
      </c>
      <c r="D3056" t="s">
        <v>5285</v>
      </c>
      <c r="E3056" t="str">
        <f>"3520101394799"</f>
        <v>0</v>
      </c>
      <c r="F3056" t="str">
        <f>"000730"</f>
        <v>0</v>
      </c>
      <c r="G3056" t="s">
        <v>21</v>
      </c>
    </row>
    <row r="3057" spans="1:7">
      <c r="A3057">
        <v>3056</v>
      </c>
      <c r="B3057" t="str">
        <f>"009232"</f>
        <v>0</v>
      </c>
      <c r="C3057" t="s">
        <v>5286</v>
      </c>
      <c r="D3057" t="s">
        <v>5174</v>
      </c>
      <c r="E3057" t="str">
        <f>"3500100055320"</f>
        <v>0</v>
      </c>
      <c r="F3057" t="str">
        <f>"000730"</f>
        <v>0</v>
      </c>
      <c r="G3057" t="s">
        <v>21</v>
      </c>
    </row>
    <row r="3058" spans="1:7">
      <c r="A3058">
        <v>3057</v>
      </c>
      <c r="B3058" t="str">
        <f>"009374"</f>
        <v>0</v>
      </c>
      <c r="C3058" t="s">
        <v>5287</v>
      </c>
      <c r="D3058" t="s">
        <v>5288</v>
      </c>
      <c r="E3058" t="str">
        <f>"3501300596414"</f>
        <v>0</v>
      </c>
      <c r="F3058" t="str">
        <f>"000730"</f>
        <v>0</v>
      </c>
      <c r="G3058" t="s">
        <v>21</v>
      </c>
    </row>
    <row r="3059" spans="1:7">
      <c r="A3059">
        <v>3058</v>
      </c>
      <c r="B3059" t="str">
        <f>"009454"</f>
        <v>0</v>
      </c>
      <c r="C3059" t="s">
        <v>326</v>
      </c>
      <c r="D3059" t="s">
        <v>5289</v>
      </c>
      <c r="E3059" t="str">
        <f>"3639900014234"</f>
        <v>0</v>
      </c>
      <c r="F3059" t="str">
        <f>"000730"</f>
        <v>0</v>
      </c>
      <c r="G3059" t="s">
        <v>21</v>
      </c>
    </row>
    <row r="3060" spans="1:7">
      <c r="A3060">
        <v>3059</v>
      </c>
      <c r="B3060" t="str">
        <f>"009498"</f>
        <v>0</v>
      </c>
      <c r="C3060" t="s">
        <v>86</v>
      </c>
      <c r="D3060" t="s">
        <v>5290</v>
      </c>
      <c r="E3060" t="str">
        <f>"3510100073000"</f>
        <v>0</v>
      </c>
      <c r="F3060" t="str">
        <f>"000730"</f>
        <v>0</v>
      </c>
      <c r="G3060" t="s">
        <v>21</v>
      </c>
    </row>
    <row r="3061" spans="1:7">
      <c r="A3061">
        <v>3060</v>
      </c>
      <c r="B3061" t="str">
        <f>"009680"</f>
        <v>0</v>
      </c>
      <c r="C3061" t="s">
        <v>5291</v>
      </c>
      <c r="D3061" t="s">
        <v>5292</v>
      </c>
      <c r="E3061" t="str">
        <f>"3501400617383"</f>
        <v>0</v>
      </c>
      <c r="F3061" t="str">
        <f>"000730"</f>
        <v>0</v>
      </c>
      <c r="G3061" t="s">
        <v>21</v>
      </c>
    </row>
    <row r="3062" spans="1:7">
      <c r="A3062">
        <v>3061</v>
      </c>
      <c r="B3062" t="str">
        <f>"009816"</f>
        <v>0</v>
      </c>
      <c r="C3062" t="s">
        <v>5293</v>
      </c>
      <c r="D3062" t="s">
        <v>5294</v>
      </c>
      <c r="E3062" t="str">
        <f>"3301300542693"</f>
        <v>0</v>
      </c>
      <c r="F3062" t="str">
        <f>"000730"</f>
        <v>0</v>
      </c>
      <c r="G3062" t="s">
        <v>21</v>
      </c>
    </row>
    <row r="3063" spans="1:7">
      <c r="A3063">
        <v>3062</v>
      </c>
      <c r="B3063" t="str">
        <f>"009845"</f>
        <v>0</v>
      </c>
      <c r="C3063" t="s">
        <v>5295</v>
      </c>
      <c r="D3063" t="s">
        <v>5296</v>
      </c>
      <c r="E3063" t="str">
        <f>"3501400438403"</f>
        <v>0</v>
      </c>
      <c r="F3063" t="str">
        <f>"000730"</f>
        <v>0</v>
      </c>
      <c r="G3063" t="s">
        <v>21</v>
      </c>
    </row>
    <row r="3064" spans="1:7">
      <c r="A3064">
        <v>3063</v>
      </c>
      <c r="B3064" t="str">
        <f>"009878"</f>
        <v>0</v>
      </c>
      <c r="C3064" t="s">
        <v>825</v>
      </c>
      <c r="D3064" t="s">
        <v>5297</v>
      </c>
      <c r="E3064" t="str">
        <f>"3500500044392"</f>
        <v>0</v>
      </c>
      <c r="F3064" t="str">
        <f>"000730"</f>
        <v>0</v>
      </c>
      <c r="G3064" t="s">
        <v>21</v>
      </c>
    </row>
    <row r="3065" spans="1:7">
      <c r="A3065">
        <v>3064</v>
      </c>
      <c r="B3065" t="str">
        <f>"009880"</f>
        <v>0</v>
      </c>
      <c r="C3065" t="s">
        <v>24</v>
      </c>
      <c r="D3065" t="s">
        <v>5298</v>
      </c>
      <c r="E3065" t="str">
        <f>"3510600835634"</f>
        <v>0</v>
      </c>
      <c r="F3065" t="str">
        <f>"000730"</f>
        <v>0</v>
      </c>
      <c r="G3065" t="s">
        <v>21</v>
      </c>
    </row>
    <row r="3066" spans="1:7">
      <c r="A3066">
        <v>3065</v>
      </c>
      <c r="B3066" t="str">
        <f>"010072"</f>
        <v>0</v>
      </c>
      <c r="C3066" t="s">
        <v>1800</v>
      </c>
      <c r="D3066" t="s">
        <v>5299</v>
      </c>
      <c r="E3066" t="str">
        <f>"3451100043161"</f>
        <v>0</v>
      </c>
      <c r="F3066" t="str">
        <f>"000730"</f>
        <v>0</v>
      </c>
      <c r="G3066" t="s">
        <v>21</v>
      </c>
    </row>
    <row r="3067" spans="1:7">
      <c r="A3067">
        <v>3066</v>
      </c>
      <c r="B3067" t="str">
        <f>"010108"</f>
        <v>0</v>
      </c>
      <c r="C3067" t="s">
        <v>957</v>
      </c>
      <c r="D3067" t="s">
        <v>5300</v>
      </c>
      <c r="E3067" t="str">
        <f>"3620100637051"</f>
        <v>0</v>
      </c>
      <c r="F3067" t="str">
        <f>"000730"</f>
        <v>0</v>
      </c>
      <c r="G3067" t="s">
        <v>21</v>
      </c>
    </row>
    <row r="3068" spans="1:7">
      <c r="A3068">
        <v>3067</v>
      </c>
      <c r="B3068" t="str">
        <f>"010183"</f>
        <v>0</v>
      </c>
      <c r="C3068" t="s">
        <v>5301</v>
      </c>
      <c r="D3068" t="s">
        <v>5302</v>
      </c>
      <c r="E3068" t="str">
        <f>"3719900215000"</f>
        <v>0</v>
      </c>
      <c r="F3068" t="str">
        <f>"000730"</f>
        <v>0</v>
      </c>
      <c r="G3068" t="s">
        <v>21</v>
      </c>
    </row>
    <row r="3069" spans="1:7">
      <c r="A3069">
        <v>3068</v>
      </c>
      <c r="B3069" t="str">
        <f>"010262"</f>
        <v>0</v>
      </c>
      <c r="C3069" t="s">
        <v>5303</v>
      </c>
      <c r="D3069" t="s">
        <v>5304</v>
      </c>
      <c r="E3069" t="str">
        <f>"5101700037013"</f>
        <v>0</v>
      </c>
      <c r="F3069" t="str">
        <f>"000730"</f>
        <v>0</v>
      </c>
      <c r="G3069" t="s">
        <v>21</v>
      </c>
    </row>
    <row r="3070" spans="1:7">
      <c r="A3070">
        <v>3069</v>
      </c>
      <c r="B3070" t="str">
        <f>"010427"</f>
        <v>0</v>
      </c>
      <c r="C3070" t="s">
        <v>3801</v>
      </c>
      <c r="D3070" t="s">
        <v>5262</v>
      </c>
      <c r="E3070" t="str">
        <f>"3501400627893"</f>
        <v>0</v>
      </c>
      <c r="F3070" t="str">
        <f>"000730"</f>
        <v>0</v>
      </c>
      <c r="G3070" t="s">
        <v>21</v>
      </c>
    </row>
    <row r="3071" spans="1:7">
      <c r="A3071">
        <v>3070</v>
      </c>
      <c r="B3071" t="str">
        <f>"010474"</f>
        <v>0</v>
      </c>
      <c r="C3071" t="s">
        <v>389</v>
      </c>
      <c r="D3071" t="s">
        <v>5305</v>
      </c>
      <c r="E3071" t="str">
        <f>"3501900580799"</f>
        <v>0</v>
      </c>
      <c r="F3071" t="str">
        <f>"000730"</f>
        <v>0</v>
      </c>
      <c r="G3071" t="s">
        <v>21</v>
      </c>
    </row>
    <row r="3072" spans="1:7">
      <c r="A3072">
        <v>3071</v>
      </c>
      <c r="B3072" t="str">
        <f>"010533"</f>
        <v>0</v>
      </c>
      <c r="C3072" t="s">
        <v>2216</v>
      </c>
      <c r="D3072" t="s">
        <v>5306</v>
      </c>
      <c r="E3072" t="str">
        <f>"5580600004526"</f>
        <v>0</v>
      </c>
      <c r="F3072" t="str">
        <f>"000730"</f>
        <v>0</v>
      </c>
      <c r="G3072" t="s">
        <v>21</v>
      </c>
    </row>
    <row r="3073" spans="1:7">
      <c r="A3073">
        <v>3072</v>
      </c>
      <c r="B3073" t="str">
        <f>"010617"</f>
        <v>0</v>
      </c>
      <c r="C3073" t="s">
        <v>3548</v>
      </c>
      <c r="D3073" t="s">
        <v>5294</v>
      </c>
      <c r="E3073" t="str">
        <f>"3501300103957"</f>
        <v>0</v>
      </c>
      <c r="F3073" t="str">
        <f>"000730"</f>
        <v>0</v>
      </c>
      <c r="G3073" t="s">
        <v>21</v>
      </c>
    </row>
    <row r="3074" spans="1:7">
      <c r="A3074">
        <v>3073</v>
      </c>
      <c r="B3074" t="str">
        <f>"010669"</f>
        <v>0</v>
      </c>
      <c r="C3074" t="s">
        <v>5307</v>
      </c>
      <c r="D3074" t="s">
        <v>5308</v>
      </c>
      <c r="E3074" t="str">
        <f>"3560300288905"</f>
        <v>0</v>
      </c>
      <c r="F3074" t="str">
        <f>"000730"</f>
        <v>0</v>
      </c>
      <c r="G3074" t="s">
        <v>21</v>
      </c>
    </row>
    <row r="3075" spans="1:7">
      <c r="A3075">
        <v>3074</v>
      </c>
      <c r="B3075" t="str">
        <f>"011150"</f>
        <v>0</v>
      </c>
      <c r="C3075" t="s">
        <v>32</v>
      </c>
      <c r="D3075" t="s">
        <v>5309</v>
      </c>
      <c r="E3075" t="str">
        <f>"3501500039420"</f>
        <v>0</v>
      </c>
      <c r="F3075" t="str">
        <f>"000730"</f>
        <v>0</v>
      </c>
      <c r="G3075" t="s">
        <v>21</v>
      </c>
    </row>
    <row r="3076" spans="1:7">
      <c r="A3076">
        <v>3075</v>
      </c>
      <c r="B3076" t="str">
        <f>"011151"</f>
        <v>0</v>
      </c>
      <c r="C3076" t="s">
        <v>5310</v>
      </c>
      <c r="D3076" t="s">
        <v>5311</v>
      </c>
      <c r="E3076" t="str">
        <f>"3509901056144"</f>
        <v>0</v>
      </c>
      <c r="F3076" t="str">
        <f>"000730"</f>
        <v>0</v>
      </c>
      <c r="G3076" t="s">
        <v>21</v>
      </c>
    </row>
    <row r="3077" spans="1:7">
      <c r="A3077">
        <v>3076</v>
      </c>
      <c r="B3077" t="str">
        <f>"011157"</f>
        <v>0</v>
      </c>
      <c r="C3077" t="s">
        <v>5312</v>
      </c>
      <c r="D3077" t="s">
        <v>1594</v>
      </c>
      <c r="E3077" t="str">
        <f>"3509901260264"</f>
        <v>0</v>
      </c>
      <c r="F3077" t="str">
        <f>"000730"</f>
        <v>0</v>
      </c>
      <c r="G3077" t="s">
        <v>21</v>
      </c>
    </row>
    <row r="3078" spans="1:7">
      <c r="A3078">
        <v>3077</v>
      </c>
      <c r="B3078" t="str">
        <f>"011182"</f>
        <v>0</v>
      </c>
      <c r="C3078" t="s">
        <v>5313</v>
      </c>
      <c r="D3078" t="s">
        <v>5314</v>
      </c>
      <c r="E3078" t="str">
        <f>"3501900474077"</f>
        <v>0</v>
      </c>
      <c r="F3078" t="str">
        <f>"000730"</f>
        <v>0</v>
      </c>
      <c r="G3078" t="s">
        <v>21</v>
      </c>
    </row>
    <row r="3079" spans="1:7">
      <c r="A3079">
        <v>3078</v>
      </c>
      <c r="B3079" t="str">
        <f>"011215"</f>
        <v>0</v>
      </c>
      <c r="C3079" t="s">
        <v>2575</v>
      </c>
      <c r="D3079" t="s">
        <v>5315</v>
      </c>
      <c r="E3079" t="str">
        <f>"3659900330454"</f>
        <v>0</v>
      </c>
      <c r="F3079" t="str">
        <f>"000730"</f>
        <v>0</v>
      </c>
      <c r="G3079" t="s">
        <v>21</v>
      </c>
    </row>
    <row r="3080" spans="1:7">
      <c r="A3080">
        <v>3079</v>
      </c>
      <c r="B3080" t="str">
        <f>"011276"</f>
        <v>0</v>
      </c>
      <c r="C3080" t="s">
        <v>686</v>
      </c>
      <c r="D3080" t="s">
        <v>5316</v>
      </c>
      <c r="E3080" t="str">
        <f>"3679900148427"</f>
        <v>0</v>
      </c>
      <c r="F3080" t="str">
        <f>"000730"</f>
        <v>0</v>
      </c>
      <c r="G3080" t="s">
        <v>21</v>
      </c>
    </row>
    <row r="3081" spans="1:7">
      <c r="A3081">
        <v>3080</v>
      </c>
      <c r="B3081" t="str">
        <f>"011340"</f>
        <v>0</v>
      </c>
      <c r="C3081" t="s">
        <v>2942</v>
      </c>
      <c r="D3081" t="s">
        <v>5317</v>
      </c>
      <c r="E3081" t="str">
        <f>"3420700041517"</f>
        <v>0</v>
      </c>
      <c r="F3081" t="str">
        <f>"000730"</f>
        <v>0</v>
      </c>
      <c r="G3081" t="s">
        <v>21</v>
      </c>
    </row>
    <row r="3082" spans="1:7">
      <c r="A3082">
        <v>3081</v>
      </c>
      <c r="B3082" t="str">
        <f>"011464"</f>
        <v>0</v>
      </c>
      <c r="C3082" t="s">
        <v>4324</v>
      </c>
      <c r="D3082" t="s">
        <v>5318</v>
      </c>
      <c r="E3082" t="str">
        <f>"3101000648498"</f>
        <v>0</v>
      </c>
      <c r="F3082" t="str">
        <f>"000730"</f>
        <v>0</v>
      </c>
      <c r="G3082" t="s">
        <v>21</v>
      </c>
    </row>
    <row r="3083" spans="1:7">
      <c r="A3083">
        <v>3082</v>
      </c>
      <c r="B3083" t="str">
        <f>"011535"</f>
        <v>0</v>
      </c>
      <c r="C3083" t="s">
        <v>1021</v>
      </c>
      <c r="D3083" t="s">
        <v>5319</v>
      </c>
      <c r="E3083" t="str">
        <f>"3500900660732"</f>
        <v>0</v>
      </c>
      <c r="F3083" t="str">
        <f>"000730"</f>
        <v>0</v>
      </c>
      <c r="G3083" t="s">
        <v>21</v>
      </c>
    </row>
    <row r="3084" spans="1:7">
      <c r="A3084">
        <v>3083</v>
      </c>
      <c r="B3084" t="str">
        <f>"011818"</f>
        <v>0</v>
      </c>
      <c r="C3084" t="s">
        <v>5320</v>
      </c>
      <c r="D3084" t="s">
        <v>5321</v>
      </c>
      <c r="E3084" t="str">
        <f>"3501200232470"</f>
        <v>0</v>
      </c>
      <c r="F3084" t="str">
        <f>"000730"</f>
        <v>0</v>
      </c>
      <c r="G3084" t="s">
        <v>21</v>
      </c>
    </row>
    <row r="3085" spans="1:7">
      <c r="A3085">
        <v>3084</v>
      </c>
      <c r="B3085" t="str">
        <f>"011834"</f>
        <v>0</v>
      </c>
      <c r="C3085" t="s">
        <v>106</v>
      </c>
      <c r="D3085" t="s">
        <v>5322</v>
      </c>
      <c r="E3085" t="str">
        <f>"3500600255778"</f>
        <v>0</v>
      </c>
      <c r="F3085" t="str">
        <f>"000730"</f>
        <v>0</v>
      </c>
      <c r="G3085" t="s">
        <v>21</v>
      </c>
    </row>
    <row r="3086" spans="1:7">
      <c r="A3086">
        <v>3085</v>
      </c>
      <c r="B3086" t="str">
        <f>"012255"</f>
        <v>0</v>
      </c>
      <c r="C3086" t="s">
        <v>5323</v>
      </c>
      <c r="D3086" t="s">
        <v>5324</v>
      </c>
      <c r="E3086" t="str">
        <f>"3571100202439"</f>
        <v>0</v>
      </c>
      <c r="F3086" t="str">
        <f>"000730"</f>
        <v>0</v>
      </c>
      <c r="G3086" t="s">
        <v>21</v>
      </c>
    </row>
    <row r="3087" spans="1:7">
      <c r="A3087">
        <v>3086</v>
      </c>
      <c r="B3087" t="str">
        <f>"012394"</f>
        <v>0</v>
      </c>
      <c r="C3087" t="s">
        <v>5325</v>
      </c>
      <c r="D3087" t="s">
        <v>5326</v>
      </c>
      <c r="E3087" t="str">
        <f>"3501400290872"</f>
        <v>0</v>
      </c>
      <c r="F3087" t="str">
        <f>"000730"</f>
        <v>0</v>
      </c>
      <c r="G3087" t="s">
        <v>21</v>
      </c>
    </row>
    <row r="3088" spans="1:7">
      <c r="A3088">
        <v>3087</v>
      </c>
      <c r="B3088" t="str">
        <f>"012483"</f>
        <v>0</v>
      </c>
      <c r="C3088" t="s">
        <v>5327</v>
      </c>
      <c r="D3088" t="s">
        <v>5328</v>
      </c>
      <c r="E3088" t="str">
        <f>"3500700435140"</f>
        <v>0</v>
      </c>
      <c r="F3088" t="str">
        <f>"000730"</f>
        <v>0</v>
      </c>
      <c r="G3088" t="s">
        <v>21</v>
      </c>
    </row>
    <row r="3089" spans="1:7">
      <c r="A3089">
        <v>3088</v>
      </c>
      <c r="B3089" t="str">
        <f>"012509"</f>
        <v>0</v>
      </c>
      <c r="C3089" t="s">
        <v>4395</v>
      </c>
      <c r="D3089" t="s">
        <v>5329</v>
      </c>
      <c r="E3089" t="str">
        <f>"3500100176747"</f>
        <v>0</v>
      </c>
      <c r="F3089" t="str">
        <f>"000730"</f>
        <v>0</v>
      </c>
      <c r="G3089" t="s">
        <v>21</v>
      </c>
    </row>
    <row r="3090" spans="1:7">
      <c r="A3090">
        <v>3089</v>
      </c>
      <c r="B3090" t="str">
        <f>"012551"</f>
        <v>0</v>
      </c>
      <c r="C3090" t="s">
        <v>5330</v>
      </c>
      <c r="D3090" t="s">
        <v>5331</v>
      </c>
      <c r="E3090" t="str">
        <f>"3500200491903"</f>
        <v>0</v>
      </c>
      <c r="F3090" t="str">
        <f>"000730"</f>
        <v>0</v>
      </c>
      <c r="G3090" t="s">
        <v>21</v>
      </c>
    </row>
    <row r="3091" spans="1:7">
      <c r="A3091">
        <v>3090</v>
      </c>
      <c r="B3091" t="str">
        <f>"012559"</f>
        <v>0</v>
      </c>
      <c r="C3091" t="s">
        <v>5332</v>
      </c>
      <c r="D3091" t="s">
        <v>5333</v>
      </c>
      <c r="E3091" t="str">
        <f>"3500700117512"</f>
        <v>0</v>
      </c>
      <c r="F3091" t="str">
        <f>"000730"</f>
        <v>0</v>
      </c>
      <c r="G3091" t="s">
        <v>21</v>
      </c>
    </row>
    <row r="3092" spans="1:7">
      <c r="A3092">
        <v>3091</v>
      </c>
      <c r="B3092" t="str">
        <f>"012688"</f>
        <v>0</v>
      </c>
      <c r="C3092" t="s">
        <v>4764</v>
      </c>
      <c r="D3092" t="s">
        <v>5334</v>
      </c>
      <c r="E3092" t="str">
        <f>"3520100327583"</f>
        <v>0</v>
      </c>
      <c r="F3092" t="str">
        <f>"000730"</f>
        <v>0</v>
      </c>
      <c r="G3092" t="s">
        <v>21</v>
      </c>
    </row>
    <row r="3093" spans="1:7">
      <c r="A3093">
        <v>3092</v>
      </c>
      <c r="B3093" t="str">
        <f>"012751"</f>
        <v>0</v>
      </c>
      <c r="C3093" t="s">
        <v>2216</v>
      </c>
      <c r="D3093" t="s">
        <v>5335</v>
      </c>
      <c r="E3093" t="str">
        <f>"3500500314829"</f>
        <v>0</v>
      </c>
      <c r="F3093" t="str">
        <f>"000730"</f>
        <v>0</v>
      </c>
      <c r="G3093" t="s">
        <v>21</v>
      </c>
    </row>
    <row r="3094" spans="1:7">
      <c r="A3094">
        <v>3093</v>
      </c>
      <c r="B3094" t="str">
        <f>"012765"</f>
        <v>0</v>
      </c>
      <c r="C3094" t="s">
        <v>1800</v>
      </c>
      <c r="D3094" t="s">
        <v>5336</v>
      </c>
      <c r="E3094" t="str">
        <f>"3501100470522"</f>
        <v>0</v>
      </c>
      <c r="F3094" t="str">
        <f>"000730"</f>
        <v>0</v>
      </c>
      <c r="G3094" t="s">
        <v>21</v>
      </c>
    </row>
    <row r="3095" spans="1:7">
      <c r="A3095">
        <v>3094</v>
      </c>
      <c r="B3095" t="str">
        <f>"012766"</f>
        <v>0</v>
      </c>
      <c r="C3095" t="s">
        <v>160</v>
      </c>
      <c r="D3095" t="s">
        <v>5337</v>
      </c>
      <c r="E3095" t="str">
        <f>"3501400673887"</f>
        <v>0</v>
      </c>
      <c r="F3095" t="str">
        <f>"000730"</f>
        <v>0</v>
      </c>
      <c r="G3095" t="s">
        <v>21</v>
      </c>
    </row>
    <row r="3096" spans="1:7">
      <c r="A3096">
        <v>3095</v>
      </c>
      <c r="B3096" t="str">
        <f>"013218"</f>
        <v>0</v>
      </c>
      <c r="C3096" t="s">
        <v>5338</v>
      </c>
      <c r="D3096" t="s">
        <v>5339</v>
      </c>
      <c r="E3096" t="str">
        <f>"3160400185982"</f>
        <v>0</v>
      </c>
      <c r="F3096" t="str">
        <f>"000730"</f>
        <v>0</v>
      </c>
      <c r="G3096" t="s">
        <v>21</v>
      </c>
    </row>
    <row r="3097" spans="1:7">
      <c r="A3097">
        <v>3096</v>
      </c>
      <c r="B3097" t="str">
        <f>"013235"</f>
        <v>0</v>
      </c>
      <c r="C3097" t="s">
        <v>5340</v>
      </c>
      <c r="D3097" t="s">
        <v>5341</v>
      </c>
      <c r="E3097" t="str">
        <f>"3501400313317"</f>
        <v>0</v>
      </c>
      <c r="F3097" t="str">
        <f>"000730"</f>
        <v>0</v>
      </c>
      <c r="G3097" t="s">
        <v>21</v>
      </c>
    </row>
    <row r="3098" spans="1:7">
      <c r="A3098">
        <v>3097</v>
      </c>
      <c r="B3098" t="str">
        <f>"013504"</f>
        <v>0</v>
      </c>
      <c r="C3098" t="s">
        <v>3014</v>
      </c>
      <c r="D3098" t="s">
        <v>5342</v>
      </c>
      <c r="E3098" t="str">
        <f>"3500700063242"</f>
        <v>0</v>
      </c>
      <c r="F3098" t="str">
        <f>"000730"</f>
        <v>0</v>
      </c>
      <c r="G3098" t="s">
        <v>21</v>
      </c>
    </row>
    <row r="3099" spans="1:7">
      <c r="A3099">
        <v>3098</v>
      </c>
      <c r="B3099" t="str">
        <f>"013727"</f>
        <v>0</v>
      </c>
      <c r="C3099" t="s">
        <v>5343</v>
      </c>
      <c r="D3099" t="s">
        <v>5344</v>
      </c>
      <c r="E3099" t="str">
        <f>"3609900335715"</f>
        <v>0</v>
      </c>
      <c r="F3099" t="str">
        <f>"000730"</f>
        <v>0</v>
      </c>
      <c r="G3099" t="s">
        <v>21</v>
      </c>
    </row>
    <row r="3100" spans="1:7">
      <c r="A3100">
        <v>3099</v>
      </c>
      <c r="B3100" t="str">
        <f>"013916"</f>
        <v>0</v>
      </c>
      <c r="C3100" t="s">
        <v>3052</v>
      </c>
      <c r="D3100" t="s">
        <v>5345</v>
      </c>
      <c r="E3100" t="str">
        <f>"3570300073925"</f>
        <v>0</v>
      </c>
      <c r="F3100" t="str">
        <f>"000730"</f>
        <v>0</v>
      </c>
      <c r="G3100" t="s">
        <v>21</v>
      </c>
    </row>
    <row r="3101" spans="1:7">
      <c r="A3101">
        <v>3100</v>
      </c>
      <c r="B3101" t="str">
        <f>"014036"</f>
        <v>0</v>
      </c>
      <c r="C3101" t="s">
        <v>417</v>
      </c>
      <c r="D3101" t="s">
        <v>5346</v>
      </c>
      <c r="E3101" t="str">
        <f>"3670800590529"</f>
        <v>0</v>
      </c>
      <c r="F3101" t="str">
        <f>"000730"</f>
        <v>0</v>
      </c>
      <c r="G3101" t="s">
        <v>21</v>
      </c>
    </row>
    <row r="3102" spans="1:7">
      <c r="A3102">
        <v>3101</v>
      </c>
      <c r="B3102" t="str">
        <f>"014066"</f>
        <v>0</v>
      </c>
      <c r="C3102" t="s">
        <v>5347</v>
      </c>
      <c r="D3102" t="s">
        <v>5348</v>
      </c>
      <c r="E3102" t="str">
        <f>"3509900689062"</f>
        <v>0</v>
      </c>
      <c r="F3102" t="str">
        <f>"000730"</f>
        <v>0</v>
      </c>
      <c r="G3102" t="s">
        <v>21</v>
      </c>
    </row>
    <row r="3103" spans="1:7">
      <c r="A3103">
        <v>3102</v>
      </c>
      <c r="B3103" t="str">
        <f>"014220"</f>
        <v>0</v>
      </c>
      <c r="C3103" t="s">
        <v>3746</v>
      </c>
      <c r="D3103" t="s">
        <v>5058</v>
      </c>
      <c r="E3103" t="str">
        <f>"3510300035756"</f>
        <v>0</v>
      </c>
      <c r="F3103" t="str">
        <f>"000730"</f>
        <v>0</v>
      </c>
      <c r="G3103" t="s">
        <v>21</v>
      </c>
    </row>
    <row r="3104" spans="1:7">
      <c r="A3104">
        <v>3103</v>
      </c>
      <c r="B3104" t="str">
        <f>"014379"</f>
        <v>0</v>
      </c>
      <c r="C3104" t="s">
        <v>2579</v>
      </c>
      <c r="D3104" t="s">
        <v>5349</v>
      </c>
      <c r="E3104" t="str">
        <f>"3500200414381"</f>
        <v>0</v>
      </c>
      <c r="F3104" t="str">
        <f>"000730"</f>
        <v>0</v>
      </c>
      <c r="G3104" t="s">
        <v>21</v>
      </c>
    </row>
    <row r="3105" spans="1:7">
      <c r="A3105">
        <v>3104</v>
      </c>
      <c r="B3105" t="str">
        <f>"015269"</f>
        <v>0</v>
      </c>
      <c r="C3105" t="s">
        <v>5350</v>
      </c>
      <c r="D3105" t="s">
        <v>5351</v>
      </c>
      <c r="E3105" t="str">
        <f>"3650300049985"</f>
        <v>0</v>
      </c>
      <c r="F3105" t="str">
        <f>"000730"</f>
        <v>0</v>
      </c>
      <c r="G3105" t="s">
        <v>21</v>
      </c>
    </row>
    <row r="3106" spans="1:7">
      <c r="A3106">
        <v>3105</v>
      </c>
      <c r="B3106" t="str">
        <f>"015297"</f>
        <v>0</v>
      </c>
      <c r="C3106" t="s">
        <v>5352</v>
      </c>
      <c r="D3106" t="s">
        <v>5353</v>
      </c>
      <c r="E3106" t="str">
        <f>"3501300752505"</f>
        <v>0</v>
      </c>
      <c r="F3106" t="str">
        <f>"000730"</f>
        <v>0</v>
      </c>
      <c r="G3106" t="s">
        <v>21</v>
      </c>
    </row>
    <row r="3107" spans="1:7">
      <c r="A3107">
        <v>3106</v>
      </c>
      <c r="B3107" t="str">
        <f>"015332"</f>
        <v>0</v>
      </c>
      <c r="C3107" t="s">
        <v>4875</v>
      </c>
      <c r="D3107" t="s">
        <v>5354</v>
      </c>
      <c r="E3107" t="str">
        <f>"3500200689371"</f>
        <v>0</v>
      </c>
      <c r="F3107" t="str">
        <f>"000730"</f>
        <v>0</v>
      </c>
      <c r="G3107" t="s">
        <v>21</v>
      </c>
    </row>
    <row r="3108" spans="1:7">
      <c r="A3108">
        <v>3107</v>
      </c>
      <c r="B3108" t="str">
        <f>"015556"</f>
        <v>0</v>
      </c>
      <c r="C3108" t="s">
        <v>5355</v>
      </c>
      <c r="D3108" t="s">
        <v>3767</v>
      </c>
      <c r="E3108" t="str">
        <f>"3580400036860"</f>
        <v>0</v>
      </c>
      <c r="F3108" t="str">
        <f>"000730"</f>
        <v>0</v>
      </c>
      <c r="G3108" t="s">
        <v>21</v>
      </c>
    </row>
    <row r="3109" spans="1:7">
      <c r="A3109">
        <v>3108</v>
      </c>
      <c r="B3109" t="str">
        <f>"016187"</f>
        <v>0</v>
      </c>
      <c r="C3109" t="s">
        <v>1622</v>
      </c>
      <c r="D3109" t="s">
        <v>5239</v>
      </c>
      <c r="E3109" t="str">
        <f>"3501300126141"</f>
        <v>0</v>
      </c>
      <c r="F3109" t="str">
        <f>"000730"</f>
        <v>0</v>
      </c>
      <c r="G3109" t="s">
        <v>21</v>
      </c>
    </row>
    <row r="3110" spans="1:7">
      <c r="A3110">
        <v>3109</v>
      </c>
      <c r="B3110" t="str">
        <f>"016332"</f>
        <v>0</v>
      </c>
      <c r="C3110" t="s">
        <v>5356</v>
      </c>
      <c r="D3110" t="s">
        <v>5357</v>
      </c>
      <c r="E3110" t="str">
        <f>"3500100121934"</f>
        <v>0</v>
      </c>
      <c r="F3110" t="str">
        <f>"000730"</f>
        <v>0</v>
      </c>
      <c r="G3110" t="s">
        <v>21</v>
      </c>
    </row>
    <row r="3111" spans="1:7">
      <c r="A3111">
        <v>3110</v>
      </c>
      <c r="B3111" t="str">
        <f>"016508"</f>
        <v>0</v>
      </c>
      <c r="C3111" t="s">
        <v>5358</v>
      </c>
      <c r="D3111" t="s">
        <v>5359</v>
      </c>
      <c r="E3111" t="str">
        <f>"3501400069122"</f>
        <v>0</v>
      </c>
      <c r="F3111" t="str">
        <f>"000730"</f>
        <v>0</v>
      </c>
      <c r="G3111" t="s">
        <v>21</v>
      </c>
    </row>
    <row r="3112" spans="1:7">
      <c r="A3112">
        <v>3111</v>
      </c>
      <c r="B3112" t="str">
        <f>"016856"</f>
        <v>0</v>
      </c>
      <c r="C3112" t="s">
        <v>2349</v>
      </c>
      <c r="D3112" t="s">
        <v>5235</v>
      </c>
      <c r="E3112" t="str">
        <f>"3501700221361"</f>
        <v>0</v>
      </c>
      <c r="F3112" t="str">
        <f>"000730"</f>
        <v>0</v>
      </c>
      <c r="G3112" t="s">
        <v>21</v>
      </c>
    </row>
    <row r="3113" spans="1:7">
      <c r="A3113">
        <v>3112</v>
      </c>
      <c r="B3113" t="str">
        <f>"017023"</f>
        <v>0</v>
      </c>
      <c r="C3113" t="s">
        <v>5360</v>
      </c>
      <c r="D3113" t="s">
        <v>5361</v>
      </c>
      <c r="E3113" t="str">
        <f>"3509900206126"</f>
        <v>0</v>
      </c>
      <c r="F3113" t="str">
        <f>"000730"</f>
        <v>0</v>
      </c>
      <c r="G3113" t="s">
        <v>21</v>
      </c>
    </row>
    <row r="3114" spans="1:7">
      <c r="A3114">
        <v>3113</v>
      </c>
      <c r="B3114" t="str">
        <f>"017370"</f>
        <v>0</v>
      </c>
      <c r="C3114" t="s">
        <v>1271</v>
      </c>
      <c r="D3114" t="s">
        <v>5362</v>
      </c>
      <c r="E3114" t="str">
        <f>"3569900061136"</f>
        <v>0</v>
      </c>
      <c r="F3114" t="str">
        <f>"000730"</f>
        <v>0</v>
      </c>
      <c r="G3114" t="s">
        <v>21</v>
      </c>
    </row>
    <row r="3115" spans="1:7">
      <c r="A3115">
        <v>3114</v>
      </c>
      <c r="B3115" t="str">
        <f>"017609"</f>
        <v>0</v>
      </c>
      <c r="C3115" t="s">
        <v>5363</v>
      </c>
      <c r="D3115" t="s">
        <v>5364</v>
      </c>
      <c r="E3115" t="str">
        <f>"3150100532334"</f>
        <v>0</v>
      </c>
      <c r="F3115" t="str">
        <f>"000730"</f>
        <v>0</v>
      </c>
      <c r="G3115" t="s">
        <v>21</v>
      </c>
    </row>
    <row r="3116" spans="1:7">
      <c r="A3116">
        <v>3115</v>
      </c>
      <c r="B3116" t="str">
        <f>"017756"</f>
        <v>0</v>
      </c>
      <c r="C3116" t="s">
        <v>5365</v>
      </c>
      <c r="D3116" t="s">
        <v>5366</v>
      </c>
      <c r="E3116" t="str">
        <f>"3509900868421"</f>
        <v>0</v>
      </c>
      <c r="F3116" t="str">
        <f>"000730"</f>
        <v>0</v>
      </c>
      <c r="G3116" t="s">
        <v>21</v>
      </c>
    </row>
    <row r="3117" spans="1:7">
      <c r="A3117">
        <v>3116</v>
      </c>
      <c r="B3117" t="str">
        <f>"018100"</f>
        <v>0</v>
      </c>
      <c r="C3117" t="s">
        <v>5367</v>
      </c>
      <c r="D3117" t="s">
        <v>5368</v>
      </c>
      <c r="E3117" t="str">
        <f>"3520500536627"</f>
        <v>0</v>
      </c>
      <c r="F3117" t="str">
        <f>"000730"</f>
        <v>0</v>
      </c>
      <c r="G3117" t="s">
        <v>21</v>
      </c>
    </row>
    <row r="3118" spans="1:7">
      <c r="A3118">
        <v>3117</v>
      </c>
      <c r="B3118" t="str">
        <f>"018352"</f>
        <v>0</v>
      </c>
      <c r="C3118" t="s">
        <v>326</v>
      </c>
      <c r="D3118" t="s">
        <v>5369</v>
      </c>
      <c r="E3118" t="str">
        <f>"3102000089210"</f>
        <v>0</v>
      </c>
      <c r="F3118" t="str">
        <f>"000730"</f>
        <v>0</v>
      </c>
      <c r="G3118" t="s">
        <v>21</v>
      </c>
    </row>
    <row r="3119" spans="1:7">
      <c r="A3119">
        <v>3118</v>
      </c>
      <c r="B3119" t="str">
        <f>"018420"</f>
        <v>0</v>
      </c>
      <c r="C3119" t="s">
        <v>5370</v>
      </c>
      <c r="D3119" t="s">
        <v>5371</v>
      </c>
      <c r="E3119" t="str">
        <f>"5670200011958"</f>
        <v>0</v>
      </c>
      <c r="F3119" t="str">
        <f>"000730"</f>
        <v>0</v>
      </c>
      <c r="G3119" t="s">
        <v>21</v>
      </c>
    </row>
    <row r="3120" spans="1:7">
      <c r="A3120">
        <v>3119</v>
      </c>
      <c r="B3120" t="str">
        <f>"018451"</f>
        <v>0</v>
      </c>
      <c r="C3120" t="s">
        <v>923</v>
      </c>
      <c r="D3120" t="s">
        <v>5372</v>
      </c>
      <c r="E3120" t="str">
        <f>"3571100046623"</f>
        <v>0</v>
      </c>
      <c r="F3120" t="str">
        <f>"000730"</f>
        <v>0</v>
      </c>
      <c r="G3120" t="s">
        <v>21</v>
      </c>
    </row>
    <row r="3121" spans="1:7">
      <c r="A3121">
        <v>3120</v>
      </c>
      <c r="B3121" t="str">
        <f>"018672"</f>
        <v>0</v>
      </c>
      <c r="C3121" t="s">
        <v>4928</v>
      </c>
      <c r="D3121" t="s">
        <v>5373</v>
      </c>
      <c r="E3121" t="str">
        <f>"3501900287048"</f>
        <v>0</v>
      </c>
      <c r="F3121" t="str">
        <f>"000730"</f>
        <v>0</v>
      </c>
      <c r="G3121" t="s">
        <v>21</v>
      </c>
    </row>
    <row r="3122" spans="1:7">
      <c r="A3122">
        <v>3121</v>
      </c>
      <c r="B3122" t="str">
        <f>"019131"</f>
        <v>0</v>
      </c>
      <c r="C3122" t="s">
        <v>5374</v>
      </c>
      <c r="D3122" t="s">
        <v>5375</v>
      </c>
      <c r="E3122" t="str">
        <f>"3739900034676"</f>
        <v>0</v>
      </c>
      <c r="F3122" t="str">
        <f>"000730"</f>
        <v>0</v>
      </c>
      <c r="G3122" t="s">
        <v>21</v>
      </c>
    </row>
    <row r="3123" spans="1:7">
      <c r="A3123">
        <v>3122</v>
      </c>
      <c r="B3123" t="str">
        <f>"019132"</f>
        <v>0</v>
      </c>
      <c r="C3123" t="s">
        <v>86</v>
      </c>
      <c r="D3123" t="s">
        <v>5376</v>
      </c>
      <c r="E3123" t="str">
        <f>"5509900076873"</f>
        <v>0</v>
      </c>
      <c r="F3123" t="str">
        <f>"000730"</f>
        <v>0</v>
      </c>
      <c r="G3123" t="s">
        <v>21</v>
      </c>
    </row>
    <row r="3124" spans="1:7">
      <c r="A3124">
        <v>3123</v>
      </c>
      <c r="B3124" t="str">
        <f>"019335"</f>
        <v>0</v>
      </c>
      <c r="C3124" t="s">
        <v>5377</v>
      </c>
      <c r="D3124" t="s">
        <v>5378</v>
      </c>
      <c r="E3124" t="str">
        <f>"3520100541780"</f>
        <v>0</v>
      </c>
      <c r="F3124" t="str">
        <f>"000730"</f>
        <v>0</v>
      </c>
      <c r="G3124" t="s">
        <v>21</v>
      </c>
    </row>
    <row r="3125" spans="1:7">
      <c r="A3125">
        <v>3124</v>
      </c>
      <c r="B3125" t="str">
        <f>"019767"</f>
        <v>0</v>
      </c>
      <c r="C3125" t="s">
        <v>5379</v>
      </c>
      <c r="D3125" t="s">
        <v>5075</v>
      </c>
      <c r="E3125" t="str">
        <f>"3509900757416"</f>
        <v>0</v>
      </c>
      <c r="F3125" t="str">
        <f>"000730"</f>
        <v>0</v>
      </c>
      <c r="G3125" t="s">
        <v>21</v>
      </c>
    </row>
    <row r="3126" spans="1:7">
      <c r="A3126">
        <v>3125</v>
      </c>
      <c r="B3126" t="str">
        <f>"020689"</f>
        <v>0</v>
      </c>
      <c r="C3126" t="s">
        <v>4264</v>
      </c>
      <c r="D3126" t="s">
        <v>5380</v>
      </c>
      <c r="E3126" t="str">
        <f>"3101500771248"</f>
        <v>0</v>
      </c>
      <c r="F3126" t="str">
        <f>"000730"</f>
        <v>0</v>
      </c>
      <c r="G3126" t="s">
        <v>21</v>
      </c>
    </row>
    <row r="3127" spans="1:7">
      <c r="A3127">
        <v>3126</v>
      </c>
      <c r="B3127" t="str">
        <f>"020811"</f>
        <v>0</v>
      </c>
      <c r="C3127" t="s">
        <v>5381</v>
      </c>
      <c r="D3127" t="s">
        <v>5382</v>
      </c>
      <c r="E3127" t="str">
        <f>"3900100060044"</f>
        <v>0</v>
      </c>
      <c r="F3127" t="str">
        <f>"000730"</f>
        <v>0</v>
      </c>
      <c r="G3127" t="s">
        <v>21</v>
      </c>
    </row>
    <row r="3128" spans="1:7">
      <c r="A3128">
        <v>3127</v>
      </c>
      <c r="B3128" t="str">
        <f>"021918"</f>
        <v>0</v>
      </c>
      <c r="C3128" t="s">
        <v>5383</v>
      </c>
      <c r="D3128" t="s">
        <v>5384</v>
      </c>
      <c r="E3128" t="str">
        <f>"3501300784229"</f>
        <v>0</v>
      </c>
      <c r="F3128" t="str">
        <f>"000730"</f>
        <v>0</v>
      </c>
      <c r="G3128" t="s">
        <v>21</v>
      </c>
    </row>
    <row r="3129" spans="1:7">
      <c r="A3129">
        <v>3128</v>
      </c>
      <c r="B3129" t="str">
        <f>"022007"</f>
        <v>0</v>
      </c>
      <c r="C3129" t="s">
        <v>747</v>
      </c>
      <c r="D3129" t="s">
        <v>5385</v>
      </c>
      <c r="E3129" t="str">
        <f>"3120100675496"</f>
        <v>0</v>
      </c>
      <c r="F3129" t="str">
        <f>"000730"</f>
        <v>0</v>
      </c>
      <c r="G3129" t="s">
        <v>21</v>
      </c>
    </row>
    <row r="3130" spans="1:7">
      <c r="A3130">
        <v>3129</v>
      </c>
      <c r="B3130" t="str">
        <f>"022034"</f>
        <v>0</v>
      </c>
      <c r="C3130" t="s">
        <v>5386</v>
      </c>
      <c r="D3130" t="s">
        <v>5387</v>
      </c>
      <c r="E3130" t="str">
        <f>"3500300013710"</f>
        <v>0</v>
      </c>
      <c r="F3130" t="str">
        <f>"000730"</f>
        <v>0</v>
      </c>
      <c r="G3130" t="s">
        <v>21</v>
      </c>
    </row>
    <row r="3131" spans="1:7">
      <c r="A3131">
        <v>3130</v>
      </c>
      <c r="B3131" t="str">
        <f>"022364"</f>
        <v>0</v>
      </c>
      <c r="C3131" t="s">
        <v>5388</v>
      </c>
      <c r="D3131" t="s">
        <v>5389</v>
      </c>
      <c r="E3131" t="str">
        <f>"3500400281791"</f>
        <v>0</v>
      </c>
      <c r="F3131" t="str">
        <f>"000730"</f>
        <v>0</v>
      </c>
      <c r="G3131" t="s">
        <v>21</v>
      </c>
    </row>
    <row r="3132" spans="1:7">
      <c r="A3132">
        <v>3131</v>
      </c>
      <c r="B3132" t="str">
        <f>"022393"</f>
        <v>0</v>
      </c>
      <c r="C3132" t="s">
        <v>5390</v>
      </c>
      <c r="D3132" t="s">
        <v>5391</v>
      </c>
      <c r="E3132" t="str">
        <f>"3509900920911"</f>
        <v>0</v>
      </c>
      <c r="F3132" t="str">
        <f>"000730"</f>
        <v>0</v>
      </c>
      <c r="G3132" t="s">
        <v>21</v>
      </c>
    </row>
    <row r="3133" spans="1:7">
      <c r="A3133">
        <v>3132</v>
      </c>
      <c r="B3133" t="str">
        <f>"022435"</f>
        <v>0</v>
      </c>
      <c r="C3133" t="s">
        <v>5392</v>
      </c>
      <c r="D3133" t="s">
        <v>5393</v>
      </c>
      <c r="E3133" t="str">
        <f>"3100200762986"</f>
        <v>0</v>
      </c>
      <c r="F3133" t="str">
        <f>"000730"</f>
        <v>0</v>
      </c>
      <c r="G3133" t="s">
        <v>21</v>
      </c>
    </row>
    <row r="3134" spans="1:7">
      <c r="A3134">
        <v>3133</v>
      </c>
      <c r="B3134" t="str">
        <f>"022469"</f>
        <v>0</v>
      </c>
      <c r="C3134" t="s">
        <v>5394</v>
      </c>
      <c r="D3134" t="s">
        <v>5395</v>
      </c>
      <c r="E3134" t="str">
        <f>"3500100488757"</f>
        <v>0</v>
      </c>
      <c r="F3134" t="str">
        <f>"000730"</f>
        <v>0</v>
      </c>
      <c r="G3134" t="s">
        <v>21</v>
      </c>
    </row>
    <row r="3135" spans="1:7">
      <c r="A3135">
        <v>3134</v>
      </c>
      <c r="B3135" t="str">
        <f>"022857"</f>
        <v>0</v>
      </c>
      <c r="C3135" t="s">
        <v>5396</v>
      </c>
      <c r="D3135" t="s">
        <v>5397</v>
      </c>
      <c r="E3135" t="str">
        <f>"5540600018411"</f>
        <v>0</v>
      </c>
      <c r="F3135" t="str">
        <f>"000730"</f>
        <v>0</v>
      </c>
      <c r="G3135" t="s">
        <v>21</v>
      </c>
    </row>
    <row r="3136" spans="1:7">
      <c r="A3136">
        <v>3135</v>
      </c>
      <c r="B3136" t="str">
        <f>"023184"</f>
        <v>0</v>
      </c>
      <c r="C3136" t="s">
        <v>5398</v>
      </c>
      <c r="D3136" t="s">
        <v>5399</v>
      </c>
      <c r="E3136" t="str">
        <f>"3501200220544"</f>
        <v>0</v>
      </c>
      <c r="F3136" t="str">
        <f>"000730"</f>
        <v>0</v>
      </c>
      <c r="G3136" t="s">
        <v>21</v>
      </c>
    </row>
    <row r="3137" spans="1:7">
      <c r="A3137">
        <v>3136</v>
      </c>
      <c r="B3137" t="str">
        <f>"023191"</f>
        <v>0</v>
      </c>
      <c r="C3137" t="s">
        <v>5400</v>
      </c>
      <c r="D3137" t="s">
        <v>1339</v>
      </c>
      <c r="E3137" t="str">
        <f>"3100202382005"</f>
        <v>0</v>
      </c>
      <c r="F3137" t="str">
        <f>"000730"</f>
        <v>0</v>
      </c>
      <c r="G3137" t="s">
        <v>21</v>
      </c>
    </row>
    <row r="3138" spans="1:7">
      <c r="A3138">
        <v>3137</v>
      </c>
      <c r="B3138" t="str">
        <f>"023628"</f>
        <v>0</v>
      </c>
      <c r="C3138" t="s">
        <v>5401</v>
      </c>
      <c r="D3138" t="s">
        <v>5402</v>
      </c>
      <c r="E3138" t="str">
        <f>"3509900296788"</f>
        <v>0</v>
      </c>
      <c r="F3138" t="str">
        <f>"000730"</f>
        <v>0</v>
      </c>
      <c r="G3138" t="s">
        <v>21</v>
      </c>
    </row>
    <row r="3139" spans="1:7">
      <c r="A3139">
        <v>3138</v>
      </c>
      <c r="B3139" t="str">
        <f>"023744"</f>
        <v>0</v>
      </c>
      <c r="C3139" t="s">
        <v>5403</v>
      </c>
      <c r="D3139" t="s">
        <v>5279</v>
      </c>
      <c r="E3139" t="str">
        <f>"3500500262152"</f>
        <v>0</v>
      </c>
      <c r="F3139" t="str">
        <f>"000730"</f>
        <v>0</v>
      </c>
      <c r="G3139" t="s">
        <v>21</v>
      </c>
    </row>
    <row r="3140" spans="1:7">
      <c r="A3140">
        <v>3139</v>
      </c>
      <c r="B3140" t="str">
        <f>"024302"</f>
        <v>0</v>
      </c>
      <c r="C3140" t="s">
        <v>5404</v>
      </c>
      <c r="D3140" t="s">
        <v>4786</v>
      </c>
      <c r="E3140" t="str">
        <f>"5500590005282"</f>
        <v>0</v>
      </c>
      <c r="F3140" t="str">
        <f>"000730"</f>
        <v>0</v>
      </c>
      <c r="G3140" t="s">
        <v>21</v>
      </c>
    </row>
    <row r="3141" spans="1:7">
      <c r="A3141">
        <v>3140</v>
      </c>
      <c r="B3141" t="str">
        <f>"025259"</f>
        <v>0</v>
      </c>
      <c r="C3141" t="s">
        <v>5405</v>
      </c>
      <c r="D3141" t="s">
        <v>5406</v>
      </c>
      <c r="E3141" t="str">
        <f>"3101402385726"</f>
        <v>0</v>
      </c>
      <c r="F3141" t="str">
        <f>"000730"</f>
        <v>0</v>
      </c>
      <c r="G3141" t="s">
        <v>21</v>
      </c>
    </row>
    <row r="3142" spans="1:7">
      <c r="A3142">
        <v>3141</v>
      </c>
      <c r="B3142" t="str">
        <f>"025522"</f>
        <v>0</v>
      </c>
      <c r="C3142" t="s">
        <v>5407</v>
      </c>
      <c r="D3142" t="s">
        <v>5408</v>
      </c>
      <c r="E3142" t="str">
        <f>"3509900454553"</f>
        <v>0</v>
      </c>
      <c r="F3142" t="str">
        <f>"000730"</f>
        <v>0</v>
      </c>
      <c r="G3142" t="s">
        <v>21</v>
      </c>
    </row>
    <row r="3143" spans="1:7">
      <c r="A3143">
        <v>3142</v>
      </c>
      <c r="B3143" t="str">
        <f>"027019"</f>
        <v>0</v>
      </c>
      <c r="C3143" t="s">
        <v>4039</v>
      </c>
      <c r="D3143" t="s">
        <v>5409</v>
      </c>
      <c r="E3143" t="str">
        <f>"4509900003932"</f>
        <v>0</v>
      </c>
      <c r="F3143" t="str">
        <f>"000730"</f>
        <v>0</v>
      </c>
      <c r="G3143" t="s">
        <v>21</v>
      </c>
    </row>
    <row r="3144" spans="1:7">
      <c r="A3144">
        <v>3143</v>
      </c>
      <c r="B3144" t="str">
        <f>"001291"</f>
        <v>0</v>
      </c>
      <c r="C3144" t="s">
        <v>5410</v>
      </c>
      <c r="D3144" t="s">
        <v>5411</v>
      </c>
      <c r="E3144" t="str">
        <f>"3500500427879"</f>
        <v>0</v>
      </c>
      <c r="F3144" t="str">
        <f>"000730"</f>
        <v>0</v>
      </c>
      <c r="G3144" t="s">
        <v>21</v>
      </c>
    </row>
    <row r="3145" spans="1:7">
      <c r="A3145">
        <v>3144</v>
      </c>
      <c r="B3145" t="str">
        <f>"005282"</f>
        <v>0</v>
      </c>
      <c r="C3145" t="s">
        <v>4864</v>
      </c>
      <c r="D3145" t="s">
        <v>5173</v>
      </c>
      <c r="E3145" t="str">
        <f>"3501400676908"</f>
        <v>0</v>
      </c>
      <c r="F3145" t="str">
        <f>"000730"</f>
        <v>0</v>
      </c>
      <c r="G3145" t="s">
        <v>21</v>
      </c>
    </row>
    <row r="3146" spans="1:7">
      <c r="A3146">
        <v>3145</v>
      </c>
      <c r="B3146" t="str">
        <f>"010380"</f>
        <v>0</v>
      </c>
      <c r="C3146" t="s">
        <v>5412</v>
      </c>
      <c r="D3146" t="s">
        <v>5413</v>
      </c>
      <c r="E3146" t="str">
        <f>"3501400442303"</f>
        <v>0</v>
      </c>
      <c r="F3146" t="str">
        <f>"000730"</f>
        <v>0</v>
      </c>
      <c r="G3146" t="s">
        <v>21</v>
      </c>
    </row>
    <row r="3147" spans="1:7">
      <c r="A3147">
        <v>3146</v>
      </c>
      <c r="B3147" t="str">
        <f>"012038"</f>
        <v>0</v>
      </c>
      <c r="C3147" t="s">
        <v>46</v>
      </c>
      <c r="D3147" t="s">
        <v>5414</v>
      </c>
      <c r="E3147" t="str">
        <f>"3509901024935"</f>
        <v>0</v>
      </c>
      <c r="F3147" t="str">
        <f>"000730"</f>
        <v>0</v>
      </c>
      <c r="G3147" t="s">
        <v>21</v>
      </c>
    </row>
    <row r="3148" spans="1:7">
      <c r="A3148">
        <v>3147</v>
      </c>
      <c r="B3148" t="str">
        <f>"012735"</f>
        <v>0</v>
      </c>
      <c r="C3148" t="s">
        <v>126</v>
      </c>
      <c r="D3148" t="s">
        <v>5415</v>
      </c>
      <c r="E3148" t="str">
        <f>"3501500411205"</f>
        <v>0</v>
      </c>
      <c r="F3148" t="str">
        <f>"000730"</f>
        <v>0</v>
      </c>
      <c r="G3148" t="s">
        <v>21</v>
      </c>
    </row>
    <row r="3149" spans="1:7">
      <c r="A3149">
        <v>3148</v>
      </c>
      <c r="B3149" t="str">
        <f>"012842"</f>
        <v>0</v>
      </c>
      <c r="C3149" t="s">
        <v>130</v>
      </c>
      <c r="D3149" t="s">
        <v>5416</v>
      </c>
      <c r="E3149" t="str">
        <f>"3509901048354"</f>
        <v>0</v>
      </c>
      <c r="F3149" t="str">
        <f>"000730"</f>
        <v>0</v>
      </c>
      <c r="G3149" t="s">
        <v>21</v>
      </c>
    </row>
    <row r="3150" spans="1:7">
      <c r="A3150">
        <v>3149</v>
      </c>
      <c r="B3150" t="str">
        <f>"013357"</f>
        <v>0</v>
      </c>
      <c r="C3150" t="s">
        <v>403</v>
      </c>
      <c r="D3150" t="s">
        <v>5417</v>
      </c>
      <c r="E3150" t="str">
        <f>"3500700437266"</f>
        <v>0</v>
      </c>
      <c r="F3150" t="str">
        <f>"000730"</f>
        <v>0</v>
      </c>
      <c r="G3150" t="s">
        <v>21</v>
      </c>
    </row>
    <row r="3151" spans="1:7">
      <c r="A3151">
        <v>3150</v>
      </c>
      <c r="B3151" t="str">
        <f>"013457"</f>
        <v>0</v>
      </c>
      <c r="C3151" t="s">
        <v>5418</v>
      </c>
      <c r="D3151" t="s">
        <v>5419</v>
      </c>
      <c r="E3151" t="str">
        <f>"3500700138498"</f>
        <v>0</v>
      </c>
      <c r="F3151" t="str">
        <f>"000730"</f>
        <v>0</v>
      </c>
      <c r="G3151" t="s">
        <v>21</v>
      </c>
    </row>
    <row r="3152" spans="1:7">
      <c r="A3152">
        <v>3151</v>
      </c>
      <c r="B3152" t="str">
        <f>"014067"</f>
        <v>0</v>
      </c>
      <c r="C3152" t="s">
        <v>5420</v>
      </c>
      <c r="D3152" t="s">
        <v>5421</v>
      </c>
      <c r="E3152" t="str">
        <f>"3509900252403"</f>
        <v>0</v>
      </c>
      <c r="F3152" t="str">
        <f>"000730"</f>
        <v>0</v>
      </c>
      <c r="G3152" t="s">
        <v>21</v>
      </c>
    </row>
    <row r="3153" spans="1:7">
      <c r="A3153">
        <v>3152</v>
      </c>
      <c r="B3153" t="str">
        <f>"019973"</f>
        <v>0</v>
      </c>
      <c r="C3153" t="s">
        <v>2076</v>
      </c>
      <c r="D3153" t="s">
        <v>5422</v>
      </c>
      <c r="E3153" t="str">
        <f>"3501400674468"</f>
        <v>0</v>
      </c>
      <c r="F3153" t="str">
        <f>"000730"</f>
        <v>0</v>
      </c>
      <c r="G3153" t="s">
        <v>21</v>
      </c>
    </row>
    <row r="3154" spans="1:7">
      <c r="A3154">
        <v>3153</v>
      </c>
      <c r="B3154" t="str">
        <f>"020378"</f>
        <v>0</v>
      </c>
      <c r="C3154" t="s">
        <v>102</v>
      </c>
      <c r="D3154" t="s">
        <v>5423</v>
      </c>
      <c r="E3154" t="str">
        <f>"3539900122372"</f>
        <v>0</v>
      </c>
      <c r="F3154" t="str">
        <f>"000730"</f>
        <v>0</v>
      </c>
      <c r="G3154" t="s">
        <v>21</v>
      </c>
    </row>
    <row r="3155" spans="1:7">
      <c r="A3155">
        <v>3154</v>
      </c>
      <c r="B3155" t="str">
        <f>"017354"</f>
        <v>0</v>
      </c>
      <c r="C3155" t="s">
        <v>5424</v>
      </c>
      <c r="D3155" t="s">
        <v>5414</v>
      </c>
      <c r="E3155" t="str">
        <f>"3500700499059"</f>
        <v>0</v>
      </c>
      <c r="F3155" t="str">
        <f>"000730"</f>
        <v>0</v>
      </c>
      <c r="G3155" t="s">
        <v>21</v>
      </c>
    </row>
    <row r="3156" spans="1:7">
      <c r="A3156">
        <v>3155</v>
      </c>
      <c r="B3156" t="str">
        <f>"018417"</f>
        <v>0</v>
      </c>
      <c r="C3156" t="s">
        <v>5425</v>
      </c>
      <c r="D3156" t="s">
        <v>5426</v>
      </c>
      <c r="E3156" t="str">
        <f>"3501100292713"</f>
        <v>0</v>
      </c>
      <c r="F3156" t="str">
        <f>"000730"</f>
        <v>0</v>
      </c>
      <c r="G3156" t="s">
        <v>21</v>
      </c>
    </row>
    <row r="3157" spans="1:7">
      <c r="A3157">
        <v>3156</v>
      </c>
      <c r="B3157" t="str">
        <f>"019130"</f>
        <v>0</v>
      </c>
      <c r="C3157" t="s">
        <v>5427</v>
      </c>
      <c r="D3157" t="s">
        <v>5428</v>
      </c>
      <c r="E3157" t="str">
        <f>"3501400675235"</f>
        <v>0</v>
      </c>
      <c r="F3157" t="str">
        <f>"000730"</f>
        <v>0</v>
      </c>
      <c r="G3157" t="s">
        <v>21</v>
      </c>
    </row>
    <row r="3158" spans="1:7">
      <c r="A3158">
        <v>3157</v>
      </c>
      <c r="B3158" t="str">
        <f>"019329"</f>
        <v>0</v>
      </c>
      <c r="C3158" t="s">
        <v>5429</v>
      </c>
      <c r="D3158" t="s">
        <v>5430</v>
      </c>
      <c r="E3158" t="str">
        <f>"3501900409666"</f>
        <v>0</v>
      </c>
      <c r="F3158" t="str">
        <f>"000730"</f>
        <v>0</v>
      </c>
      <c r="G3158" t="s">
        <v>21</v>
      </c>
    </row>
    <row r="3159" spans="1:7">
      <c r="A3159">
        <v>3158</v>
      </c>
      <c r="B3159" t="str">
        <f>"003803"</f>
        <v>0</v>
      </c>
      <c r="C3159" t="s">
        <v>5431</v>
      </c>
      <c r="D3159" t="s">
        <v>5432</v>
      </c>
      <c r="E3159" t="str">
        <f>"3509901500541"</f>
        <v>0</v>
      </c>
      <c r="F3159" t="str">
        <f>"000730"</f>
        <v>0</v>
      </c>
      <c r="G3159" t="s">
        <v>21</v>
      </c>
    </row>
    <row r="3160" spans="1:7">
      <c r="A3160">
        <v>3159</v>
      </c>
      <c r="B3160" t="str">
        <f>"004528"</f>
        <v>0</v>
      </c>
      <c r="C3160" t="s">
        <v>5433</v>
      </c>
      <c r="D3160" t="s">
        <v>5434</v>
      </c>
      <c r="E3160" t="str">
        <f>"3509900452054"</f>
        <v>0</v>
      </c>
      <c r="F3160" t="str">
        <f>"000730"</f>
        <v>0</v>
      </c>
      <c r="G3160" t="s">
        <v>21</v>
      </c>
    </row>
    <row r="3161" spans="1:7">
      <c r="A3161">
        <v>3160</v>
      </c>
      <c r="B3161" t="str">
        <f>"006980"</f>
        <v>0</v>
      </c>
      <c r="C3161" t="s">
        <v>5435</v>
      </c>
      <c r="D3161" t="s">
        <v>5436</v>
      </c>
      <c r="E3161" t="str">
        <f>"3501500069493"</f>
        <v>0</v>
      </c>
      <c r="F3161" t="str">
        <f>"000730"</f>
        <v>0</v>
      </c>
      <c r="G3161" t="s">
        <v>21</v>
      </c>
    </row>
    <row r="3162" spans="1:7">
      <c r="A3162">
        <v>3161</v>
      </c>
      <c r="B3162" t="str">
        <f>"026031"</f>
        <v>0</v>
      </c>
      <c r="C3162" t="s">
        <v>1548</v>
      </c>
      <c r="D3162" t="s">
        <v>5437</v>
      </c>
      <c r="E3162" t="str">
        <f>"1510100113200"</f>
        <v>0</v>
      </c>
      <c r="F3162" t="str">
        <f>"000730"</f>
        <v>0</v>
      </c>
      <c r="G3162" t="s">
        <v>21</v>
      </c>
    </row>
    <row r="3163" spans="1:7">
      <c r="A3163">
        <v>3162</v>
      </c>
      <c r="B3163" t="str">
        <f>"014974"</f>
        <v>0</v>
      </c>
      <c r="C3163" t="s">
        <v>3516</v>
      </c>
      <c r="D3163" t="s">
        <v>5438</v>
      </c>
      <c r="E3163" t="str">
        <f>"3501300655241"</f>
        <v>0</v>
      </c>
      <c r="F3163" t="str">
        <f>"000730"</f>
        <v>0</v>
      </c>
      <c r="G3163" t="s">
        <v>21</v>
      </c>
    </row>
    <row r="3164" spans="1:7">
      <c r="A3164">
        <v>3163</v>
      </c>
      <c r="B3164" t="str">
        <f>"008628"</f>
        <v>0</v>
      </c>
      <c r="C3164" t="s">
        <v>5439</v>
      </c>
      <c r="D3164" t="s">
        <v>5440</v>
      </c>
      <c r="E3164" t="str">
        <f>"3501400114730"</f>
        <v>0</v>
      </c>
      <c r="F3164" t="str">
        <f>"000730"</f>
        <v>0</v>
      </c>
      <c r="G3164" t="s">
        <v>21</v>
      </c>
    </row>
    <row r="3165" spans="1:7">
      <c r="A3165">
        <v>3164</v>
      </c>
      <c r="B3165" t="str">
        <f>"009058"</f>
        <v>0</v>
      </c>
      <c r="C3165" t="s">
        <v>5441</v>
      </c>
      <c r="D3165" t="s">
        <v>5442</v>
      </c>
      <c r="E3165" t="str">
        <f>"3501700108549"</f>
        <v>0</v>
      </c>
      <c r="F3165" t="str">
        <f>"000730"</f>
        <v>0</v>
      </c>
      <c r="G3165" t="s">
        <v>21</v>
      </c>
    </row>
    <row r="3166" spans="1:7">
      <c r="A3166">
        <v>3165</v>
      </c>
      <c r="B3166" t="str">
        <f>"009321"</f>
        <v>0</v>
      </c>
      <c r="C3166" t="s">
        <v>98</v>
      </c>
      <c r="D3166" t="s">
        <v>5443</v>
      </c>
      <c r="E3166" t="str">
        <f>"3510300387831"</f>
        <v>0</v>
      </c>
      <c r="F3166" t="str">
        <f>"000730"</f>
        <v>0</v>
      </c>
      <c r="G3166" t="s">
        <v>21</v>
      </c>
    </row>
    <row r="3167" spans="1:7">
      <c r="A3167">
        <v>3166</v>
      </c>
      <c r="B3167" t="str">
        <f>"010124"</f>
        <v>0</v>
      </c>
      <c r="C3167" t="s">
        <v>1408</v>
      </c>
      <c r="D3167" t="s">
        <v>5444</v>
      </c>
      <c r="E3167" t="str">
        <f>"3350500248798"</f>
        <v>0</v>
      </c>
      <c r="F3167" t="str">
        <f>"000730"</f>
        <v>0</v>
      </c>
      <c r="G3167" t="s">
        <v>21</v>
      </c>
    </row>
    <row r="3168" spans="1:7">
      <c r="A3168">
        <v>3167</v>
      </c>
      <c r="B3168" t="str">
        <f>"010527"</f>
        <v>0</v>
      </c>
      <c r="C3168" t="s">
        <v>5445</v>
      </c>
      <c r="D3168" t="s">
        <v>5371</v>
      </c>
      <c r="E3168" t="str">
        <f>"5670200011966"</f>
        <v>0</v>
      </c>
      <c r="F3168" t="str">
        <f>"000730"</f>
        <v>0</v>
      </c>
      <c r="G3168" t="s">
        <v>21</v>
      </c>
    </row>
    <row r="3169" spans="1:7">
      <c r="A3169">
        <v>3168</v>
      </c>
      <c r="B3169" t="str">
        <f>"011534"</f>
        <v>0</v>
      </c>
      <c r="C3169" t="s">
        <v>5446</v>
      </c>
      <c r="D3169" t="s">
        <v>5447</v>
      </c>
      <c r="E3169" t="str">
        <f>"3301000484876"</f>
        <v>0</v>
      </c>
      <c r="F3169" t="str">
        <f>"000730"</f>
        <v>0</v>
      </c>
      <c r="G3169" t="s">
        <v>21</v>
      </c>
    </row>
    <row r="3170" spans="1:7">
      <c r="A3170">
        <v>3169</v>
      </c>
      <c r="B3170" t="str">
        <f>"012069"</f>
        <v>0</v>
      </c>
      <c r="C3170" t="s">
        <v>442</v>
      </c>
      <c r="D3170" t="s">
        <v>5448</v>
      </c>
      <c r="E3170" t="str">
        <f>"3540400338491"</f>
        <v>0</v>
      </c>
      <c r="F3170" t="str">
        <f>"000730"</f>
        <v>0</v>
      </c>
      <c r="G3170" t="s">
        <v>21</v>
      </c>
    </row>
    <row r="3171" spans="1:7">
      <c r="A3171">
        <v>3170</v>
      </c>
      <c r="B3171" t="str">
        <f>"012268"</f>
        <v>0</v>
      </c>
      <c r="C3171" t="s">
        <v>5449</v>
      </c>
      <c r="D3171" t="s">
        <v>5450</v>
      </c>
      <c r="E3171" t="str">
        <f>"3501700216899"</f>
        <v>0</v>
      </c>
      <c r="F3171" t="str">
        <f>"000730"</f>
        <v>0</v>
      </c>
      <c r="G3171" t="s">
        <v>21</v>
      </c>
    </row>
    <row r="3172" spans="1:7">
      <c r="A3172">
        <v>3171</v>
      </c>
      <c r="B3172" t="str">
        <f>"012496"</f>
        <v>0</v>
      </c>
      <c r="C3172" t="s">
        <v>1944</v>
      </c>
      <c r="D3172" t="s">
        <v>5451</v>
      </c>
      <c r="E3172" t="str">
        <f>"3550600026639"</f>
        <v>0</v>
      </c>
      <c r="F3172" t="str">
        <f>"000730"</f>
        <v>0</v>
      </c>
      <c r="G3172" t="s">
        <v>21</v>
      </c>
    </row>
    <row r="3173" spans="1:7">
      <c r="A3173">
        <v>3172</v>
      </c>
      <c r="B3173" t="str">
        <f>"012598"</f>
        <v>0</v>
      </c>
      <c r="C3173" t="s">
        <v>470</v>
      </c>
      <c r="D3173" t="s">
        <v>5452</v>
      </c>
      <c r="E3173" t="str">
        <f>"3510600171299"</f>
        <v>0</v>
      </c>
      <c r="F3173" t="str">
        <f>"000730"</f>
        <v>0</v>
      </c>
      <c r="G3173" t="s">
        <v>21</v>
      </c>
    </row>
    <row r="3174" spans="1:7">
      <c r="A3174">
        <v>3173</v>
      </c>
      <c r="B3174" t="str">
        <f>"012843"</f>
        <v>0</v>
      </c>
      <c r="C3174" t="s">
        <v>311</v>
      </c>
      <c r="D3174" t="s">
        <v>5453</v>
      </c>
      <c r="E3174" t="str">
        <f>"3540400634317"</f>
        <v>0</v>
      </c>
      <c r="F3174" t="str">
        <f>"000730"</f>
        <v>0</v>
      </c>
      <c r="G3174" t="s">
        <v>21</v>
      </c>
    </row>
    <row r="3175" spans="1:7">
      <c r="A3175">
        <v>3174</v>
      </c>
      <c r="B3175" t="str">
        <f>"013026"</f>
        <v>0</v>
      </c>
      <c r="C3175" t="s">
        <v>494</v>
      </c>
      <c r="D3175" t="s">
        <v>5454</v>
      </c>
      <c r="E3175" t="str">
        <f>"3540200588290"</f>
        <v>0</v>
      </c>
      <c r="F3175" t="str">
        <f>"000730"</f>
        <v>0</v>
      </c>
      <c r="G3175" t="s">
        <v>21</v>
      </c>
    </row>
    <row r="3176" spans="1:7">
      <c r="A3176">
        <v>3175</v>
      </c>
      <c r="B3176" t="str">
        <f>"014653"</f>
        <v>0</v>
      </c>
      <c r="C3176" t="s">
        <v>1162</v>
      </c>
      <c r="D3176" t="s">
        <v>5455</v>
      </c>
      <c r="E3176" t="str">
        <f>"3451300128454"</f>
        <v>0</v>
      </c>
      <c r="F3176" t="str">
        <f>"000730"</f>
        <v>0</v>
      </c>
      <c r="G3176" t="s">
        <v>21</v>
      </c>
    </row>
    <row r="3177" spans="1:7">
      <c r="A3177">
        <v>3176</v>
      </c>
      <c r="B3177" t="str">
        <f>"015077"</f>
        <v>0</v>
      </c>
      <c r="C3177" t="s">
        <v>4785</v>
      </c>
      <c r="D3177" t="s">
        <v>5456</v>
      </c>
      <c r="E3177" t="str">
        <f>"3529900254261"</f>
        <v>0</v>
      </c>
      <c r="F3177" t="str">
        <f>"000730"</f>
        <v>0</v>
      </c>
      <c r="G3177" t="s">
        <v>21</v>
      </c>
    </row>
    <row r="3178" spans="1:7">
      <c r="A3178">
        <v>3177</v>
      </c>
      <c r="B3178" t="str">
        <f>"016579"</f>
        <v>0</v>
      </c>
      <c r="C3178" t="s">
        <v>5457</v>
      </c>
      <c r="D3178" t="s">
        <v>5458</v>
      </c>
      <c r="E3178" t="str">
        <f>"3180100362692"</f>
        <v>0</v>
      </c>
      <c r="F3178" t="str">
        <f>"000730"</f>
        <v>0</v>
      </c>
      <c r="G3178" t="s">
        <v>21</v>
      </c>
    </row>
    <row r="3179" spans="1:7">
      <c r="A3179">
        <v>3178</v>
      </c>
      <c r="B3179" t="str">
        <f>"016854"</f>
        <v>0</v>
      </c>
      <c r="C3179" t="s">
        <v>98</v>
      </c>
      <c r="D3179" t="s">
        <v>5459</v>
      </c>
      <c r="E3179" t="str">
        <f>"3501700064185"</f>
        <v>0</v>
      </c>
      <c r="F3179" t="str">
        <f>"000730"</f>
        <v>0</v>
      </c>
      <c r="G3179" t="s">
        <v>21</v>
      </c>
    </row>
    <row r="3180" spans="1:7">
      <c r="A3180">
        <v>3179</v>
      </c>
      <c r="B3180" t="str">
        <f>"017538"</f>
        <v>0</v>
      </c>
      <c r="C3180" t="s">
        <v>44</v>
      </c>
      <c r="D3180" t="s">
        <v>5460</v>
      </c>
      <c r="E3180" t="str">
        <f>"3501200134621"</f>
        <v>0</v>
      </c>
      <c r="F3180" t="str">
        <f>"000730"</f>
        <v>0</v>
      </c>
      <c r="G3180" t="s">
        <v>21</v>
      </c>
    </row>
    <row r="3181" spans="1:7">
      <c r="A3181">
        <v>3180</v>
      </c>
      <c r="B3181" t="str">
        <f>"017666"</f>
        <v>0</v>
      </c>
      <c r="C3181" t="s">
        <v>5461</v>
      </c>
      <c r="D3181" t="s">
        <v>5462</v>
      </c>
      <c r="E3181" t="str">
        <f>"5509900010821"</f>
        <v>0</v>
      </c>
      <c r="F3181" t="str">
        <f>"000730"</f>
        <v>0</v>
      </c>
      <c r="G3181" t="s">
        <v>21</v>
      </c>
    </row>
    <row r="3182" spans="1:7">
      <c r="A3182">
        <v>3181</v>
      </c>
      <c r="B3182" t="str">
        <f>"017850"</f>
        <v>0</v>
      </c>
      <c r="C3182" t="s">
        <v>5463</v>
      </c>
      <c r="D3182" t="s">
        <v>5464</v>
      </c>
      <c r="E3182" t="str">
        <f>"3501900480361"</f>
        <v>0</v>
      </c>
      <c r="F3182" t="str">
        <f>"000730"</f>
        <v>0</v>
      </c>
      <c r="G3182" t="s">
        <v>21</v>
      </c>
    </row>
    <row r="3183" spans="1:7">
      <c r="A3183">
        <v>3182</v>
      </c>
      <c r="B3183" t="str">
        <f>"018711"</f>
        <v>0</v>
      </c>
      <c r="C3183" t="s">
        <v>5465</v>
      </c>
      <c r="D3183" t="s">
        <v>398</v>
      </c>
      <c r="E3183" t="str">
        <f>"3100904370031"</f>
        <v>0</v>
      </c>
      <c r="F3183" t="str">
        <f>"000730"</f>
        <v>0</v>
      </c>
      <c r="G3183" t="s">
        <v>21</v>
      </c>
    </row>
    <row r="3184" spans="1:7">
      <c r="A3184">
        <v>3183</v>
      </c>
      <c r="B3184" t="str">
        <f>"018844"</f>
        <v>0</v>
      </c>
      <c r="C3184" t="s">
        <v>5466</v>
      </c>
      <c r="D3184" t="s">
        <v>5467</v>
      </c>
      <c r="E3184" t="str">
        <f>"3760100631191"</f>
        <v>0</v>
      </c>
      <c r="F3184" t="str">
        <f>"000730"</f>
        <v>0</v>
      </c>
      <c r="G3184" t="s">
        <v>21</v>
      </c>
    </row>
    <row r="3185" spans="1:7">
      <c r="A3185">
        <v>3184</v>
      </c>
      <c r="B3185" t="str">
        <f>"018884"</f>
        <v>0</v>
      </c>
      <c r="C3185" t="s">
        <v>5191</v>
      </c>
      <c r="D3185" t="s">
        <v>5468</v>
      </c>
      <c r="E3185" t="str">
        <f>"3560500701415"</f>
        <v>0</v>
      </c>
      <c r="F3185" t="str">
        <f>"000730"</f>
        <v>0</v>
      </c>
      <c r="G3185" t="s">
        <v>21</v>
      </c>
    </row>
    <row r="3186" spans="1:7">
      <c r="A3186">
        <v>3185</v>
      </c>
      <c r="B3186" t="str">
        <f>"018940"</f>
        <v>0</v>
      </c>
      <c r="C3186" t="s">
        <v>5469</v>
      </c>
      <c r="D3186" t="s">
        <v>5470</v>
      </c>
      <c r="E3186" t="str">
        <f>"3659900237322"</f>
        <v>0</v>
      </c>
      <c r="F3186" t="str">
        <f>"000730"</f>
        <v>0</v>
      </c>
      <c r="G3186" t="s">
        <v>21</v>
      </c>
    </row>
    <row r="3187" spans="1:7">
      <c r="A3187">
        <v>3186</v>
      </c>
      <c r="B3187" t="str">
        <f>"019000"</f>
        <v>0</v>
      </c>
      <c r="C3187" t="s">
        <v>5471</v>
      </c>
      <c r="D3187" t="s">
        <v>5472</v>
      </c>
      <c r="E3187" t="str">
        <f>"3510300338091"</f>
        <v>0</v>
      </c>
      <c r="F3187" t="str">
        <f>"000730"</f>
        <v>0</v>
      </c>
      <c r="G3187" t="s">
        <v>21</v>
      </c>
    </row>
    <row r="3188" spans="1:7">
      <c r="A3188">
        <v>3187</v>
      </c>
      <c r="B3188" t="str">
        <f>"019781"</f>
        <v>0</v>
      </c>
      <c r="C3188" t="s">
        <v>5473</v>
      </c>
      <c r="D3188" t="s">
        <v>5474</v>
      </c>
      <c r="E3188" t="str">
        <f>"3500500221740"</f>
        <v>0</v>
      </c>
      <c r="F3188" t="str">
        <f>"000730"</f>
        <v>0</v>
      </c>
      <c r="G3188" t="s">
        <v>21</v>
      </c>
    </row>
    <row r="3189" spans="1:7">
      <c r="A3189">
        <v>3188</v>
      </c>
      <c r="B3189" t="str">
        <f>"019846"</f>
        <v>0</v>
      </c>
      <c r="C3189" t="s">
        <v>5475</v>
      </c>
      <c r="D3189" t="s">
        <v>5476</v>
      </c>
      <c r="E3189" t="str">
        <f>"3501200247078"</f>
        <v>0</v>
      </c>
      <c r="F3189" t="str">
        <f>"000730"</f>
        <v>0</v>
      </c>
      <c r="G3189" t="s">
        <v>21</v>
      </c>
    </row>
    <row r="3190" spans="1:7">
      <c r="A3190">
        <v>3189</v>
      </c>
      <c r="B3190" t="str">
        <f>"019872"</f>
        <v>0</v>
      </c>
      <c r="C3190" t="s">
        <v>1200</v>
      </c>
      <c r="D3190" t="s">
        <v>5477</v>
      </c>
      <c r="E3190" t="str">
        <f>"3501400580251"</f>
        <v>0</v>
      </c>
      <c r="F3190" t="str">
        <f>"000730"</f>
        <v>0</v>
      </c>
      <c r="G3190" t="s">
        <v>21</v>
      </c>
    </row>
    <row r="3191" spans="1:7">
      <c r="A3191">
        <v>3190</v>
      </c>
      <c r="B3191" t="str">
        <f>"020042"</f>
        <v>0</v>
      </c>
      <c r="C3191" t="s">
        <v>2232</v>
      </c>
      <c r="D3191" t="s">
        <v>5478</v>
      </c>
      <c r="E3191" t="str">
        <f>"3501300149655"</f>
        <v>0</v>
      </c>
      <c r="F3191" t="str">
        <f>"000730"</f>
        <v>0</v>
      </c>
      <c r="G3191" t="s">
        <v>21</v>
      </c>
    </row>
    <row r="3192" spans="1:7">
      <c r="A3192">
        <v>3191</v>
      </c>
      <c r="B3192" t="str">
        <f>"020160"</f>
        <v>0</v>
      </c>
      <c r="C3192" t="s">
        <v>5479</v>
      </c>
      <c r="D3192" t="s">
        <v>5480</v>
      </c>
      <c r="E3192" t="str">
        <f>"3100201915841"</f>
        <v>0</v>
      </c>
      <c r="F3192" t="str">
        <f>"000730"</f>
        <v>0</v>
      </c>
      <c r="G3192" t="s">
        <v>21</v>
      </c>
    </row>
    <row r="3193" spans="1:7">
      <c r="A3193">
        <v>3192</v>
      </c>
      <c r="B3193" t="str">
        <f>"020746"</f>
        <v>0</v>
      </c>
      <c r="C3193" t="s">
        <v>5481</v>
      </c>
      <c r="D3193" t="s">
        <v>5482</v>
      </c>
      <c r="E3193" t="str">
        <f>"3610400451025"</f>
        <v>0</v>
      </c>
      <c r="F3193" t="str">
        <f>"000730"</f>
        <v>0</v>
      </c>
      <c r="G3193" t="s">
        <v>21</v>
      </c>
    </row>
    <row r="3194" spans="1:7">
      <c r="A3194">
        <v>3193</v>
      </c>
      <c r="B3194" t="str">
        <f>"020816"</f>
        <v>0</v>
      </c>
      <c r="C3194" t="s">
        <v>5483</v>
      </c>
      <c r="D3194" t="s">
        <v>5484</v>
      </c>
      <c r="E3194" t="str">
        <f>"5510490004535"</f>
        <v>0</v>
      </c>
      <c r="F3194" t="str">
        <f>"000730"</f>
        <v>0</v>
      </c>
      <c r="G3194" t="s">
        <v>21</v>
      </c>
    </row>
    <row r="3195" spans="1:7">
      <c r="A3195">
        <v>3194</v>
      </c>
      <c r="B3195" t="str">
        <f>"020850"</f>
        <v>0</v>
      </c>
      <c r="C3195" t="s">
        <v>5485</v>
      </c>
      <c r="D3195" t="s">
        <v>5486</v>
      </c>
      <c r="E3195" t="str">
        <f>"3430100447598"</f>
        <v>0</v>
      </c>
      <c r="F3195" t="str">
        <f>"000730"</f>
        <v>0</v>
      </c>
      <c r="G3195" t="s">
        <v>21</v>
      </c>
    </row>
    <row r="3196" spans="1:7">
      <c r="A3196">
        <v>3195</v>
      </c>
      <c r="B3196" t="str">
        <f>"020968"</f>
        <v>0</v>
      </c>
      <c r="C3196" t="s">
        <v>686</v>
      </c>
      <c r="D3196" t="s">
        <v>5487</v>
      </c>
      <c r="E3196" t="str">
        <f>"3501000365531"</f>
        <v>0</v>
      </c>
      <c r="F3196" t="str">
        <f>"000730"</f>
        <v>0</v>
      </c>
      <c r="G3196" t="s">
        <v>21</v>
      </c>
    </row>
    <row r="3197" spans="1:7">
      <c r="A3197">
        <v>3196</v>
      </c>
      <c r="B3197" t="str">
        <f>"021034"</f>
        <v>0</v>
      </c>
      <c r="C3197" t="s">
        <v>5488</v>
      </c>
      <c r="D3197" t="s">
        <v>5489</v>
      </c>
      <c r="E3197" t="str">
        <f>"3501900606941"</f>
        <v>0</v>
      </c>
      <c r="F3197" t="str">
        <f>"000730"</f>
        <v>0</v>
      </c>
      <c r="G3197" t="s">
        <v>21</v>
      </c>
    </row>
    <row r="3198" spans="1:7">
      <c r="A3198">
        <v>3197</v>
      </c>
      <c r="B3198" t="str">
        <f>"021149"</f>
        <v>0</v>
      </c>
      <c r="C3198" t="s">
        <v>5490</v>
      </c>
      <c r="D3198" t="s">
        <v>5491</v>
      </c>
      <c r="E3198" t="str">
        <f>"1500300024057"</f>
        <v>0</v>
      </c>
      <c r="F3198" t="str">
        <f>"000730"</f>
        <v>0</v>
      </c>
      <c r="G3198" t="s">
        <v>21</v>
      </c>
    </row>
    <row r="3199" spans="1:7">
      <c r="A3199">
        <v>3198</v>
      </c>
      <c r="B3199" t="str">
        <f>"021222"</f>
        <v>0</v>
      </c>
      <c r="C3199" t="s">
        <v>5492</v>
      </c>
      <c r="D3199" t="s">
        <v>5493</v>
      </c>
      <c r="E3199" t="str">
        <f>"3460100794255"</f>
        <v>0</v>
      </c>
      <c r="F3199" t="str">
        <f>"000730"</f>
        <v>0</v>
      </c>
      <c r="G3199" t="s">
        <v>21</v>
      </c>
    </row>
    <row r="3200" spans="1:7">
      <c r="A3200">
        <v>3199</v>
      </c>
      <c r="B3200" t="str">
        <f>"021385"</f>
        <v>0</v>
      </c>
      <c r="C3200" t="s">
        <v>5494</v>
      </c>
      <c r="D3200" t="s">
        <v>5495</v>
      </c>
      <c r="E3200" t="str">
        <f>"3500200542770"</f>
        <v>0</v>
      </c>
      <c r="F3200" t="str">
        <f>"000730"</f>
        <v>0</v>
      </c>
      <c r="G3200" t="s">
        <v>21</v>
      </c>
    </row>
    <row r="3201" spans="1:7">
      <c r="A3201">
        <v>3200</v>
      </c>
      <c r="B3201" t="str">
        <f>"021478"</f>
        <v>0</v>
      </c>
      <c r="C3201" t="s">
        <v>5496</v>
      </c>
      <c r="D3201" t="s">
        <v>5497</v>
      </c>
      <c r="E3201" t="str">
        <f>"3500800071085"</f>
        <v>0</v>
      </c>
      <c r="F3201" t="str">
        <f>"000730"</f>
        <v>0</v>
      </c>
      <c r="G3201" t="s">
        <v>21</v>
      </c>
    </row>
    <row r="3202" spans="1:7">
      <c r="A3202">
        <v>3201</v>
      </c>
      <c r="B3202" t="str">
        <f>"021506"</f>
        <v>0</v>
      </c>
      <c r="C3202" t="s">
        <v>5498</v>
      </c>
      <c r="D3202" t="s">
        <v>5499</v>
      </c>
      <c r="E3202" t="str">
        <f>"3500600029247"</f>
        <v>0</v>
      </c>
      <c r="F3202" t="str">
        <f>"000730"</f>
        <v>0</v>
      </c>
      <c r="G3202" t="s">
        <v>21</v>
      </c>
    </row>
    <row r="3203" spans="1:7">
      <c r="A3203">
        <v>3202</v>
      </c>
      <c r="B3203" t="str">
        <f>"021520"</f>
        <v>0</v>
      </c>
      <c r="C3203" t="s">
        <v>5500</v>
      </c>
      <c r="D3203" t="s">
        <v>5501</v>
      </c>
      <c r="E3203" t="str">
        <f>"3500500428298"</f>
        <v>0</v>
      </c>
      <c r="F3203" t="str">
        <f>"000730"</f>
        <v>0</v>
      </c>
      <c r="G3203" t="s">
        <v>21</v>
      </c>
    </row>
    <row r="3204" spans="1:7">
      <c r="A3204">
        <v>3203</v>
      </c>
      <c r="B3204" t="str">
        <f>"021524"</f>
        <v>0</v>
      </c>
      <c r="C3204" t="s">
        <v>5502</v>
      </c>
      <c r="D3204" t="s">
        <v>5503</v>
      </c>
      <c r="E3204" t="str">
        <f>"3500200462555"</f>
        <v>0</v>
      </c>
      <c r="F3204" t="str">
        <f>"000730"</f>
        <v>0</v>
      </c>
      <c r="G3204" t="s">
        <v>21</v>
      </c>
    </row>
    <row r="3205" spans="1:7">
      <c r="A3205">
        <v>3204</v>
      </c>
      <c r="B3205" t="str">
        <f>"021572"</f>
        <v>0</v>
      </c>
      <c r="C3205" t="s">
        <v>5504</v>
      </c>
      <c r="D3205" t="s">
        <v>5505</v>
      </c>
      <c r="E3205" t="str">
        <f>"3500900704683"</f>
        <v>0</v>
      </c>
      <c r="F3205" t="str">
        <f>"000730"</f>
        <v>0</v>
      </c>
      <c r="G3205" t="s">
        <v>21</v>
      </c>
    </row>
    <row r="3206" spans="1:7">
      <c r="A3206">
        <v>3205</v>
      </c>
      <c r="B3206" t="str">
        <f>"021603"</f>
        <v>0</v>
      </c>
      <c r="C3206" t="s">
        <v>1561</v>
      </c>
      <c r="D3206" t="s">
        <v>5506</v>
      </c>
      <c r="E3206" t="str">
        <f>"3439900124481"</f>
        <v>0</v>
      </c>
      <c r="F3206" t="str">
        <f>"000730"</f>
        <v>0</v>
      </c>
      <c r="G3206" t="s">
        <v>21</v>
      </c>
    </row>
    <row r="3207" spans="1:7">
      <c r="A3207">
        <v>3206</v>
      </c>
      <c r="B3207" t="str">
        <f>"021610"</f>
        <v>0</v>
      </c>
      <c r="C3207" t="s">
        <v>5507</v>
      </c>
      <c r="D3207" t="s">
        <v>5508</v>
      </c>
      <c r="E3207" t="str">
        <f>"3500900162945"</f>
        <v>0</v>
      </c>
      <c r="F3207" t="str">
        <f>"000730"</f>
        <v>0</v>
      </c>
      <c r="G3207" t="s">
        <v>21</v>
      </c>
    </row>
    <row r="3208" spans="1:7">
      <c r="A3208">
        <v>3207</v>
      </c>
      <c r="B3208" t="str">
        <f>"021741"</f>
        <v>0</v>
      </c>
      <c r="C3208" t="s">
        <v>2662</v>
      </c>
      <c r="D3208" t="s">
        <v>5509</v>
      </c>
      <c r="E3208" t="str">
        <f>"3501500203084"</f>
        <v>0</v>
      </c>
      <c r="F3208" t="str">
        <f>"000730"</f>
        <v>0</v>
      </c>
      <c r="G3208" t="s">
        <v>21</v>
      </c>
    </row>
    <row r="3209" spans="1:7">
      <c r="A3209">
        <v>3208</v>
      </c>
      <c r="B3209" t="str">
        <f>"021752"</f>
        <v>0</v>
      </c>
      <c r="C3209" t="s">
        <v>68</v>
      </c>
      <c r="D3209" t="s">
        <v>5510</v>
      </c>
      <c r="E3209" t="str">
        <f>"3500200592696"</f>
        <v>0</v>
      </c>
      <c r="F3209" t="str">
        <f>"000730"</f>
        <v>0</v>
      </c>
      <c r="G3209" t="s">
        <v>21</v>
      </c>
    </row>
    <row r="3210" spans="1:7">
      <c r="A3210">
        <v>3209</v>
      </c>
      <c r="B3210" t="str">
        <f>"021840"</f>
        <v>0</v>
      </c>
      <c r="C3210" t="s">
        <v>181</v>
      </c>
      <c r="D3210" t="s">
        <v>5511</v>
      </c>
      <c r="E3210" t="str">
        <f>"3500300270356"</f>
        <v>0</v>
      </c>
      <c r="F3210" t="str">
        <f>"000730"</f>
        <v>0</v>
      </c>
      <c r="G3210" t="s">
        <v>21</v>
      </c>
    </row>
    <row r="3211" spans="1:7">
      <c r="A3211">
        <v>3210</v>
      </c>
      <c r="B3211" t="str">
        <f>"021883"</f>
        <v>0</v>
      </c>
      <c r="C3211" t="s">
        <v>5512</v>
      </c>
      <c r="D3211" t="s">
        <v>5513</v>
      </c>
      <c r="E3211" t="str">
        <f>"3500900303131"</f>
        <v>0</v>
      </c>
      <c r="F3211" t="str">
        <f>"000730"</f>
        <v>0</v>
      </c>
      <c r="G3211" t="s">
        <v>21</v>
      </c>
    </row>
    <row r="3212" spans="1:7">
      <c r="A3212">
        <v>3211</v>
      </c>
      <c r="B3212" t="str">
        <f>"021919"</f>
        <v>0</v>
      </c>
      <c r="C3212" t="s">
        <v>5514</v>
      </c>
      <c r="D3212" t="s">
        <v>5515</v>
      </c>
      <c r="E3212" t="str">
        <f>"1509900052971"</f>
        <v>0</v>
      </c>
      <c r="F3212" t="str">
        <f>"000730"</f>
        <v>0</v>
      </c>
      <c r="G3212" t="s">
        <v>21</v>
      </c>
    </row>
    <row r="3213" spans="1:7">
      <c r="A3213">
        <v>3212</v>
      </c>
      <c r="B3213" t="str">
        <f>"021977"</f>
        <v>0</v>
      </c>
      <c r="C3213" t="s">
        <v>2566</v>
      </c>
      <c r="D3213" t="s">
        <v>5516</v>
      </c>
      <c r="E3213" t="str">
        <f>"3501900108364"</f>
        <v>0</v>
      </c>
      <c r="F3213" t="str">
        <f>"000730"</f>
        <v>0</v>
      </c>
      <c r="G3213" t="s">
        <v>21</v>
      </c>
    </row>
    <row r="3214" spans="1:7">
      <c r="A3214">
        <v>3213</v>
      </c>
      <c r="B3214" t="str">
        <f>"022011"</f>
        <v>0</v>
      </c>
      <c r="C3214" t="s">
        <v>2813</v>
      </c>
      <c r="D3214" t="s">
        <v>5517</v>
      </c>
      <c r="E3214" t="str">
        <f>"4609800001503"</f>
        <v>0</v>
      </c>
      <c r="F3214" t="str">
        <f>"000730"</f>
        <v>0</v>
      </c>
      <c r="G3214" t="s">
        <v>21</v>
      </c>
    </row>
    <row r="3215" spans="1:7">
      <c r="A3215">
        <v>3214</v>
      </c>
      <c r="B3215" t="str">
        <f>"022128"</f>
        <v>0</v>
      </c>
      <c r="C3215" t="s">
        <v>5518</v>
      </c>
      <c r="D3215" t="s">
        <v>2681</v>
      </c>
      <c r="E3215" t="str">
        <f>"3509901316626"</f>
        <v>0</v>
      </c>
      <c r="F3215" t="str">
        <f>"000730"</f>
        <v>0</v>
      </c>
      <c r="G3215" t="s">
        <v>21</v>
      </c>
    </row>
    <row r="3216" spans="1:7">
      <c r="A3216">
        <v>3215</v>
      </c>
      <c r="B3216" t="str">
        <f>"022334"</f>
        <v>0</v>
      </c>
      <c r="C3216" t="s">
        <v>3171</v>
      </c>
      <c r="D3216" t="s">
        <v>5519</v>
      </c>
      <c r="E3216" t="str">
        <f>"3500200747045"</f>
        <v>0</v>
      </c>
      <c r="F3216" t="str">
        <f>"000730"</f>
        <v>0</v>
      </c>
      <c r="G3216" t="s">
        <v>21</v>
      </c>
    </row>
    <row r="3217" spans="1:7">
      <c r="A3217">
        <v>3216</v>
      </c>
      <c r="B3217" t="str">
        <f>"022363"</f>
        <v>0</v>
      </c>
      <c r="C3217" t="s">
        <v>5520</v>
      </c>
      <c r="D3217" t="s">
        <v>5521</v>
      </c>
      <c r="E3217" t="str">
        <f>"3501200851692"</f>
        <v>0</v>
      </c>
      <c r="F3217" t="str">
        <f>"000730"</f>
        <v>0</v>
      </c>
      <c r="G3217" t="s">
        <v>21</v>
      </c>
    </row>
    <row r="3218" spans="1:7">
      <c r="A3218">
        <v>3217</v>
      </c>
      <c r="B3218" t="str">
        <f>"022368"</f>
        <v>0</v>
      </c>
      <c r="C3218" t="s">
        <v>2325</v>
      </c>
      <c r="D3218" t="s">
        <v>5522</v>
      </c>
      <c r="E3218" t="str">
        <f>"3510300112785"</f>
        <v>0</v>
      </c>
      <c r="F3218" t="str">
        <f>"000730"</f>
        <v>0</v>
      </c>
      <c r="G3218" t="s">
        <v>21</v>
      </c>
    </row>
    <row r="3219" spans="1:7">
      <c r="A3219">
        <v>3218</v>
      </c>
      <c r="B3219" t="str">
        <f>"022410"</f>
        <v>0</v>
      </c>
      <c r="C3219" t="s">
        <v>3546</v>
      </c>
      <c r="D3219" t="s">
        <v>5523</v>
      </c>
      <c r="E3219" t="str">
        <f>"3500300085800"</f>
        <v>0</v>
      </c>
      <c r="F3219" t="str">
        <f>"000730"</f>
        <v>0</v>
      </c>
      <c r="G3219" t="s">
        <v>21</v>
      </c>
    </row>
    <row r="3220" spans="1:7">
      <c r="A3220">
        <v>3219</v>
      </c>
      <c r="B3220" t="str">
        <f>"022524"</f>
        <v>0</v>
      </c>
      <c r="C3220" t="s">
        <v>5524</v>
      </c>
      <c r="D3220" t="s">
        <v>5525</v>
      </c>
      <c r="E3220" t="str">
        <f>"3501300520388"</f>
        <v>0</v>
      </c>
      <c r="F3220" t="str">
        <f>"000730"</f>
        <v>0</v>
      </c>
      <c r="G3220" t="s">
        <v>21</v>
      </c>
    </row>
    <row r="3221" spans="1:7">
      <c r="A3221">
        <v>3220</v>
      </c>
      <c r="B3221" t="str">
        <f>"022612"</f>
        <v>0</v>
      </c>
      <c r="C3221" t="s">
        <v>5526</v>
      </c>
      <c r="D3221" t="s">
        <v>5527</v>
      </c>
      <c r="E3221" t="str">
        <f>"3509901328918"</f>
        <v>0</v>
      </c>
      <c r="F3221" t="str">
        <f>"000730"</f>
        <v>0</v>
      </c>
      <c r="G3221" t="s">
        <v>21</v>
      </c>
    </row>
    <row r="3222" spans="1:7">
      <c r="A3222">
        <v>3221</v>
      </c>
      <c r="B3222" t="str">
        <f>"022649"</f>
        <v>0</v>
      </c>
      <c r="C3222" t="s">
        <v>5528</v>
      </c>
      <c r="D3222" t="s">
        <v>5529</v>
      </c>
      <c r="E3222" t="str">
        <f>"1509900435986"</f>
        <v>0</v>
      </c>
      <c r="F3222" t="str">
        <f>"000730"</f>
        <v>0</v>
      </c>
      <c r="G3222" t="s">
        <v>21</v>
      </c>
    </row>
    <row r="3223" spans="1:7">
      <c r="A3223">
        <v>3222</v>
      </c>
      <c r="B3223" t="str">
        <f>"022745"</f>
        <v>0</v>
      </c>
      <c r="C3223" t="s">
        <v>5530</v>
      </c>
      <c r="D3223" t="s">
        <v>5531</v>
      </c>
      <c r="E3223" t="str">
        <f>"3500200687000"</f>
        <v>0</v>
      </c>
      <c r="F3223" t="str">
        <f>"000730"</f>
        <v>0</v>
      </c>
      <c r="G3223" t="s">
        <v>21</v>
      </c>
    </row>
    <row r="3224" spans="1:7">
      <c r="A3224">
        <v>3223</v>
      </c>
      <c r="B3224" t="str">
        <f>"022791"</f>
        <v>0</v>
      </c>
      <c r="C3224" t="s">
        <v>5532</v>
      </c>
      <c r="D3224" t="s">
        <v>5533</v>
      </c>
      <c r="E3224" t="str">
        <f>"3500900316497"</f>
        <v>0</v>
      </c>
      <c r="F3224" t="str">
        <f>"000730"</f>
        <v>0</v>
      </c>
      <c r="G3224" t="s">
        <v>21</v>
      </c>
    </row>
    <row r="3225" spans="1:7">
      <c r="A3225">
        <v>3224</v>
      </c>
      <c r="B3225" t="str">
        <f>"022795"</f>
        <v>0</v>
      </c>
      <c r="C3225" t="s">
        <v>5534</v>
      </c>
      <c r="D3225" t="s">
        <v>5535</v>
      </c>
      <c r="E3225" t="str">
        <f>"3500600422020"</f>
        <v>0</v>
      </c>
      <c r="F3225" t="str">
        <f>"000730"</f>
        <v>0</v>
      </c>
      <c r="G3225" t="s">
        <v>21</v>
      </c>
    </row>
    <row r="3226" spans="1:7">
      <c r="A3226">
        <v>3225</v>
      </c>
      <c r="B3226" t="str">
        <f>"022920"</f>
        <v>0</v>
      </c>
      <c r="C3226" t="s">
        <v>5061</v>
      </c>
      <c r="D3226" t="s">
        <v>5536</v>
      </c>
      <c r="E3226" t="str">
        <f>"1501100062002"</f>
        <v>0</v>
      </c>
      <c r="F3226" t="str">
        <f>"000730"</f>
        <v>0</v>
      </c>
      <c r="G3226" t="s">
        <v>21</v>
      </c>
    </row>
    <row r="3227" spans="1:7">
      <c r="A3227">
        <v>3226</v>
      </c>
      <c r="B3227" t="str">
        <f>"022972"</f>
        <v>0</v>
      </c>
      <c r="C3227" t="s">
        <v>5537</v>
      </c>
      <c r="D3227" t="s">
        <v>5538</v>
      </c>
      <c r="E3227" t="str">
        <f>"1510100008775"</f>
        <v>0</v>
      </c>
      <c r="F3227" t="str">
        <f>"000730"</f>
        <v>0</v>
      </c>
      <c r="G3227" t="s">
        <v>21</v>
      </c>
    </row>
    <row r="3228" spans="1:7">
      <c r="A3228">
        <v>3227</v>
      </c>
      <c r="B3228" t="str">
        <f>"023001"</f>
        <v>0</v>
      </c>
      <c r="C3228" t="s">
        <v>3240</v>
      </c>
      <c r="D3228" t="s">
        <v>5539</v>
      </c>
      <c r="E3228" t="str">
        <f>"1509900468914"</f>
        <v>0</v>
      </c>
      <c r="F3228" t="str">
        <f>"000730"</f>
        <v>0</v>
      </c>
      <c r="G3228" t="s">
        <v>21</v>
      </c>
    </row>
    <row r="3229" spans="1:7">
      <c r="A3229">
        <v>3228</v>
      </c>
      <c r="B3229" t="str">
        <f>"023066"</f>
        <v>0</v>
      </c>
      <c r="C3229" t="s">
        <v>5540</v>
      </c>
      <c r="D3229" t="s">
        <v>5541</v>
      </c>
      <c r="E3229" t="str">
        <f>"3501900275694"</f>
        <v>0</v>
      </c>
      <c r="F3229" t="str">
        <f>"000730"</f>
        <v>0</v>
      </c>
      <c r="G3229" t="s">
        <v>21</v>
      </c>
    </row>
    <row r="3230" spans="1:7">
      <c r="A3230">
        <v>3229</v>
      </c>
      <c r="B3230" t="str">
        <f>"023170"</f>
        <v>0</v>
      </c>
      <c r="C3230" t="s">
        <v>5542</v>
      </c>
      <c r="D3230" t="s">
        <v>1578</v>
      </c>
      <c r="E3230" t="str">
        <f>"1199900009468"</f>
        <v>0</v>
      </c>
      <c r="F3230" t="str">
        <f>"000730"</f>
        <v>0</v>
      </c>
      <c r="G3230" t="s">
        <v>21</v>
      </c>
    </row>
    <row r="3231" spans="1:7">
      <c r="A3231">
        <v>3230</v>
      </c>
      <c r="B3231" t="str">
        <f>"023190"</f>
        <v>0</v>
      </c>
      <c r="C3231" t="s">
        <v>5543</v>
      </c>
      <c r="D3231" t="s">
        <v>5544</v>
      </c>
      <c r="E3231" t="str">
        <f>"1501000003136"</f>
        <v>0</v>
      </c>
      <c r="F3231" t="str">
        <f>"000730"</f>
        <v>0</v>
      </c>
      <c r="G3231" t="s">
        <v>21</v>
      </c>
    </row>
    <row r="3232" spans="1:7">
      <c r="A3232">
        <v>3231</v>
      </c>
      <c r="B3232" t="str">
        <f>"023216"</f>
        <v>0</v>
      </c>
      <c r="C3232" t="s">
        <v>5545</v>
      </c>
      <c r="D3232" t="s">
        <v>5255</v>
      </c>
      <c r="E3232" t="str">
        <f>"3360101243717"</f>
        <v>0</v>
      </c>
      <c r="F3232" t="str">
        <f>"000730"</f>
        <v>0</v>
      </c>
      <c r="G3232" t="s">
        <v>21</v>
      </c>
    </row>
    <row r="3233" spans="1:7">
      <c r="A3233">
        <v>3232</v>
      </c>
      <c r="B3233" t="str">
        <f>"023218"</f>
        <v>0</v>
      </c>
      <c r="C3233" t="s">
        <v>5546</v>
      </c>
      <c r="D3233" t="s">
        <v>5547</v>
      </c>
      <c r="E3233" t="str">
        <f>"1509900096413"</f>
        <v>0</v>
      </c>
      <c r="F3233" t="str">
        <f>"000730"</f>
        <v>0</v>
      </c>
      <c r="G3233" t="s">
        <v>21</v>
      </c>
    </row>
    <row r="3234" spans="1:7">
      <c r="A3234">
        <v>3233</v>
      </c>
      <c r="B3234" t="str">
        <f>"023274"</f>
        <v>0</v>
      </c>
      <c r="C3234" t="s">
        <v>2165</v>
      </c>
      <c r="D3234" t="s">
        <v>5548</v>
      </c>
      <c r="E3234" t="str">
        <f>"1500600008758"</f>
        <v>0</v>
      </c>
      <c r="F3234" t="str">
        <f>"000730"</f>
        <v>0</v>
      </c>
      <c r="G3234" t="s">
        <v>21</v>
      </c>
    </row>
    <row r="3235" spans="1:7">
      <c r="A3235">
        <v>3234</v>
      </c>
      <c r="B3235" t="str">
        <f>"023306"</f>
        <v>0</v>
      </c>
      <c r="C3235" t="s">
        <v>5549</v>
      </c>
      <c r="D3235" t="s">
        <v>5550</v>
      </c>
      <c r="E3235" t="str">
        <f>"1501200076374"</f>
        <v>0</v>
      </c>
      <c r="F3235" t="str">
        <f>"000730"</f>
        <v>0</v>
      </c>
      <c r="G3235" t="s">
        <v>21</v>
      </c>
    </row>
    <row r="3236" spans="1:7">
      <c r="A3236">
        <v>3235</v>
      </c>
      <c r="B3236" t="str">
        <f>"023314"</f>
        <v>0</v>
      </c>
      <c r="C3236" t="s">
        <v>3457</v>
      </c>
      <c r="D3236" t="s">
        <v>5551</v>
      </c>
      <c r="E3236" t="str">
        <f>"1509900378915"</f>
        <v>0</v>
      </c>
      <c r="F3236" t="str">
        <f>"000730"</f>
        <v>0</v>
      </c>
      <c r="G3236" t="s">
        <v>21</v>
      </c>
    </row>
    <row r="3237" spans="1:7">
      <c r="A3237">
        <v>3236</v>
      </c>
      <c r="B3237" t="str">
        <f>"023356"</f>
        <v>0</v>
      </c>
      <c r="C3237" t="s">
        <v>1896</v>
      </c>
      <c r="D3237" t="s">
        <v>5552</v>
      </c>
      <c r="E3237" t="str">
        <f>"1509900255490"</f>
        <v>0</v>
      </c>
      <c r="F3237" t="str">
        <f>"000730"</f>
        <v>0</v>
      </c>
      <c r="G3237" t="s">
        <v>21</v>
      </c>
    </row>
    <row r="3238" spans="1:7">
      <c r="A3238">
        <v>3237</v>
      </c>
      <c r="B3238" t="str">
        <f>"023666"</f>
        <v>0</v>
      </c>
      <c r="C3238" t="s">
        <v>975</v>
      </c>
      <c r="D3238" t="s">
        <v>5553</v>
      </c>
      <c r="E3238" t="str">
        <f>"1529900094011"</f>
        <v>0</v>
      </c>
      <c r="F3238" t="str">
        <f>"000730"</f>
        <v>0</v>
      </c>
      <c r="G3238" t="s">
        <v>21</v>
      </c>
    </row>
    <row r="3239" spans="1:7">
      <c r="A3239">
        <v>3238</v>
      </c>
      <c r="B3239" t="str">
        <f>"023726"</f>
        <v>0</v>
      </c>
      <c r="C3239" t="s">
        <v>5554</v>
      </c>
      <c r="D3239" t="s">
        <v>5555</v>
      </c>
      <c r="E3239" t="str">
        <f>"3501200427700"</f>
        <v>0</v>
      </c>
      <c r="F3239" t="str">
        <f>"000730"</f>
        <v>0</v>
      </c>
      <c r="G3239" t="s">
        <v>21</v>
      </c>
    </row>
    <row r="3240" spans="1:7">
      <c r="A3240">
        <v>3239</v>
      </c>
      <c r="B3240" t="str">
        <f>"023756"</f>
        <v>0</v>
      </c>
      <c r="C3240" t="s">
        <v>5556</v>
      </c>
      <c r="D3240" t="s">
        <v>5557</v>
      </c>
      <c r="E3240" t="str">
        <f>"3500900923261"</f>
        <v>0</v>
      </c>
      <c r="F3240" t="str">
        <f>"000730"</f>
        <v>0</v>
      </c>
      <c r="G3240" t="s">
        <v>21</v>
      </c>
    </row>
    <row r="3241" spans="1:7">
      <c r="A3241">
        <v>3240</v>
      </c>
      <c r="B3241" t="str">
        <f>"023864"</f>
        <v>0</v>
      </c>
      <c r="C3241" t="s">
        <v>5558</v>
      </c>
      <c r="D3241" t="s">
        <v>5559</v>
      </c>
      <c r="E3241" t="str">
        <f>"1509900490707"</f>
        <v>0</v>
      </c>
      <c r="F3241" t="str">
        <f>"000730"</f>
        <v>0</v>
      </c>
      <c r="G3241" t="s">
        <v>21</v>
      </c>
    </row>
    <row r="3242" spans="1:7">
      <c r="A3242">
        <v>3241</v>
      </c>
      <c r="B3242" t="str">
        <f>"023996"</f>
        <v>0</v>
      </c>
      <c r="C3242" t="s">
        <v>1898</v>
      </c>
      <c r="D3242" t="s">
        <v>5560</v>
      </c>
      <c r="E3242" t="str">
        <f>"3560100180787"</f>
        <v>0</v>
      </c>
      <c r="F3242" t="str">
        <f>"000730"</f>
        <v>0</v>
      </c>
      <c r="G3242" t="s">
        <v>21</v>
      </c>
    </row>
    <row r="3243" spans="1:7">
      <c r="A3243">
        <v>3242</v>
      </c>
      <c r="B3243" t="str">
        <f>"024078"</f>
        <v>0</v>
      </c>
      <c r="C3243" t="s">
        <v>5561</v>
      </c>
      <c r="D3243" t="s">
        <v>5562</v>
      </c>
      <c r="E3243" t="str">
        <f>"1509900468337"</f>
        <v>0</v>
      </c>
      <c r="F3243" t="str">
        <f>"000730"</f>
        <v>0</v>
      </c>
      <c r="G3243" t="s">
        <v>21</v>
      </c>
    </row>
    <row r="3244" spans="1:7">
      <c r="A3244">
        <v>3243</v>
      </c>
      <c r="B3244" t="str">
        <f>"024117"</f>
        <v>0</v>
      </c>
      <c r="C3244" t="s">
        <v>5563</v>
      </c>
      <c r="D3244" t="s">
        <v>5564</v>
      </c>
      <c r="E3244" t="str">
        <f>"1509900628059"</f>
        <v>0</v>
      </c>
      <c r="F3244" t="str">
        <f>"000730"</f>
        <v>0</v>
      </c>
      <c r="G3244" t="s">
        <v>21</v>
      </c>
    </row>
    <row r="3245" spans="1:7">
      <c r="A3245">
        <v>3244</v>
      </c>
      <c r="B3245" t="str">
        <f>"024145"</f>
        <v>0</v>
      </c>
      <c r="C3245" t="s">
        <v>1341</v>
      </c>
      <c r="D3245" t="s">
        <v>5565</v>
      </c>
      <c r="E3245" t="str">
        <f>"3501200388283"</f>
        <v>0</v>
      </c>
      <c r="F3245" t="str">
        <f>"000730"</f>
        <v>0</v>
      </c>
      <c r="G3245" t="s">
        <v>21</v>
      </c>
    </row>
    <row r="3246" spans="1:7">
      <c r="A3246">
        <v>3245</v>
      </c>
      <c r="B3246" t="str">
        <f>"024215"</f>
        <v>0</v>
      </c>
      <c r="C3246" t="s">
        <v>5566</v>
      </c>
      <c r="D3246" t="s">
        <v>2168</v>
      </c>
      <c r="E3246" t="str">
        <f>"1589900053366"</f>
        <v>0</v>
      </c>
      <c r="F3246" t="str">
        <f>"000730"</f>
        <v>0</v>
      </c>
      <c r="G3246" t="s">
        <v>21</v>
      </c>
    </row>
    <row r="3247" spans="1:7">
      <c r="A3247">
        <v>3246</v>
      </c>
      <c r="B3247" t="str">
        <f>"024338"</f>
        <v>0</v>
      </c>
      <c r="C3247" t="s">
        <v>3343</v>
      </c>
      <c r="D3247" t="s">
        <v>5567</v>
      </c>
      <c r="E3247" t="str">
        <f>"3570500481571"</f>
        <v>0</v>
      </c>
      <c r="F3247" t="str">
        <f>"000730"</f>
        <v>0</v>
      </c>
      <c r="G3247" t="s">
        <v>21</v>
      </c>
    </row>
    <row r="3248" spans="1:7">
      <c r="A3248">
        <v>3247</v>
      </c>
      <c r="B3248" t="str">
        <f>"024372"</f>
        <v>0</v>
      </c>
      <c r="C3248" t="s">
        <v>5568</v>
      </c>
      <c r="D3248" t="s">
        <v>5569</v>
      </c>
      <c r="E3248" t="str">
        <f>"1510100003153"</f>
        <v>0</v>
      </c>
      <c r="F3248" t="str">
        <f>"000730"</f>
        <v>0</v>
      </c>
      <c r="G3248" t="s">
        <v>21</v>
      </c>
    </row>
    <row r="3249" spans="1:7">
      <c r="A3249">
        <v>3248</v>
      </c>
      <c r="B3249" t="str">
        <f>"024373"</f>
        <v>0</v>
      </c>
      <c r="C3249" t="s">
        <v>5570</v>
      </c>
      <c r="D3249" t="s">
        <v>5571</v>
      </c>
      <c r="E3249" t="str">
        <f>"1500200113694"</f>
        <v>0</v>
      </c>
      <c r="F3249" t="str">
        <f>"000730"</f>
        <v>0</v>
      </c>
      <c r="G3249" t="s">
        <v>21</v>
      </c>
    </row>
    <row r="3250" spans="1:7">
      <c r="A3250">
        <v>3249</v>
      </c>
      <c r="B3250" t="str">
        <f>"024640"</f>
        <v>0</v>
      </c>
      <c r="C3250" t="s">
        <v>1577</v>
      </c>
      <c r="D3250" t="s">
        <v>5572</v>
      </c>
      <c r="E3250" t="str">
        <f>"1509900085853"</f>
        <v>0</v>
      </c>
      <c r="F3250" t="str">
        <f>"000730"</f>
        <v>0</v>
      </c>
      <c r="G3250" t="s">
        <v>21</v>
      </c>
    </row>
    <row r="3251" spans="1:7">
      <c r="A3251">
        <v>3250</v>
      </c>
      <c r="B3251" t="str">
        <f>"024677"</f>
        <v>0</v>
      </c>
      <c r="C3251" t="s">
        <v>5573</v>
      </c>
      <c r="D3251" t="s">
        <v>5574</v>
      </c>
      <c r="E3251" t="str">
        <f>"1500300078084"</f>
        <v>0</v>
      </c>
      <c r="F3251" t="str">
        <f>"000730"</f>
        <v>0</v>
      </c>
      <c r="G3251" t="s">
        <v>21</v>
      </c>
    </row>
    <row r="3252" spans="1:7">
      <c r="A3252">
        <v>3251</v>
      </c>
      <c r="B3252" t="str">
        <f>"024731"</f>
        <v>0</v>
      </c>
      <c r="C3252" t="s">
        <v>5575</v>
      </c>
      <c r="D3252" t="s">
        <v>5576</v>
      </c>
      <c r="E3252" t="str">
        <f>"3420500328669"</f>
        <v>0</v>
      </c>
      <c r="F3252" t="str">
        <f>"000730"</f>
        <v>0</v>
      </c>
      <c r="G3252" t="s">
        <v>21</v>
      </c>
    </row>
    <row r="3253" spans="1:7">
      <c r="A3253">
        <v>3252</v>
      </c>
      <c r="B3253" t="str">
        <f>"024788"</f>
        <v>0</v>
      </c>
      <c r="C3253" t="s">
        <v>468</v>
      </c>
      <c r="D3253" t="s">
        <v>5577</v>
      </c>
      <c r="E3253" t="str">
        <f>"3350600346201"</f>
        <v>0</v>
      </c>
      <c r="F3253" t="str">
        <f>"000730"</f>
        <v>0</v>
      </c>
      <c r="G3253" t="s">
        <v>21</v>
      </c>
    </row>
    <row r="3254" spans="1:7">
      <c r="A3254">
        <v>3253</v>
      </c>
      <c r="B3254" t="str">
        <f>"025748"</f>
        <v>0</v>
      </c>
      <c r="C3254" t="s">
        <v>5578</v>
      </c>
      <c r="D3254" t="s">
        <v>5579</v>
      </c>
      <c r="E3254" t="str">
        <f>"1509900291917"</f>
        <v>0</v>
      </c>
      <c r="F3254" t="str">
        <f>"000730"</f>
        <v>0</v>
      </c>
      <c r="G3254" t="s">
        <v>21</v>
      </c>
    </row>
    <row r="3255" spans="1:7">
      <c r="A3255">
        <v>3254</v>
      </c>
      <c r="B3255" t="str">
        <f>"025814"</f>
        <v>0</v>
      </c>
      <c r="C3255" t="s">
        <v>5580</v>
      </c>
      <c r="D3255" t="s">
        <v>5581</v>
      </c>
      <c r="E3255" t="str">
        <f>"1509901335438"</f>
        <v>0</v>
      </c>
      <c r="F3255" t="str">
        <f>"000730"</f>
        <v>0</v>
      </c>
      <c r="G3255" t="s">
        <v>21</v>
      </c>
    </row>
    <row r="3256" spans="1:7">
      <c r="A3256">
        <v>3255</v>
      </c>
      <c r="B3256" t="str">
        <f>"025865"</f>
        <v>0</v>
      </c>
      <c r="C3256" t="s">
        <v>5582</v>
      </c>
      <c r="D3256" t="s">
        <v>5583</v>
      </c>
      <c r="E3256" t="str">
        <f>"1509901008950"</f>
        <v>0</v>
      </c>
      <c r="F3256" t="str">
        <f>"000730"</f>
        <v>0</v>
      </c>
      <c r="G3256" t="s">
        <v>21</v>
      </c>
    </row>
    <row r="3257" spans="1:7">
      <c r="A3257">
        <v>3256</v>
      </c>
      <c r="B3257" t="str">
        <f>"026141"</f>
        <v>0</v>
      </c>
      <c r="C3257" t="s">
        <v>5584</v>
      </c>
      <c r="D3257" t="s">
        <v>5585</v>
      </c>
      <c r="E3257" t="str">
        <f>"1509900577951"</f>
        <v>0</v>
      </c>
      <c r="F3257" t="str">
        <f>"000730"</f>
        <v>0</v>
      </c>
      <c r="G3257" t="s">
        <v>21</v>
      </c>
    </row>
    <row r="3258" spans="1:7">
      <c r="A3258">
        <v>3257</v>
      </c>
      <c r="B3258" t="str">
        <f>"026323"</f>
        <v>0</v>
      </c>
      <c r="C3258" t="s">
        <v>5586</v>
      </c>
      <c r="D3258" t="s">
        <v>5587</v>
      </c>
      <c r="E3258" t="str">
        <f>"3501400134226"</f>
        <v>0</v>
      </c>
      <c r="F3258" t="str">
        <f>"000730"</f>
        <v>0</v>
      </c>
      <c r="G3258" t="s">
        <v>21</v>
      </c>
    </row>
    <row r="3259" spans="1:7">
      <c r="A3259">
        <v>3258</v>
      </c>
      <c r="B3259" t="str">
        <f>"026481"</f>
        <v>0</v>
      </c>
      <c r="C3259" t="s">
        <v>5588</v>
      </c>
      <c r="D3259" t="s">
        <v>5589</v>
      </c>
      <c r="E3259" t="str">
        <f>"1509901332820"</f>
        <v>0</v>
      </c>
      <c r="F3259" t="str">
        <f>"000730"</f>
        <v>0</v>
      </c>
      <c r="G3259" t="s">
        <v>21</v>
      </c>
    </row>
    <row r="3260" spans="1:7">
      <c r="A3260">
        <v>3259</v>
      </c>
      <c r="B3260" t="str">
        <f>"026714"</f>
        <v>0</v>
      </c>
      <c r="C3260" t="s">
        <v>945</v>
      </c>
      <c r="D3260" t="s">
        <v>5590</v>
      </c>
      <c r="E3260" t="str">
        <f>"1509900088330"</f>
        <v>0</v>
      </c>
      <c r="F3260" t="str">
        <f>"000730"</f>
        <v>0</v>
      </c>
      <c r="G3260" t="s">
        <v>21</v>
      </c>
    </row>
    <row r="3261" spans="1:7">
      <c r="A3261">
        <v>3260</v>
      </c>
      <c r="B3261" t="str">
        <f>"019869"</f>
        <v>0</v>
      </c>
      <c r="C3261" t="s">
        <v>5591</v>
      </c>
      <c r="D3261" t="s">
        <v>5592</v>
      </c>
      <c r="E3261" t="str">
        <f>"3510200134361"</f>
        <v>0</v>
      </c>
      <c r="F3261" t="str">
        <f>"000730"</f>
        <v>0</v>
      </c>
      <c r="G3261" t="s">
        <v>21</v>
      </c>
    </row>
    <row r="3262" spans="1:7">
      <c r="A3262">
        <v>3261</v>
      </c>
      <c r="B3262" t="str">
        <f>"022057"</f>
        <v>0</v>
      </c>
      <c r="C3262" t="s">
        <v>5593</v>
      </c>
      <c r="D3262" t="s">
        <v>5594</v>
      </c>
      <c r="E3262" t="str">
        <f>"3510300345135"</f>
        <v>0</v>
      </c>
      <c r="F3262" t="str">
        <f>"000730"</f>
        <v>0</v>
      </c>
      <c r="G3262" t="s">
        <v>21</v>
      </c>
    </row>
    <row r="3263" spans="1:7">
      <c r="A3263">
        <v>3262</v>
      </c>
      <c r="B3263" t="str">
        <f>"026634"</f>
        <v>0</v>
      </c>
      <c r="C3263" t="s">
        <v>5595</v>
      </c>
      <c r="D3263" t="s">
        <v>5596</v>
      </c>
      <c r="E3263" t="str">
        <f>"3510600090388"</f>
        <v>0</v>
      </c>
      <c r="F3263" t="str">
        <f>"000730"</f>
        <v>0</v>
      </c>
      <c r="G3263" t="s">
        <v>21</v>
      </c>
    </row>
    <row r="3264" spans="1:7">
      <c r="A3264">
        <v>3263</v>
      </c>
      <c r="B3264" t="str">
        <f>"025308"</f>
        <v>0</v>
      </c>
      <c r="C3264" t="s">
        <v>606</v>
      </c>
      <c r="D3264" t="s">
        <v>5597</v>
      </c>
      <c r="E3264" t="str">
        <f>"1529900187061"</f>
        <v>0</v>
      </c>
      <c r="F3264" t="str">
        <f>"000730"</f>
        <v>0</v>
      </c>
      <c r="G3264" t="s">
        <v>21</v>
      </c>
    </row>
    <row r="3265" spans="1:7">
      <c r="A3265">
        <v>3264</v>
      </c>
      <c r="B3265" t="str">
        <f>"012604"</f>
        <v>0</v>
      </c>
      <c r="C3265" t="s">
        <v>778</v>
      </c>
      <c r="D3265" t="s">
        <v>5598</v>
      </c>
      <c r="E3265" t="str">
        <f>"3501200036531"</f>
        <v>0</v>
      </c>
      <c r="F3265" t="str">
        <f>"000730"</f>
        <v>0</v>
      </c>
      <c r="G3265" t="s">
        <v>21</v>
      </c>
    </row>
    <row r="3266" spans="1:7">
      <c r="A3266">
        <v>3265</v>
      </c>
      <c r="B3266" t="str">
        <f>"024948"</f>
        <v>0</v>
      </c>
      <c r="C3266" t="s">
        <v>5599</v>
      </c>
      <c r="D3266" t="s">
        <v>5600</v>
      </c>
      <c r="E3266" t="str">
        <f>"1500900028525"</f>
        <v>0</v>
      </c>
      <c r="F3266" t="str">
        <f>"000730"</f>
        <v>0</v>
      </c>
      <c r="G3266" t="s">
        <v>21</v>
      </c>
    </row>
    <row r="3267" spans="1:7">
      <c r="A3267">
        <v>3266</v>
      </c>
      <c r="B3267" t="str">
        <f>"010073"</f>
        <v>0</v>
      </c>
      <c r="C3267" t="s">
        <v>5601</v>
      </c>
      <c r="D3267" t="s">
        <v>5299</v>
      </c>
      <c r="E3267" t="str">
        <f>"3501400458773"</f>
        <v>0</v>
      </c>
      <c r="F3267" t="str">
        <f>"000730"</f>
        <v>0</v>
      </c>
      <c r="G3267" t="s">
        <v>21</v>
      </c>
    </row>
    <row r="3268" spans="1:7">
      <c r="A3268">
        <v>3267</v>
      </c>
      <c r="B3268" t="str">
        <f>"025100"</f>
        <v>0</v>
      </c>
      <c r="C3268" t="s">
        <v>5602</v>
      </c>
      <c r="D3268" t="s">
        <v>5603</v>
      </c>
      <c r="E3268" t="str">
        <f>"1560100125968"</f>
        <v>0</v>
      </c>
      <c r="F3268" t="str">
        <f>"000730"</f>
        <v>0</v>
      </c>
      <c r="G3268" t="s">
        <v>21</v>
      </c>
    </row>
    <row r="3269" spans="1:7">
      <c r="A3269">
        <v>3268</v>
      </c>
      <c r="B3269" t="str">
        <f>"026838"</f>
        <v>0</v>
      </c>
      <c r="C3269" t="s">
        <v>5604</v>
      </c>
      <c r="D3269" t="s">
        <v>5605</v>
      </c>
      <c r="E3269" t="str">
        <f>"1560190000116"</f>
        <v>0</v>
      </c>
      <c r="F3269" t="str">
        <f>"000730"</f>
        <v>0</v>
      </c>
      <c r="G3269" t="s">
        <v>21</v>
      </c>
    </row>
    <row r="3270" spans="1:7">
      <c r="A3270">
        <v>3269</v>
      </c>
      <c r="B3270" t="str">
        <f>"008745"</f>
        <v>0</v>
      </c>
      <c r="C3270" t="s">
        <v>5606</v>
      </c>
      <c r="D3270" t="s">
        <v>5607</v>
      </c>
      <c r="E3270" t="str">
        <f>"5509900005691"</f>
        <v>0</v>
      </c>
      <c r="F3270" t="str">
        <f>"000730"</f>
        <v>0</v>
      </c>
      <c r="G3270" t="s">
        <v>21</v>
      </c>
    </row>
    <row r="3271" spans="1:7">
      <c r="A3271">
        <v>3270</v>
      </c>
      <c r="B3271" t="str">
        <f>"024837"</f>
        <v>0</v>
      </c>
      <c r="C3271" t="s">
        <v>5608</v>
      </c>
      <c r="D3271" t="s">
        <v>5609</v>
      </c>
      <c r="E3271" t="str">
        <f>"3580500077681"</f>
        <v>0</v>
      </c>
      <c r="F3271" t="str">
        <f>"000730"</f>
        <v>0</v>
      </c>
      <c r="G3271" t="s">
        <v>21</v>
      </c>
    </row>
    <row r="3272" spans="1:7">
      <c r="A3272">
        <v>3271</v>
      </c>
      <c r="B3272" t="str">
        <f>"023814"</f>
        <v>0</v>
      </c>
      <c r="C3272" t="s">
        <v>5610</v>
      </c>
      <c r="D3272" t="s">
        <v>5611</v>
      </c>
      <c r="E3272" t="str">
        <f>"1509900056004"</f>
        <v>0</v>
      </c>
      <c r="F3272" t="str">
        <f>"000730"</f>
        <v>0</v>
      </c>
      <c r="G3272" t="s">
        <v>21</v>
      </c>
    </row>
    <row r="3273" spans="1:7">
      <c r="A3273">
        <v>3272</v>
      </c>
      <c r="B3273" t="str">
        <f>"025802"</f>
        <v>0</v>
      </c>
      <c r="C3273" t="s">
        <v>5612</v>
      </c>
      <c r="D3273" t="s">
        <v>5613</v>
      </c>
      <c r="E3273" t="str">
        <f>"3551000133419"</f>
        <v>0</v>
      </c>
      <c r="F3273" t="str">
        <f>"000730"</f>
        <v>0</v>
      </c>
      <c r="G3273" t="s">
        <v>21</v>
      </c>
    </row>
    <row r="3274" spans="1:7">
      <c r="A3274">
        <v>3273</v>
      </c>
      <c r="B3274" t="str">
        <f>"015979"</f>
        <v>0</v>
      </c>
      <c r="C3274" t="s">
        <v>5614</v>
      </c>
      <c r="D3274" t="s">
        <v>5615</v>
      </c>
      <c r="E3274" t="str">
        <f>"3501400356440"</f>
        <v>0</v>
      </c>
      <c r="F3274" t="str">
        <f>"000730"</f>
        <v>0</v>
      </c>
      <c r="G3274" t="s">
        <v>21</v>
      </c>
    </row>
    <row r="3275" spans="1:7">
      <c r="A3275">
        <v>3274</v>
      </c>
      <c r="B3275" t="str">
        <f>"020947"</f>
        <v>0</v>
      </c>
      <c r="C3275" t="s">
        <v>5616</v>
      </c>
      <c r="D3275" t="s">
        <v>5617</v>
      </c>
      <c r="E3275" t="str">
        <f>"3940200029360"</f>
        <v>0</v>
      </c>
      <c r="F3275" t="str">
        <f>"000730"</f>
        <v>0</v>
      </c>
      <c r="G3275" t="s">
        <v>21</v>
      </c>
    </row>
    <row r="3276" spans="1:7">
      <c r="A3276">
        <v>3275</v>
      </c>
      <c r="B3276" t="str">
        <f>"016021"</f>
        <v>0</v>
      </c>
      <c r="C3276" t="s">
        <v>5618</v>
      </c>
      <c r="D3276" t="s">
        <v>829</v>
      </c>
      <c r="E3276" t="str">
        <f>"3180500106031"</f>
        <v>0</v>
      </c>
      <c r="F3276" t="str">
        <f>"000730"</f>
        <v>0</v>
      </c>
      <c r="G3276" t="s">
        <v>21</v>
      </c>
    </row>
    <row r="3277" spans="1:7">
      <c r="A3277">
        <v>3276</v>
      </c>
      <c r="B3277" t="str">
        <f>"023943"</f>
        <v>0</v>
      </c>
      <c r="C3277" t="s">
        <v>5619</v>
      </c>
      <c r="D3277" t="s">
        <v>5620</v>
      </c>
      <c r="E3277" t="str">
        <f>"1199900187072"</f>
        <v>0</v>
      </c>
      <c r="F3277" t="str">
        <f>"000730"</f>
        <v>0</v>
      </c>
      <c r="G3277" t="s">
        <v>21</v>
      </c>
    </row>
    <row r="3278" spans="1:7">
      <c r="A3278">
        <v>3277</v>
      </c>
      <c r="B3278" t="str">
        <f>"025799"</f>
        <v>0</v>
      </c>
      <c r="C3278" t="s">
        <v>5621</v>
      </c>
      <c r="D3278" t="s">
        <v>5622</v>
      </c>
      <c r="E3278" t="str">
        <f>"1220400128213"</f>
        <v>0</v>
      </c>
      <c r="F3278" t="str">
        <f>"000730"</f>
        <v>0</v>
      </c>
      <c r="G3278" t="s">
        <v>21</v>
      </c>
    </row>
    <row r="3279" spans="1:7">
      <c r="A3279">
        <v>3278</v>
      </c>
      <c r="B3279" t="str">
        <f>"018260"</f>
        <v>0</v>
      </c>
      <c r="C3279" t="s">
        <v>5623</v>
      </c>
      <c r="D3279" t="s">
        <v>5624</v>
      </c>
      <c r="E3279" t="str">
        <f>"3509901252857"</f>
        <v>0</v>
      </c>
      <c r="F3279" t="str">
        <f>"000730"</f>
        <v>0</v>
      </c>
      <c r="G3279" t="s">
        <v>21</v>
      </c>
    </row>
    <row r="3280" spans="1:7">
      <c r="A3280">
        <v>3279</v>
      </c>
      <c r="B3280" t="str">
        <f>"009483"</f>
        <v>0</v>
      </c>
      <c r="C3280" t="s">
        <v>5625</v>
      </c>
      <c r="D3280" t="s">
        <v>5626</v>
      </c>
      <c r="E3280" t="str">
        <f>"3509900552717"</f>
        <v>0</v>
      </c>
      <c r="F3280" t="str">
        <f>"000730"</f>
        <v>0</v>
      </c>
      <c r="G3280" t="s">
        <v>21</v>
      </c>
    </row>
    <row r="3281" spans="1:7">
      <c r="A3281">
        <v>3280</v>
      </c>
      <c r="B3281" t="str">
        <f>"016066"</f>
        <v>0</v>
      </c>
      <c r="C3281" t="s">
        <v>5627</v>
      </c>
      <c r="D3281" t="s">
        <v>5628</v>
      </c>
      <c r="E3281" t="str">
        <f>"3550600111334"</f>
        <v>0</v>
      </c>
      <c r="F3281" t="str">
        <f>"000730"</f>
        <v>0</v>
      </c>
      <c r="G3281" t="s">
        <v>21</v>
      </c>
    </row>
    <row r="3282" spans="1:7">
      <c r="A3282">
        <v>3281</v>
      </c>
      <c r="B3282" t="str">
        <f>"018443"</f>
        <v>0</v>
      </c>
      <c r="C3282" t="s">
        <v>5629</v>
      </c>
      <c r="D3282" t="s">
        <v>5630</v>
      </c>
      <c r="E3282" t="str">
        <f>"3470800251173"</f>
        <v>0</v>
      </c>
      <c r="F3282" t="str">
        <f>"000730"</f>
        <v>0</v>
      </c>
      <c r="G3282" t="s">
        <v>21</v>
      </c>
    </row>
    <row r="3283" spans="1:7">
      <c r="A3283">
        <v>3282</v>
      </c>
      <c r="B3283" t="str">
        <f>"018712"</f>
        <v>0</v>
      </c>
      <c r="C3283" t="s">
        <v>5631</v>
      </c>
      <c r="D3283" t="s">
        <v>5632</v>
      </c>
      <c r="E3283" t="str">
        <f>"3501100397582"</f>
        <v>0</v>
      </c>
      <c r="F3283" t="str">
        <f>"000730"</f>
        <v>0</v>
      </c>
      <c r="G3283" t="s">
        <v>21</v>
      </c>
    </row>
    <row r="3284" spans="1:7">
      <c r="A3284">
        <v>3283</v>
      </c>
      <c r="B3284" t="str">
        <f>"018770"</f>
        <v>0</v>
      </c>
      <c r="C3284" t="s">
        <v>5633</v>
      </c>
      <c r="D3284" t="s">
        <v>5634</v>
      </c>
      <c r="E3284" t="str">
        <f>"3501400168775"</f>
        <v>0</v>
      </c>
      <c r="F3284" t="str">
        <f>"000730"</f>
        <v>0</v>
      </c>
      <c r="G3284" t="s">
        <v>21</v>
      </c>
    </row>
    <row r="3285" spans="1:7">
      <c r="A3285">
        <v>3284</v>
      </c>
      <c r="B3285" t="str">
        <f>"020187"</f>
        <v>0</v>
      </c>
      <c r="C3285" t="s">
        <v>2566</v>
      </c>
      <c r="D3285" t="s">
        <v>2654</v>
      </c>
      <c r="E3285" t="str">
        <f>"3489900089023"</f>
        <v>0</v>
      </c>
      <c r="F3285" t="str">
        <f>"000730"</f>
        <v>0</v>
      </c>
      <c r="G3285" t="s">
        <v>21</v>
      </c>
    </row>
    <row r="3286" spans="1:7">
      <c r="A3286">
        <v>3285</v>
      </c>
      <c r="B3286" t="str">
        <f>"021220"</f>
        <v>0</v>
      </c>
      <c r="C3286" t="s">
        <v>5635</v>
      </c>
      <c r="D3286" t="s">
        <v>5636</v>
      </c>
      <c r="E3286" t="str">
        <f>"3500700103520"</f>
        <v>0</v>
      </c>
      <c r="F3286" t="str">
        <f>"000730"</f>
        <v>0</v>
      </c>
      <c r="G3286" t="s">
        <v>21</v>
      </c>
    </row>
    <row r="3287" spans="1:7">
      <c r="A3287">
        <v>3286</v>
      </c>
      <c r="B3287" t="str">
        <f>"021521"</f>
        <v>0</v>
      </c>
      <c r="C3287" t="s">
        <v>4885</v>
      </c>
      <c r="D3287" t="s">
        <v>5637</v>
      </c>
      <c r="E3287" t="str">
        <f>"3339900156031"</f>
        <v>0</v>
      </c>
      <c r="F3287" t="str">
        <f>"000730"</f>
        <v>0</v>
      </c>
      <c r="G3287" t="s">
        <v>21</v>
      </c>
    </row>
    <row r="3288" spans="1:7">
      <c r="A3288">
        <v>3287</v>
      </c>
      <c r="B3288" t="str">
        <f>"021785"</f>
        <v>0</v>
      </c>
      <c r="C3288" t="s">
        <v>5638</v>
      </c>
      <c r="D3288" t="s">
        <v>4894</v>
      </c>
      <c r="E3288" t="str">
        <f>"3500500081336"</f>
        <v>0</v>
      </c>
      <c r="F3288" t="str">
        <f>"000730"</f>
        <v>0</v>
      </c>
      <c r="G3288" t="s">
        <v>21</v>
      </c>
    </row>
    <row r="3289" spans="1:7">
      <c r="A3289">
        <v>3288</v>
      </c>
      <c r="B3289" t="str">
        <f>"022061"</f>
        <v>0</v>
      </c>
      <c r="C3289" t="s">
        <v>5639</v>
      </c>
      <c r="D3289" t="s">
        <v>5640</v>
      </c>
      <c r="E3289" t="str">
        <f>"3309901841374"</f>
        <v>0</v>
      </c>
      <c r="F3289" t="str">
        <f>"000730"</f>
        <v>0</v>
      </c>
      <c r="G3289" t="s">
        <v>21</v>
      </c>
    </row>
    <row r="3290" spans="1:7">
      <c r="A3290">
        <v>3289</v>
      </c>
      <c r="B3290" t="str">
        <f>"022278"</f>
        <v>0</v>
      </c>
      <c r="C3290" t="s">
        <v>5641</v>
      </c>
      <c r="D3290" t="s">
        <v>5642</v>
      </c>
      <c r="E3290" t="str">
        <f>"3420300015837"</f>
        <v>0</v>
      </c>
      <c r="F3290" t="str">
        <f>"000730"</f>
        <v>0</v>
      </c>
      <c r="G3290" t="s">
        <v>21</v>
      </c>
    </row>
    <row r="3291" spans="1:7">
      <c r="A3291">
        <v>3290</v>
      </c>
      <c r="B3291" t="str">
        <f>"022419"</f>
        <v>0</v>
      </c>
      <c r="C3291" t="s">
        <v>5643</v>
      </c>
      <c r="D3291" t="s">
        <v>5644</v>
      </c>
      <c r="E3291" t="str">
        <f>"3509901499089"</f>
        <v>0</v>
      </c>
      <c r="F3291" t="str">
        <f>"000730"</f>
        <v>0</v>
      </c>
      <c r="G3291" t="s">
        <v>21</v>
      </c>
    </row>
    <row r="3292" spans="1:7">
      <c r="A3292">
        <v>3291</v>
      </c>
      <c r="B3292" t="str">
        <f>"022889"</f>
        <v>0</v>
      </c>
      <c r="C3292" t="s">
        <v>5645</v>
      </c>
      <c r="D3292" t="s">
        <v>5646</v>
      </c>
      <c r="E3292" t="str">
        <f>"3520300047827"</f>
        <v>0</v>
      </c>
      <c r="F3292" t="str">
        <f>"000730"</f>
        <v>0</v>
      </c>
      <c r="G3292" t="s">
        <v>21</v>
      </c>
    </row>
    <row r="3293" spans="1:7">
      <c r="A3293">
        <v>3292</v>
      </c>
      <c r="B3293" t="str">
        <f>"023598"</f>
        <v>0</v>
      </c>
      <c r="C3293" t="s">
        <v>5647</v>
      </c>
      <c r="D3293" t="s">
        <v>5648</v>
      </c>
      <c r="E3293" t="str">
        <f>"3501500327590"</f>
        <v>0</v>
      </c>
      <c r="F3293" t="str">
        <f>"000730"</f>
        <v>0</v>
      </c>
      <c r="G3293" t="s">
        <v>21</v>
      </c>
    </row>
    <row r="3294" spans="1:7">
      <c r="A3294">
        <v>3293</v>
      </c>
      <c r="B3294" t="str">
        <f>"024337"</f>
        <v>0</v>
      </c>
      <c r="C3294" t="s">
        <v>1380</v>
      </c>
      <c r="D3294" t="s">
        <v>5649</v>
      </c>
      <c r="E3294" t="str">
        <f>"1509900445604"</f>
        <v>0</v>
      </c>
      <c r="F3294" t="str">
        <f>"000730"</f>
        <v>0</v>
      </c>
      <c r="G3294" t="s">
        <v>21</v>
      </c>
    </row>
    <row r="3295" spans="1:7">
      <c r="A3295">
        <v>3294</v>
      </c>
      <c r="B3295" t="str">
        <f>"024479"</f>
        <v>0</v>
      </c>
      <c r="C3295" t="s">
        <v>5650</v>
      </c>
      <c r="D3295" t="s">
        <v>5651</v>
      </c>
      <c r="E3295" t="str">
        <f>"1509900099790"</f>
        <v>0</v>
      </c>
      <c r="F3295" t="str">
        <f>"000730"</f>
        <v>0</v>
      </c>
      <c r="G3295" t="s">
        <v>21</v>
      </c>
    </row>
    <row r="3296" spans="1:7">
      <c r="A3296">
        <v>3295</v>
      </c>
      <c r="B3296" t="str">
        <f>"024480"</f>
        <v>0</v>
      </c>
      <c r="C3296" t="s">
        <v>5652</v>
      </c>
      <c r="D3296" t="s">
        <v>5653</v>
      </c>
      <c r="E3296" t="str">
        <f>"3501400636094"</f>
        <v>0</v>
      </c>
      <c r="F3296" t="str">
        <f>"000730"</f>
        <v>0</v>
      </c>
      <c r="G3296" t="s">
        <v>21</v>
      </c>
    </row>
    <row r="3297" spans="1:7">
      <c r="A3297">
        <v>3296</v>
      </c>
      <c r="B3297" t="str">
        <f>"024617"</f>
        <v>0</v>
      </c>
      <c r="C3297" t="s">
        <v>5654</v>
      </c>
      <c r="D3297" t="s">
        <v>5655</v>
      </c>
      <c r="E3297" t="str">
        <f>"3500500100055"</f>
        <v>0</v>
      </c>
      <c r="F3297" t="str">
        <f>"000730"</f>
        <v>0</v>
      </c>
      <c r="G3297" t="s">
        <v>21</v>
      </c>
    </row>
    <row r="3298" spans="1:7">
      <c r="A3298">
        <v>3297</v>
      </c>
      <c r="B3298" t="str">
        <f>"025162"</f>
        <v>0</v>
      </c>
      <c r="C3298" t="s">
        <v>5656</v>
      </c>
      <c r="D3298" t="s">
        <v>5657</v>
      </c>
      <c r="E3298" t="str">
        <f>"1509900476585"</f>
        <v>0</v>
      </c>
      <c r="F3298" t="str">
        <f>"000730"</f>
        <v>0</v>
      </c>
      <c r="G3298" t="s">
        <v>21</v>
      </c>
    </row>
    <row r="3299" spans="1:7">
      <c r="A3299">
        <v>3298</v>
      </c>
      <c r="B3299" t="str">
        <f>"027100"</f>
        <v>0</v>
      </c>
      <c r="C3299" t="s">
        <v>5658</v>
      </c>
      <c r="D3299" t="s">
        <v>5294</v>
      </c>
      <c r="E3299" t="str">
        <f>"1509901211046"</f>
        <v>0</v>
      </c>
      <c r="F3299" t="str">
        <f>"000730"</f>
        <v>0</v>
      </c>
      <c r="G3299" t="s">
        <v>21</v>
      </c>
    </row>
    <row r="3300" spans="1:7">
      <c r="A3300">
        <v>3299</v>
      </c>
      <c r="B3300" t="str">
        <f>"016841"</f>
        <v>0</v>
      </c>
      <c r="C3300" t="s">
        <v>3855</v>
      </c>
      <c r="D3300" t="s">
        <v>5659</v>
      </c>
      <c r="E3300" t="str">
        <f>"3311000841695"</f>
        <v>0</v>
      </c>
      <c r="F3300" t="str">
        <f>"000730"</f>
        <v>0</v>
      </c>
      <c r="G3300" t="s">
        <v>21</v>
      </c>
    </row>
    <row r="3301" spans="1:7">
      <c r="A3301">
        <v>3300</v>
      </c>
      <c r="B3301" t="str">
        <f>"024950"</f>
        <v>0</v>
      </c>
      <c r="C3301" t="s">
        <v>3694</v>
      </c>
      <c r="D3301" t="s">
        <v>5660</v>
      </c>
      <c r="E3301" t="str">
        <f>"1509900268206"</f>
        <v>0</v>
      </c>
      <c r="F3301" t="str">
        <f>"000730"</f>
        <v>0</v>
      </c>
      <c r="G3301" t="s">
        <v>21</v>
      </c>
    </row>
    <row r="3302" spans="1:7">
      <c r="A3302">
        <v>3301</v>
      </c>
      <c r="B3302" t="str">
        <f>"025164"</f>
        <v>0</v>
      </c>
      <c r="C3302" t="s">
        <v>2671</v>
      </c>
      <c r="D3302" t="s">
        <v>5661</v>
      </c>
      <c r="E3302" t="str">
        <f>"3510200274511"</f>
        <v>0</v>
      </c>
      <c r="F3302" t="str">
        <f>"000730"</f>
        <v>0</v>
      </c>
      <c r="G3302" t="s">
        <v>21</v>
      </c>
    </row>
    <row r="3303" spans="1:7">
      <c r="A3303">
        <v>3302</v>
      </c>
      <c r="B3303" t="str">
        <f>"027109"</f>
        <v>0</v>
      </c>
      <c r="C3303" t="s">
        <v>5662</v>
      </c>
      <c r="D3303" t="s">
        <v>5663</v>
      </c>
      <c r="E3303" t="str">
        <f>"1509900704952"</f>
        <v>0</v>
      </c>
      <c r="F3303" t="str">
        <f>"000730"</f>
        <v>0</v>
      </c>
      <c r="G3303" t="s">
        <v>21</v>
      </c>
    </row>
    <row r="3304" spans="1:7">
      <c r="A3304">
        <v>3303</v>
      </c>
      <c r="B3304" t="str">
        <f>"025163"</f>
        <v>0</v>
      </c>
      <c r="C3304" t="s">
        <v>5664</v>
      </c>
      <c r="D3304" t="s">
        <v>5665</v>
      </c>
      <c r="E3304" t="str">
        <f>"1529900001129"</f>
        <v>0</v>
      </c>
      <c r="F3304" t="str">
        <f>"000730"</f>
        <v>0</v>
      </c>
      <c r="G3304" t="s">
        <v>21</v>
      </c>
    </row>
    <row r="3305" spans="1:7">
      <c r="A3305">
        <v>3304</v>
      </c>
      <c r="B3305" t="str">
        <f>"007997"</f>
        <v>0</v>
      </c>
      <c r="C3305" t="s">
        <v>4435</v>
      </c>
      <c r="D3305" t="s">
        <v>5666</v>
      </c>
      <c r="E3305" t="str">
        <f>"3540200314033"</f>
        <v>0</v>
      </c>
      <c r="F3305" t="str">
        <f>"000730"</f>
        <v>0</v>
      </c>
      <c r="G3305" t="s">
        <v>21</v>
      </c>
    </row>
    <row r="3306" spans="1:7">
      <c r="A3306">
        <v>3305</v>
      </c>
      <c r="B3306" t="str">
        <f>"025258"</f>
        <v>0</v>
      </c>
      <c r="C3306" t="s">
        <v>5667</v>
      </c>
      <c r="D3306" t="s">
        <v>5668</v>
      </c>
      <c r="E3306" t="str">
        <f>"5580190000879"</f>
        <v>0</v>
      </c>
      <c r="F3306" t="str">
        <f>"000730"</f>
        <v>0</v>
      </c>
      <c r="G3306" t="s">
        <v>21</v>
      </c>
    </row>
    <row r="3307" spans="1:7">
      <c r="A3307">
        <v>3306</v>
      </c>
      <c r="B3307" t="str">
        <f>"017550"</f>
        <v>0</v>
      </c>
      <c r="C3307" t="s">
        <v>4928</v>
      </c>
      <c r="D3307" t="s">
        <v>4950</v>
      </c>
      <c r="E3307" t="str">
        <f>"3500700071407"</f>
        <v>0</v>
      </c>
      <c r="F3307" t="str">
        <f>"000730"</f>
        <v>0</v>
      </c>
      <c r="G3307" t="s">
        <v>21</v>
      </c>
    </row>
    <row r="3308" spans="1:7">
      <c r="A3308">
        <v>3307</v>
      </c>
      <c r="B3308" t="str">
        <f>"012032"</f>
        <v>0</v>
      </c>
      <c r="C3308" t="s">
        <v>445</v>
      </c>
      <c r="D3308" t="s">
        <v>5669</v>
      </c>
      <c r="E3308" t="str">
        <f>"3500741073013"</f>
        <v>0</v>
      </c>
      <c r="F3308" t="str">
        <f>"000730"</f>
        <v>0</v>
      </c>
      <c r="G3308" t="s">
        <v>21</v>
      </c>
    </row>
    <row r="3309" spans="1:7">
      <c r="A3309">
        <v>3308</v>
      </c>
      <c r="B3309" t="str">
        <f>"014672"</f>
        <v>0</v>
      </c>
      <c r="C3309" t="s">
        <v>1021</v>
      </c>
      <c r="D3309" t="s">
        <v>5670</v>
      </c>
      <c r="E3309" t="str">
        <f>"3501300447231"</f>
        <v>0</v>
      </c>
      <c r="F3309" t="str">
        <f>"000730"</f>
        <v>0</v>
      </c>
      <c r="G3309" t="s">
        <v>21</v>
      </c>
    </row>
    <row r="3310" spans="1:7">
      <c r="A3310">
        <v>3309</v>
      </c>
      <c r="B3310" t="str">
        <f>"015486"</f>
        <v>0</v>
      </c>
      <c r="C3310" t="s">
        <v>2751</v>
      </c>
      <c r="D3310" t="s">
        <v>5419</v>
      </c>
      <c r="E3310" t="str">
        <f>"3500700144391"</f>
        <v>0</v>
      </c>
      <c r="F3310" t="str">
        <f>"000730"</f>
        <v>0</v>
      </c>
      <c r="G3310" t="s">
        <v>21</v>
      </c>
    </row>
    <row r="3311" spans="1:7">
      <c r="A3311">
        <v>3310</v>
      </c>
      <c r="B3311" t="str">
        <f>"017970"</f>
        <v>0</v>
      </c>
      <c r="C3311" t="s">
        <v>5671</v>
      </c>
      <c r="D3311" t="s">
        <v>5672</v>
      </c>
      <c r="E3311" t="str">
        <f>"3500700303901"</f>
        <v>0</v>
      </c>
      <c r="F3311" t="str">
        <f>"000730"</f>
        <v>0</v>
      </c>
      <c r="G3311" t="s">
        <v>21</v>
      </c>
    </row>
    <row r="3312" spans="1:7">
      <c r="A3312">
        <v>3311</v>
      </c>
      <c r="B3312" t="str">
        <f>"022953"</f>
        <v>0</v>
      </c>
      <c r="C3312" t="s">
        <v>5673</v>
      </c>
      <c r="D3312" t="s">
        <v>5674</v>
      </c>
      <c r="E3312" t="str">
        <f>"3660100444724"</f>
        <v>0</v>
      </c>
      <c r="F3312" t="str">
        <f>"000730"</f>
        <v>0</v>
      </c>
      <c r="G3312" t="s">
        <v>21</v>
      </c>
    </row>
    <row r="3313" spans="1:7">
      <c r="A3313">
        <v>3312</v>
      </c>
      <c r="B3313" t="str">
        <f>"025537"</f>
        <v>0</v>
      </c>
      <c r="C3313" t="s">
        <v>638</v>
      </c>
      <c r="D3313" t="s">
        <v>5675</v>
      </c>
      <c r="E3313" t="str">
        <f>"1509900019109"</f>
        <v>0</v>
      </c>
      <c r="F3313" t="str">
        <f>"000730"</f>
        <v>0</v>
      </c>
      <c r="G3313" t="s">
        <v>21</v>
      </c>
    </row>
    <row r="3314" spans="1:7">
      <c r="A3314">
        <v>3313</v>
      </c>
      <c r="B3314" t="str">
        <f>"026596"</f>
        <v>0</v>
      </c>
      <c r="C3314" t="s">
        <v>5676</v>
      </c>
      <c r="D3314" t="s">
        <v>5677</v>
      </c>
      <c r="E3314" t="str">
        <f>"1100700519545"</f>
        <v>0</v>
      </c>
      <c r="F3314" t="str">
        <f>"000730"</f>
        <v>0</v>
      </c>
      <c r="G3314" t="s">
        <v>21</v>
      </c>
    </row>
    <row r="3315" spans="1:7">
      <c r="A3315">
        <v>3314</v>
      </c>
      <c r="B3315" t="str">
        <f>"024936"</f>
        <v>0</v>
      </c>
      <c r="C3315" t="s">
        <v>5678</v>
      </c>
      <c r="D3315" t="s">
        <v>5679</v>
      </c>
      <c r="E3315" t="str">
        <f>"3520101084722"</f>
        <v>0</v>
      </c>
      <c r="F3315" t="str">
        <f>"000730"</f>
        <v>0</v>
      </c>
      <c r="G3315" t="s">
        <v>21</v>
      </c>
    </row>
    <row r="3316" spans="1:7">
      <c r="A3316">
        <v>3315</v>
      </c>
      <c r="B3316" t="str">
        <f>"025420"</f>
        <v>0</v>
      </c>
      <c r="C3316" t="s">
        <v>5680</v>
      </c>
      <c r="D3316" t="s">
        <v>5681</v>
      </c>
      <c r="E3316" t="str">
        <f>"1580200038951"</f>
        <v>0</v>
      </c>
      <c r="F3316" t="str">
        <f>"000730"</f>
        <v>0</v>
      </c>
      <c r="G3316" t="s">
        <v>21</v>
      </c>
    </row>
    <row r="3317" spans="1:7">
      <c r="A3317">
        <v>3316</v>
      </c>
      <c r="B3317" t="str">
        <f>"015273"</f>
        <v>0</v>
      </c>
      <c r="C3317" t="s">
        <v>5682</v>
      </c>
      <c r="D3317" t="s">
        <v>5683</v>
      </c>
      <c r="E3317" t="str">
        <f>"3500700149422"</f>
        <v>0</v>
      </c>
      <c r="F3317" t="str">
        <f>"000730"</f>
        <v>0</v>
      </c>
      <c r="G3317" t="s">
        <v>21</v>
      </c>
    </row>
    <row r="3318" spans="1:7">
      <c r="A3318">
        <v>3317</v>
      </c>
      <c r="B3318" t="str">
        <f>"015501"</f>
        <v>0</v>
      </c>
      <c r="C3318" t="s">
        <v>5684</v>
      </c>
      <c r="D3318" t="s">
        <v>5685</v>
      </c>
      <c r="E3318" t="str">
        <f>"3501300377381"</f>
        <v>0</v>
      </c>
      <c r="F3318" t="str">
        <f>"000730"</f>
        <v>0</v>
      </c>
      <c r="G3318" t="s">
        <v>21</v>
      </c>
    </row>
    <row r="3319" spans="1:7">
      <c r="A3319">
        <v>3318</v>
      </c>
      <c r="B3319" t="str">
        <f>"017757"</f>
        <v>0</v>
      </c>
      <c r="C3319" t="s">
        <v>449</v>
      </c>
      <c r="D3319" t="s">
        <v>5686</v>
      </c>
      <c r="E3319" t="str">
        <f>"3500500068062"</f>
        <v>0</v>
      </c>
      <c r="F3319" t="str">
        <f>"000730"</f>
        <v>0</v>
      </c>
      <c r="G3319" t="s">
        <v>21</v>
      </c>
    </row>
    <row r="3320" spans="1:7">
      <c r="A3320">
        <v>3319</v>
      </c>
      <c r="B3320" t="str">
        <f>"021290"</f>
        <v>0</v>
      </c>
      <c r="C3320" t="s">
        <v>5687</v>
      </c>
      <c r="D3320" t="s">
        <v>5688</v>
      </c>
      <c r="E3320" t="str">
        <f>"3501100220828"</f>
        <v>0</v>
      </c>
      <c r="F3320" t="str">
        <f>"000730"</f>
        <v>0</v>
      </c>
      <c r="G3320" t="s">
        <v>21</v>
      </c>
    </row>
    <row r="3321" spans="1:7">
      <c r="A3321">
        <v>3320</v>
      </c>
      <c r="B3321" t="str">
        <f>"021432"</f>
        <v>0</v>
      </c>
      <c r="C3321" t="s">
        <v>46</v>
      </c>
      <c r="D3321" t="s">
        <v>5689</v>
      </c>
      <c r="E3321" t="str">
        <f>"3500100213715"</f>
        <v>0</v>
      </c>
      <c r="F3321" t="str">
        <f>"000730"</f>
        <v>0</v>
      </c>
      <c r="G3321" t="s">
        <v>21</v>
      </c>
    </row>
    <row r="3322" spans="1:7">
      <c r="A3322">
        <v>3321</v>
      </c>
      <c r="B3322" t="str">
        <f>"023101"</f>
        <v>0</v>
      </c>
      <c r="C3322" t="s">
        <v>5690</v>
      </c>
      <c r="D3322" t="s">
        <v>5675</v>
      </c>
      <c r="E3322" t="str">
        <f>"4199900001046"</f>
        <v>0</v>
      </c>
      <c r="F3322" t="str">
        <f>"000730"</f>
        <v>0</v>
      </c>
      <c r="G3322" t="s">
        <v>21</v>
      </c>
    </row>
    <row r="3323" spans="1:7">
      <c r="A3323">
        <v>3322</v>
      </c>
      <c r="B3323" t="str">
        <f>"023328"</f>
        <v>0</v>
      </c>
      <c r="C3323" t="s">
        <v>5691</v>
      </c>
      <c r="D3323" t="s">
        <v>5692</v>
      </c>
      <c r="E3323" t="str">
        <f>"3500500507619"</f>
        <v>0</v>
      </c>
      <c r="F3323" t="str">
        <f>"000730"</f>
        <v>0</v>
      </c>
      <c r="G3323" t="s">
        <v>21</v>
      </c>
    </row>
    <row r="3324" spans="1:7">
      <c r="A3324">
        <v>3323</v>
      </c>
      <c r="B3324" t="str">
        <f>"024216"</f>
        <v>0</v>
      </c>
      <c r="C3324" t="s">
        <v>5693</v>
      </c>
      <c r="D3324" t="s">
        <v>5694</v>
      </c>
      <c r="E3324" t="str">
        <f>"1509900043743"</f>
        <v>0</v>
      </c>
      <c r="F3324" t="str">
        <f>"000730"</f>
        <v>0</v>
      </c>
      <c r="G3324" t="s">
        <v>21</v>
      </c>
    </row>
    <row r="3325" spans="1:7">
      <c r="A3325">
        <v>3324</v>
      </c>
      <c r="B3325" t="str">
        <f>"011057"</f>
        <v>0</v>
      </c>
      <c r="C3325" t="s">
        <v>78</v>
      </c>
      <c r="D3325" t="s">
        <v>5695</v>
      </c>
      <c r="E3325" t="str">
        <f>"3510200129767"</f>
        <v>0</v>
      </c>
      <c r="F3325" t="str">
        <f>"000730"</f>
        <v>0</v>
      </c>
      <c r="G3325" t="s">
        <v>21</v>
      </c>
    </row>
    <row r="3326" spans="1:7">
      <c r="A3326">
        <v>3325</v>
      </c>
      <c r="B3326" t="str">
        <f>"011848"</f>
        <v>0</v>
      </c>
      <c r="C3326" t="s">
        <v>5696</v>
      </c>
      <c r="D3326" t="s">
        <v>5697</v>
      </c>
      <c r="E3326" t="str">
        <f>"3509901507588"</f>
        <v>0</v>
      </c>
      <c r="F3326" t="str">
        <f>"000730"</f>
        <v>0</v>
      </c>
      <c r="G3326" t="s">
        <v>21</v>
      </c>
    </row>
    <row r="3327" spans="1:7">
      <c r="A3327">
        <v>3326</v>
      </c>
      <c r="B3327" t="str">
        <f>"012580"</f>
        <v>0</v>
      </c>
      <c r="C3327" t="s">
        <v>5698</v>
      </c>
      <c r="D3327" t="s">
        <v>5699</v>
      </c>
      <c r="E3327" t="str">
        <f>"3501100068333"</f>
        <v>0</v>
      </c>
      <c r="F3327" t="str">
        <f>"000730"</f>
        <v>0</v>
      </c>
      <c r="G3327" t="s">
        <v>21</v>
      </c>
    </row>
    <row r="3328" spans="1:7">
      <c r="A3328">
        <v>3327</v>
      </c>
      <c r="B3328" t="str">
        <f>"015138"</f>
        <v>0</v>
      </c>
      <c r="C3328" t="s">
        <v>4026</v>
      </c>
      <c r="D3328" t="s">
        <v>4667</v>
      </c>
      <c r="E3328" t="str">
        <f>"3930300087485"</f>
        <v>0</v>
      </c>
      <c r="F3328" t="str">
        <f>"000730"</f>
        <v>0</v>
      </c>
      <c r="G3328" t="s">
        <v>21</v>
      </c>
    </row>
    <row r="3329" spans="1:7">
      <c r="A3329">
        <v>3328</v>
      </c>
      <c r="B3329" t="str">
        <f>"017079"</f>
        <v>0</v>
      </c>
      <c r="C3329" t="s">
        <v>5700</v>
      </c>
      <c r="D3329" t="s">
        <v>5701</v>
      </c>
      <c r="E3329" t="str">
        <f>"3501500214931"</f>
        <v>0</v>
      </c>
      <c r="F3329" t="str">
        <f>"000730"</f>
        <v>0</v>
      </c>
      <c r="G3329" t="s">
        <v>21</v>
      </c>
    </row>
    <row r="3330" spans="1:7">
      <c r="A3330">
        <v>3329</v>
      </c>
      <c r="B3330" t="str">
        <f>"017544"</f>
        <v>0</v>
      </c>
      <c r="C3330" t="s">
        <v>5702</v>
      </c>
      <c r="D3330" t="s">
        <v>4572</v>
      </c>
      <c r="E3330" t="str">
        <f>"3500300023995"</f>
        <v>0</v>
      </c>
      <c r="F3330" t="str">
        <f>"000730"</f>
        <v>0</v>
      </c>
      <c r="G3330" t="s">
        <v>21</v>
      </c>
    </row>
    <row r="3331" spans="1:7">
      <c r="A3331">
        <v>3330</v>
      </c>
      <c r="B3331" t="str">
        <f>"017616"</f>
        <v>0</v>
      </c>
      <c r="C3331" t="s">
        <v>1847</v>
      </c>
      <c r="D3331" t="s">
        <v>5703</v>
      </c>
      <c r="E3331" t="str">
        <f>"3660100425070"</f>
        <v>0</v>
      </c>
      <c r="F3331" t="str">
        <f>"000730"</f>
        <v>0</v>
      </c>
      <c r="G3331" t="s">
        <v>21</v>
      </c>
    </row>
    <row r="3332" spans="1:7">
      <c r="A3332">
        <v>3331</v>
      </c>
      <c r="B3332" t="str">
        <f>"020028"</f>
        <v>0</v>
      </c>
      <c r="C3332" t="s">
        <v>5704</v>
      </c>
      <c r="D3332" t="s">
        <v>5705</v>
      </c>
      <c r="E3332" t="str">
        <f>"3110300078548"</f>
        <v>0</v>
      </c>
      <c r="F3332" t="str">
        <f>"000730"</f>
        <v>0</v>
      </c>
      <c r="G3332" t="s">
        <v>21</v>
      </c>
    </row>
    <row r="3333" spans="1:7">
      <c r="A3333">
        <v>3332</v>
      </c>
      <c r="B3333" t="str">
        <f>"019935"</f>
        <v>0</v>
      </c>
      <c r="C3333" t="s">
        <v>2232</v>
      </c>
      <c r="D3333" t="s">
        <v>5706</v>
      </c>
      <c r="E3333" t="str">
        <f>"3500500404798"</f>
        <v>0</v>
      </c>
      <c r="F3333" t="str">
        <f>"000730"</f>
        <v>0</v>
      </c>
      <c r="G3333" t="s">
        <v>21</v>
      </c>
    </row>
    <row r="3334" spans="1:7">
      <c r="A3334">
        <v>3333</v>
      </c>
      <c r="B3334" t="str">
        <f>"021202"</f>
        <v>0</v>
      </c>
      <c r="C3334" t="s">
        <v>197</v>
      </c>
      <c r="D3334" t="s">
        <v>5707</v>
      </c>
      <c r="E3334" t="str">
        <f>"3600200232907"</f>
        <v>0</v>
      </c>
      <c r="F3334" t="str">
        <f>"000730"</f>
        <v>0</v>
      </c>
      <c r="G3334" t="s">
        <v>21</v>
      </c>
    </row>
    <row r="3335" spans="1:7">
      <c r="A3335">
        <v>3334</v>
      </c>
      <c r="B3335" t="str">
        <f>"021585"</f>
        <v>0</v>
      </c>
      <c r="C3335" t="s">
        <v>5708</v>
      </c>
      <c r="D3335" t="s">
        <v>5709</v>
      </c>
      <c r="E3335" t="str">
        <f>"3501500538400"</f>
        <v>0</v>
      </c>
      <c r="F3335" t="str">
        <f>"000730"</f>
        <v>0</v>
      </c>
      <c r="G3335" t="s">
        <v>21</v>
      </c>
    </row>
    <row r="3336" spans="1:7">
      <c r="A3336">
        <v>3335</v>
      </c>
      <c r="B3336" t="str">
        <f>"021587"</f>
        <v>0</v>
      </c>
      <c r="C3336" t="s">
        <v>5710</v>
      </c>
      <c r="D3336" t="s">
        <v>5711</v>
      </c>
      <c r="E3336" t="str">
        <f>"3589900010931"</f>
        <v>0</v>
      </c>
      <c r="F3336" t="str">
        <f>"000730"</f>
        <v>0</v>
      </c>
      <c r="G3336" t="s">
        <v>21</v>
      </c>
    </row>
    <row r="3337" spans="1:7">
      <c r="A3337">
        <v>3336</v>
      </c>
      <c r="B3337" t="str">
        <f>"022039"</f>
        <v>0</v>
      </c>
      <c r="C3337" t="s">
        <v>5712</v>
      </c>
      <c r="D3337" t="s">
        <v>5713</v>
      </c>
      <c r="E3337" t="str">
        <f>"3540400325683"</f>
        <v>0</v>
      </c>
      <c r="F3337" t="str">
        <f>"000730"</f>
        <v>0</v>
      </c>
      <c r="G3337" t="s">
        <v>21</v>
      </c>
    </row>
    <row r="3338" spans="1:7">
      <c r="A3338">
        <v>3337</v>
      </c>
      <c r="B3338" t="str">
        <f>"023471"</f>
        <v>0</v>
      </c>
      <c r="C3338" t="s">
        <v>1443</v>
      </c>
      <c r="D3338" t="s">
        <v>5714</v>
      </c>
      <c r="E3338" t="str">
        <f>"1570500009027"</f>
        <v>0</v>
      </c>
      <c r="F3338" t="str">
        <f>"000730"</f>
        <v>0</v>
      </c>
      <c r="G3338" t="s">
        <v>21</v>
      </c>
    </row>
    <row r="3339" spans="1:7">
      <c r="A3339">
        <v>3338</v>
      </c>
      <c r="B3339" t="str">
        <f>"025260"</f>
        <v>0</v>
      </c>
      <c r="C3339" t="s">
        <v>5715</v>
      </c>
      <c r="D3339" t="s">
        <v>5716</v>
      </c>
      <c r="E3339" t="str">
        <f>"1559900175291"</f>
        <v>0</v>
      </c>
      <c r="F3339" t="str">
        <f>"000730"</f>
        <v>0</v>
      </c>
      <c r="G3339" t="s">
        <v>21</v>
      </c>
    </row>
    <row r="3340" spans="1:7">
      <c r="A3340">
        <v>3339</v>
      </c>
      <c r="B3340" t="str">
        <f>"024203"</f>
        <v>0</v>
      </c>
      <c r="C3340" t="s">
        <v>5717</v>
      </c>
      <c r="D3340" t="s">
        <v>5718</v>
      </c>
      <c r="E3340" t="str">
        <f>"1510600009177"</f>
        <v>0</v>
      </c>
      <c r="F3340" t="str">
        <f>"000730"</f>
        <v>0</v>
      </c>
      <c r="G3340" t="s">
        <v>21</v>
      </c>
    </row>
    <row r="3341" spans="1:7">
      <c r="A3341">
        <v>3340</v>
      </c>
      <c r="B3341" t="str">
        <f>"022954"</f>
        <v>0</v>
      </c>
      <c r="C3341" t="s">
        <v>5719</v>
      </c>
      <c r="D3341" t="s">
        <v>5720</v>
      </c>
      <c r="E3341" t="str">
        <f>"3540100144063"</f>
        <v>0</v>
      </c>
      <c r="F3341" t="str">
        <f>"000730"</f>
        <v>0</v>
      </c>
      <c r="G3341" t="s">
        <v>21</v>
      </c>
    </row>
    <row r="3342" spans="1:7">
      <c r="A3342">
        <v>3341</v>
      </c>
      <c r="B3342" t="str">
        <f>"026281"</f>
        <v>0</v>
      </c>
      <c r="C3342" t="s">
        <v>5676</v>
      </c>
      <c r="D3342" t="s">
        <v>5721</v>
      </c>
      <c r="E3342" t="str">
        <f>"1571100017597"</f>
        <v>0</v>
      </c>
      <c r="F3342" t="str">
        <f>"000730"</f>
        <v>0</v>
      </c>
      <c r="G3342" t="s">
        <v>21</v>
      </c>
    </row>
    <row r="3343" spans="1:7">
      <c r="A3343">
        <v>3342</v>
      </c>
      <c r="B3343" t="str">
        <f>"000301"</f>
        <v>0</v>
      </c>
      <c r="C3343" t="s">
        <v>5722</v>
      </c>
      <c r="D3343" t="s">
        <v>5723</v>
      </c>
      <c r="E3343" t="str">
        <f>"3230300005248"</f>
        <v>0</v>
      </c>
      <c r="F3343" t="str">
        <f>"000790"</f>
        <v>0</v>
      </c>
      <c r="G3343" t="s">
        <v>21</v>
      </c>
    </row>
    <row r="3344" spans="1:7">
      <c r="A3344">
        <v>3343</v>
      </c>
      <c r="B3344" t="str">
        <f>"005086"</f>
        <v>0</v>
      </c>
      <c r="C3344" t="s">
        <v>5724</v>
      </c>
      <c r="D3344" t="s">
        <v>5725</v>
      </c>
      <c r="E3344" t="str">
        <f>"3230500161073"</f>
        <v>0</v>
      </c>
      <c r="F3344" t="str">
        <f>"000790"</f>
        <v>0</v>
      </c>
      <c r="G3344" t="s">
        <v>21</v>
      </c>
    </row>
    <row r="3345" spans="1:7">
      <c r="A3345">
        <v>3344</v>
      </c>
      <c r="B3345" t="str">
        <f>"005400"</f>
        <v>0</v>
      </c>
      <c r="C3345" t="s">
        <v>5726</v>
      </c>
      <c r="D3345" t="s">
        <v>5727</v>
      </c>
      <c r="E3345" t="str">
        <f>"3230100422236"</f>
        <v>0</v>
      </c>
      <c r="F3345" t="str">
        <f>"000790"</f>
        <v>0</v>
      </c>
      <c r="G3345" t="s">
        <v>21</v>
      </c>
    </row>
    <row r="3346" spans="1:7">
      <c r="A3346">
        <v>3345</v>
      </c>
      <c r="B3346" t="str">
        <f>"005614"</f>
        <v>0</v>
      </c>
      <c r="C3346" t="s">
        <v>5728</v>
      </c>
      <c r="D3346" t="s">
        <v>5729</v>
      </c>
      <c r="E3346" t="str">
        <f>"3230200020792"</f>
        <v>0</v>
      </c>
      <c r="F3346" t="str">
        <f>"000790"</f>
        <v>0</v>
      </c>
      <c r="G3346" t="s">
        <v>21</v>
      </c>
    </row>
    <row r="3347" spans="1:7">
      <c r="A3347">
        <v>3346</v>
      </c>
      <c r="B3347" t="str">
        <f>"005786"</f>
        <v>0</v>
      </c>
      <c r="C3347" t="s">
        <v>5730</v>
      </c>
      <c r="D3347" t="s">
        <v>5731</v>
      </c>
      <c r="E3347" t="str">
        <f>"3670800069535"</f>
        <v>0</v>
      </c>
      <c r="F3347" t="str">
        <f>"000790"</f>
        <v>0</v>
      </c>
      <c r="G3347" t="s">
        <v>21</v>
      </c>
    </row>
    <row r="3348" spans="1:7">
      <c r="A3348">
        <v>3347</v>
      </c>
      <c r="B3348" t="str">
        <f>"007624"</f>
        <v>0</v>
      </c>
      <c r="C3348" t="s">
        <v>5732</v>
      </c>
      <c r="D3348" t="s">
        <v>5733</v>
      </c>
      <c r="E3348" t="str">
        <f>"3700700744868"</f>
        <v>0</v>
      </c>
      <c r="F3348" t="str">
        <f>"000790"</f>
        <v>0</v>
      </c>
      <c r="G3348" t="s">
        <v>21</v>
      </c>
    </row>
    <row r="3349" spans="1:7">
      <c r="A3349">
        <v>3348</v>
      </c>
      <c r="B3349" t="str">
        <f>"008858"</f>
        <v>0</v>
      </c>
      <c r="C3349" t="s">
        <v>5734</v>
      </c>
      <c r="D3349" t="s">
        <v>5735</v>
      </c>
      <c r="E3349" t="str">
        <f>"3230100278259"</f>
        <v>0</v>
      </c>
      <c r="F3349" t="str">
        <f>"000790"</f>
        <v>0</v>
      </c>
      <c r="G3349" t="s">
        <v>21</v>
      </c>
    </row>
    <row r="3350" spans="1:7">
      <c r="A3350">
        <v>3349</v>
      </c>
      <c r="B3350" t="str">
        <f>"008944"</f>
        <v>0</v>
      </c>
      <c r="C3350" t="s">
        <v>423</v>
      </c>
      <c r="D3350" t="s">
        <v>5736</v>
      </c>
      <c r="E3350" t="str">
        <f>"3239900035847"</f>
        <v>0</v>
      </c>
      <c r="F3350" t="str">
        <f>"000790"</f>
        <v>0</v>
      </c>
      <c r="G3350" t="s">
        <v>21</v>
      </c>
    </row>
    <row r="3351" spans="1:7">
      <c r="A3351">
        <v>3350</v>
      </c>
      <c r="B3351" t="str">
        <f>"008989"</f>
        <v>0</v>
      </c>
      <c r="C3351" t="s">
        <v>5737</v>
      </c>
      <c r="D3351" t="s">
        <v>5738</v>
      </c>
      <c r="E3351" t="str">
        <f>"3230500048579"</f>
        <v>0</v>
      </c>
      <c r="F3351" t="str">
        <f>"000790"</f>
        <v>0</v>
      </c>
      <c r="G3351" t="s">
        <v>21</v>
      </c>
    </row>
    <row r="3352" spans="1:7">
      <c r="A3352">
        <v>3351</v>
      </c>
      <c r="B3352" t="str">
        <f>"009890"</f>
        <v>0</v>
      </c>
      <c r="C3352" t="s">
        <v>367</v>
      </c>
      <c r="D3352" t="s">
        <v>5739</v>
      </c>
      <c r="E3352" t="str">
        <f>"3239900082420"</f>
        <v>0</v>
      </c>
      <c r="F3352" t="str">
        <f>"000790"</f>
        <v>0</v>
      </c>
      <c r="G3352" t="s">
        <v>21</v>
      </c>
    </row>
    <row r="3353" spans="1:7">
      <c r="A3353">
        <v>3352</v>
      </c>
      <c r="B3353" t="str">
        <f>"010249"</f>
        <v>0</v>
      </c>
      <c r="C3353" t="s">
        <v>1983</v>
      </c>
      <c r="D3353" t="s">
        <v>5740</v>
      </c>
      <c r="E3353" t="str">
        <f>"3269900095173"</f>
        <v>0</v>
      </c>
      <c r="F3353" t="str">
        <f>"000790"</f>
        <v>0</v>
      </c>
      <c r="G3353" t="s">
        <v>21</v>
      </c>
    </row>
    <row r="3354" spans="1:7">
      <c r="A3354">
        <v>3353</v>
      </c>
      <c r="B3354" t="str">
        <f>"011323"</f>
        <v>0</v>
      </c>
      <c r="C3354" t="s">
        <v>2283</v>
      </c>
      <c r="D3354" t="s">
        <v>5741</v>
      </c>
      <c r="E3354" t="str">
        <f>"3210300560675"</f>
        <v>0</v>
      </c>
      <c r="F3354" t="str">
        <f>"000790"</f>
        <v>0</v>
      </c>
      <c r="G3354" t="s">
        <v>21</v>
      </c>
    </row>
    <row r="3355" spans="1:7">
      <c r="A3355">
        <v>3354</v>
      </c>
      <c r="B3355" t="str">
        <f>"011472"</f>
        <v>0</v>
      </c>
      <c r="C3355" t="s">
        <v>4577</v>
      </c>
      <c r="D3355" t="s">
        <v>5742</v>
      </c>
      <c r="E3355" t="str">
        <f>"3239900070651"</f>
        <v>0</v>
      </c>
      <c r="F3355" t="str">
        <f>"000790"</f>
        <v>0</v>
      </c>
      <c r="G3355" t="s">
        <v>21</v>
      </c>
    </row>
    <row r="3356" spans="1:7">
      <c r="A3356">
        <v>3355</v>
      </c>
      <c r="B3356" t="str">
        <f>"011703"</f>
        <v>0</v>
      </c>
      <c r="C3356" t="s">
        <v>379</v>
      </c>
      <c r="D3356" t="s">
        <v>5743</v>
      </c>
      <c r="E3356" t="str">
        <f>"3239900070600"</f>
        <v>0</v>
      </c>
      <c r="F3356" t="str">
        <f>"000790"</f>
        <v>0</v>
      </c>
      <c r="G3356" t="s">
        <v>21</v>
      </c>
    </row>
    <row r="3357" spans="1:7">
      <c r="A3357">
        <v>3356</v>
      </c>
      <c r="B3357" t="str">
        <f>"011956"</f>
        <v>0</v>
      </c>
      <c r="C3357" t="s">
        <v>1699</v>
      </c>
      <c r="D3357" t="s">
        <v>5744</v>
      </c>
      <c r="E3357" t="str">
        <f>"3230300001285"</f>
        <v>0</v>
      </c>
      <c r="F3357" t="str">
        <f>"000790"</f>
        <v>0</v>
      </c>
      <c r="G3357" t="s">
        <v>21</v>
      </c>
    </row>
    <row r="3358" spans="1:7">
      <c r="A3358">
        <v>3357</v>
      </c>
      <c r="B3358" t="str">
        <f>"013027"</f>
        <v>0</v>
      </c>
      <c r="C3358" t="s">
        <v>5745</v>
      </c>
      <c r="D3358" t="s">
        <v>5746</v>
      </c>
      <c r="E3358" t="str">
        <f>"3230200084677"</f>
        <v>0</v>
      </c>
      <c r="F3358" t="str">
        <f>"000790"</f>
        <v>0</v>
      </c>
      <c r="G3358" t="s">
        <v>21</v>
      </c>
    </row>
    <row r="3359" spans="1:7">
      <c r="A3359">
        <v>3358</v>
      </c>
      <c r="B3359" t="str">
        <f>"017958"</f>
        <v>0</v>
      </c>
      <c r="C3359" t="s">
        <v>590</v>
      </c>
      <c r="D3359" t="s">
        <v>5747</v>
      </c>
      <c r="E3359" t="str">
        <f>"3230100439848"</f>
        <v>0</v>
      </c>
      <c r="F3359" t="str">
        <f>"000790"</f>
        <v>0</v>
      </c>
      <c r="G3359" t="s">
        <v>21</v>
      </c>
    </row>
    <row r="3360" spans="1:7">
      <c r="A3360">
        <v>3359</v>
      </c>
      <c r="B3360" t="str">
        <f>"019228"</f>
        <v>0</v>
      </c>
      <c r="C3360" t="s">
        <v>2894</v>
      </c>
      <c r="D3360" t="s">
        <v>5748</v>
      </c>
      <c r="E3360" t="str">
        <f>"5249999001164"</f>
        <v>0</v>
      </c>
      <c r="F3360" t="str">
        <f>"000790"</f>
        <v>0</v>
      </c>
      <c r="G3360" t="s">
        <v>21</v>
      </c>
    </row>
    <row r="3361" spans="1:7">
      <c r="A3361">
        <v>3360</v>
      </c>
      <c r="B3361" t="str">
        <f>"022365"</f>
        <v>0</v>
      </c>
      <c r="C3361" t="s">
        <v>5749</v>
      </c>
      <c r="D3361" t="s">
        <v>5750</v>
      </c>
      <c r="E3361" t="str">
        <f>"3210500428096"</f>
        <v>0</v>
      </c>
      <c r="F3361" t="str">
        <f>"000790"</f>
        <v>0</v>
      </c>
      <c r="G3361" t="s">
        <v>21</v>
      </c>
    </row>
    <row r="3362" spans="1:7">
      <c r="A3362">
        <v>3361</v>
      </c>
      <c r="B3362" t="str">
        <f>"022412"</f>
        <v>0</v>
      </c>
      <c r="C3362" t="s">
        <v>5751</v>
      </c>
      <c r="D3362" t="s">
        <v>5752</v>
      </c>
      <c r="E3362" t="str">
        <f>"3239900087120"</f>
        <v>0</v>
      </c>
      <c r="F3362" t="str">
        <f>"000790"</f>
        <v>0</v>
      </c>
      <c r="G3362" t="s">
        <v>21</v>
      </c>
    </row>
    <row r="3363" spans="1:7">
      <c r="A3363">
        <v>3362</v>
      </c>
      <c r="B3363" t="str">
        <f>"008861"</f>
        <v>0</v>
      </c>
      <c r="C3363" t="s">
        <v>391</v>
      </c>
      <c r="D3363" t="s">
        <v>5753</v>
      </c>
      <c r="E3363" t="str">
        <f>"3230500181449"</f>
        <v>0</v>
      </c>
      <c r="F3363" t="str">
        <f>"000790"</f>
        <v>0</v>
      </c>
      <c r="G3363" t="s">
        <v>21</v>
      </c>
    </row>
    <row r="3364" spans="1:7">
      <c r="A3364">
        <v>3363</v>
      </c>
      <c r="B3364" t="str">
        <f>"020387"</f>
        <v>0</v>
      </c>
      <c r="C3364" t="s">
        <v>32</v>
      </c>
      <c r="D3364" t="s">
        <v>5754</v>
      </c>
      <c r="E3364" t="str">
        <f>"3309901190683"</f>
        <v>0</v>
      </c>
      <c r="F3364" t="str">
        <f>"000790"</f>
        <v>0</v>
      </c>
      <c r="G3364" t="s">
        <v>21</v>
      </c>
    </row>
    <row r="3365" spans="1:7">
      <c r="A3365">
        <v>3364</v>
      </c>
      <c r="B3365" t="str">
        <f>"024755"</f>
        <v>0</v>
      </c>
      <c r="C3365" t="s">
        <v>5755</v>
      </c>
      <c r="D3365" t="s">
        <v>5756</v>
      </c>
      <c r="E3365" t="str">
        <f>"1100600032164"</f>
        <v>0</v>
      </c>
      <c r="F3365" t="str">
        <f>"000790"</f>
        <v>0</v>
      </c>
      <c r="G3365" t="s">
        <v>21</v>
      </c>
    </row>
    <row r="3366" spans="1:7">
      <c r="A3366">
        <v>3365</v>
      </c>
      <c r="B3366" t="str">
        <f>"025512"</f>
        <v>0</v>
      </c>
      <c r="C3366" t="s">
        <v>5757</v>
      </c>
      <c r="D3366" t="s">
        <v>5758</v>
      </c>
      <c r="E3366" t="str">
        <f>"3230300008417"</f>
        <v>0</v>
      </c>
      <c r="F3366" t="str">
        <f>"000790"</f>
        <v>0</v>
      </c>
      <c r="G3366" t="s">
        <v>21</v>
      </c>
    </row>
    <row r="3367" spans="1:7">
      <c r="A3367">
        <v>3366</v>
      </c>
      <c r="B3367" t="str">
        <f>"014998"</f>
        <v>0</v>
      </c>
      <c r="C3367" t="s">
        <v>5759</v>
      </c>
      <c r="D3367" t="s">
        <v>5760</v>
      </c>
      <c r="E3367" t="str">
        <f>"3200900769800"</f>
        <v>0</v>
      </c>
      <c r="F3367" t="str">
        <f>"000790"</f>
        <v>0</v>
      </c>
      <c r="G3367" t="s">
        <v>21</v>
      </c>
    </row>
    <row r="3368" spans="1:7">
      <c r="A3368">
        <v>3367</v>
      </c>
      <c r="B3368" t="str">
        <f>"020516"</f>
        <v>0</v>
      </c>
      <c r="C3368" t="s">
        <v>5761</v>
      </c>
      <c r="D3368" t="s">
        <v>5762</v>
      </c>
      <c r="E3368" t="str">
        <f>"3220200010355"</f>
        <v>0</v>
      </c>
      <c r="F3368" t="str">
        <f>"000790"</f>
        <v>0</v>
      </c>
      <c r="G3368" t="s">
        <v>21</v>
      </c>
    </row>
    <row r="3369" spans="1:7">
      <c r="A3369">
        <v>3368</v>
      </c>
      <c r="B3369" t="str">
        <f>"020761"</f>
        <v>0</v>
      </c>
      <c r="C3369" t="s">
        <v>624</v>
      </c>
      <c r="D3369" t="s">
        <v>5763</v>
      </c>
      <c r="E3369" t="str">
        <f>"3220200096942"</f>
        <v>0</v>
      </c>
      <c r="F3369" t="str">
        <f>"000790"</f>
        <v>0</v>
      </c>
      <c r="G3369" t="s">
        <v>21</v>
      </c>
    </row>
    <row r="3370" spans="1:7">
      <c r="A3370">
        <v>3369</v>
      </c>
      <c r="B3370" t="str">
        <f>"022366"</f>
        <v>0</v>
      </c>
      <c r="C3370" t="s">
        <v>5764</v>
      </c>
      <c r="D3370" t="s">
        <v>5765</v>
      </c>
      <c r="E3370" t="str">
        <f>"3220200028637"</f>
        <v>0</v>
      </c>
      <c r="F3370" t="str">
        <f>"000790"</f>
        <v>0</v>
      </c>
      <c r="G3370" t="s">
        <v>21</v>
      </c>
    </row>
    <row r="3371" spans="1:7">
      <c r="A3371">
        <v>3370</v>
      </c>
      <c r="B3371" t="str">
        <f>"011772"</f>
        <v>0</v>
      </c>
      <c r="C3371" t="s">
        <v>5766</v>
      </c>
      <c r="D3371" t="s">
        <v>5767</v>
      </c>
      <c r="E3371" t="str">
        <f>"3230300024447"</f>
        <v>0</v>
      </c>
      <c r="F3371" t="str">
        <f>"000790"</f>
        <v>0</v>
      </c>
      <c r="G3371" t="s">
        <v>21</v>
      </c>
    </row>
    <row r="3372" spans="1:7">
      <c r="A3372">
        <v>3371</v>
      </c>
      <c r="B3372" t="str">
        <f>"012332"</f>
        <v>0</v>
      </c>
      <c r="C3372" t="s">
        <v>5768</v>
      </c>
      <c r="D3372" t="s">
        <v>5739</v>
      </c>
      <c r="E3372" t="str">
        <f>"3239900082489"</f>
        <v>0</v>
      </c>
      <c r="F3372" t="str">
        <f>"000790"</f>
        <v>0</v>
      </c>
      <c r="G3372" t="s">
        <v>21</v>
      </c>
    </row>
    <row r="3373" spans="1:7">
      <c r="A3373">
        <v>3372</v>
      </c>
      <c r="B3373" t="str">
        <f>"015869"</f>
        <v>0</v>
      </c>
      <c r="C3373" t="s">
        <v>4251</v>
      </c>
      <c r="D3373" t="s">
        <v>5769</v>
      </c>
      <c r="E3373" t="str">
        <f>"3450101349654"</f>
        <v>0</v>
      </c>
      <c r="F3373" t="str">
        <f>"000790"</f>
        <v>0</v>
      </c>
      <c r="G3373" t="s">
        <v>21</v>
      </c>
    </row>
    <row r="3374" spans="1:7">
      <c r="A3374">
        <v>3373</v>
      </c>
      <c r="B3374" t="str">
        <f>"016421"</f>
        <v>0</v>
      </c>
      <c r="C3374" t="s">
        <v>590</v>
      </c>
      <c r="D3374" t="s">
        <v>5770</v>
      </c>
      <c r="E3374" t="str">
        <f>"3310900268451"</f>
        <v>0</v>
      </c>
      <c r="F3374" t="str">
        <f>"000790"</f>
        <v>0</v>
      </c>
      <c r="G3374" t="s">
        <v>21</v>
      </c>
    </row>
    <row r="3375" spans="1:7">
      <c r="A3375">
        <v>3374</v>
      </c>
      <c r="B3375" t="str">
        <f>"018468"</f>
        <v>0</v>
      </c>
      <c r="C3375" t="s">
        <v>2331</v>
      </c>
      <c r="D3375" t="s">
        <v>5771</v>
      </c>
      <c r="E3375" t="str">
        <f>"3210300646081"</f>
        <v>0</v>
      </c>
      <c r="F3375" t="str">
        <f>"000790"</f>
        <v>0</v>
      </c>
      <c r="G3375" t="s">
        <v>21</v>
      </c>
    </row>
    <row r="3376" spans="1:7">
      <c r="A3376">
        <v>3375</v>
      </c>
      <c r="B3376" t="str">
        <f>"018674"</f>
        <v>0</v>
      </c>
      <c r="C3376" t="s">
        <v>5772</v>
      </c>
      <c r="D3376" t="s">
        <v>5773</v>
      </c>
      <c r="E3376" t="str">
        <f>"3120600025318"</f>
        <v>0</v>
      </c>
      <c r="F3376" t="str">
        <f>"000790"</f>
        <v>0</v>
      </c>
      <c r="G3376" t="s">
        <v>21</v>
      </c>
    </row>
    <row r="3377" spans="1:7">
      <c r="A3377">
        <v>3376</v>
      </c>
      <c r="B3377" t="str">
        <f>"018833"</f>
        <v>0</v>
      </c>
      <c r="C3377" t="s">
        <v>923</v>
      </c>
      <c r="D3377" t="s">
        <v>5774</v>
      </c>
      <c r="E3377" t="str">
        <f>"3841000097819"</f>
        <v>0</v>
      </c>
      <c r="F3377" t="str">
        <f>"000790"</f>
        <v>0</v>
      </c>
      <c r="G3377" t="s">
        <v>21</v>
      </c>
    </row>
    <row r="3378" spans="1:7">
      <c r="A3378">
        <v>3377</v>
      </c>
      <c r="B3378" t="str">
        <f>"019887"</f>
        <v>0</v>
      </c>
      <c r="C3378" t="s">
        <v>1124</v>
      </c>
      <c r="D3378" t="s">
        <v>2610</v>
      </c>
      <c r="E3378" t="str">
        <f>"3809900034519"</f>
        <v>0</v>
      </c>
      <c r="F3378" t="str">
        <f>"000790"</f>
        <v>0</v>
      </c>
      <c r="G3378" t="s">
        <v>21</v>
      </c>
    </row>
    <row r="3379" spans="1:7">
      <c r="A3379">
        <v>3378</v>
      </c>
      <c r="B3379" t="str">
        <f>"019937"</f>
        <v>0</v>
      </c>
      <c r="C3379" t="s">
        <v>1027</v>
      </c>
      <c r="D3379" t="s">
        <v>5775</v>
      </c>
      <c r="E3379" t="str">
        <f>"3120600225791"</f>
        <v>0</v>
      </c>
      <c r="F3379" t="str">
        <f>"000790"</f>
        <v>0</v>
      </c>
      <c r="G3379" t="s">
        <v>21</v>
      </c>
    </row>
    <row r="3380" spans="1:7">
      <c r="A3380">
        <v>3379</v>
      </c>
      <c r="B3380" t="str">
        <f>"020339"</f>
        <v>0</v>
      </c>
      <c r="C3380" t="s">
        <v>2758</v>
      </c>
      <c r="D3380" t="s">
        <v>3806</v>
      </c>
      <c r="E3380" t="str">
        <f>"3230100484100"</f>
        <v>0</v>
      </c>
      <c r="F3380" t="str">
        <f>"000790"</f>
        <v>0</v>
      </c>
      <c r="G3380" t="s">
        <v>21</v>
      </c>
    </row>
    <row r="3381" spans="1:7">
      <c r="A3381">
        <v>3380</v>
      </c>
      <c r="B3381" t="str">
        <f>"020356"</f>
        <v>0</v>
      </c>
      <c r="C3381" t="s">
        <v>5776</v>
      </c>
      <c r="D3381" t="s">
        <v>5777</v>
      </c>
      <c r="E3381" t="str">
        <f>"3230500145531"</f>
        <v>0</v>
      </c>
      <c r="F3381" t="str">
        <f>"000790"</f>
        <v>0</v>
      </c>
      <c r="G3381" t="s">
        <v>21</v>
      </c>
    </row>
    <row r="3382" spans="1:7">
      <c r="A3382">
        <v>3381</v>
      </c>
      <c r="B3382" t="str">
        <f>"020573"</f>
        <v>0</v>
      </c>
      <c r="C3382" t="s">
        <v>5778</v>
      </c>
      <c r="D3382" t="s">
        <v>3859</v>
      </c>
      <c r="E3382" t="str">
        <f>"3730300258036"</f>
        <v>0</v>
      </c>
      <c r="F3382" t="str">
        <f>"000790"</f>
        <v>0</v>
      </c>
      <c r="G3382" t="s">
        <v>21</v>
      </c>
    </row>
    <row r="3383" spans="1:7">
      <c r="A3383">
        <v>3382</v>
      </c>
      <c r="B3383" t="str">
        <f>"021386"</f>
        <v>0</v>
      </c>
      <c r="C3383" t="s">
        <v>411</v>
      </c>
      <c r="D3383" t="s">
        <v>5779</v>
      </c>
      <c r="E3383" t="str">
        <f>"3220100042905"</f>
        <v>0</v>
      </c>
      <c r="F3383" t="str">
        <f>"000790"</f>
        <v>0</v>
      </c>
      <c r="G3383" t="s">
        <v>21</v>
      </c>
    </row>
    <row r="3384" spans="1:7">
      <c r="A3384">
        <v>3383</v>
      </c>
      <c r="B3384" t="str">
        <f>"022891"</f>
        <v>0</v>
      </c>
      <c r="C3384" t="s">
        <v>5780</v>
      </c>
      <c r="D3384" t="s">
        <v>5781</v>
      </c>
      <c r="E3384" t="str">
        <f>"1639900021021"</f>
        <v>0</v>
      </c>
      <c r="F3384" t="str">
        <f>"000790"</f>
        <v>0</v>
      </c>
      <c r="G3384" t="s">
        <v>21</v>
      </c>
    </row>
    <row r="3385" spans="1:7">
      <c r="A3385">
        <v>3384</v>
      </c>
      <c r="B3385" t="str">
        <f>"022956"</f>
        <v>0</v>
      </c>
      <c r="C3385" t="s">
        <v>5782</v>
      </c>
      <c r="D3385" t="s">
        <v>5783</v>
      </c>
      <c r="E3385" t="str">
        <f>"3230100010213"</f>
        <v>0</v>
      </c>
      <c r="F3385" t="str">
        <f>"000790"</f>
        <v>0</v>
      </c>
      <c r="G3385" t="s">
        <v>21</v>
      </c>
    </row>
    <row r="3386" spans="1:7">
      <c r="A3386">
        <v>3385</v>
      </c>
      <c r="B3386" t="str">
        <f>"023677"</f>
        <v>0</v>
      </c>
      <c r="C3386" t="s">
        <v>5784</v>
      </c>
      <c r="D3386" t="s">
        <v>5765</v>
      </c>
      <c r="E3386" t="str">
        <f>"3230200067519"</f>
        <v>0</v>
      </c>
      <c r="F3386" t="str">
        <f>"000790"</f>
        <v>0</v>
      </c>
      <c r="G3386" t="s">
        <v>21</v>
      </c>
    </row>
    <row r="3387" spans="1:7">
      <c r="A3387">
        <v>3386</v>
      </c>
      <c r="B3387" t="str">
        <f>"023702"</f>
        <v>0</v>
      </c>
      <c r="C3387" t="s">
        <v>4757</v>
      </c>
      <c r="D3387" t="s">
        <v>5785</v>
      </c>
      <c r="E3387" t="str">
        <f>"1230500003129"</f>
        <v>0</v>
      </c>
      <c r="F3387" t="str">
        <f>"000790"</f>
        <v>0</v>
      </c>
      <c r="G3387" t="s">
        <v>21</v>
      </c>
    </row>
    <row r="3388" spans="1:7">
      <c r="A3388">
        <v>3387</v>
      </c>
      <c r="B3388" t="str">
        <f>"023768"</f>
        <v>0</v>
      </c>
      <c r="C3388" t="s">
        <v>5786</v>
      </c>
      <c r="D3388" t="s">
        <v>5787</v>
      </c>
      <c r="E3388" t="str">
        <f>"1239900086062"</f>
        <v>0</v>
      </c>
      <c r="F3388" t="str">
        <f>"000790"</f>
        <v>0</v>
      </c>
      <c r="G3388" t="s">
        <v>21</v>
      </c>
    </row>
    <row r="3389" spans="1:7">
      <c r="A3389">
        <v>3388</v>
      </c>
      <c r="B3389" t="str">
        <f>"023995"</f>
        <v>0</v>
      </c>
      <c r="C3389" t="s">
        <v>5788</v>
      </c>
      <c r="D3389" t="s">
        <v>5789</v>
      </c>
      <c r="E3389" t="str">
        <f>"3230100082745"</f>
        <v>0</v>
      </c>
      <c r="F3389" t="str">
        <f>"000790"</f>
        <v>0</v>
      </c>
      <c r="G3389" t="s">
        <v>21</v>
      </c>
    </row>
    <row r="3390" spans="1:7">
      <c r="A3390">
        <v>3389</v>
      </c>
      <c r="B3390" t="str">
        <f>"024481"</f>
        <v>0</v>
      </c>
      <c r="C3390" t="s">
        <v>5790</v>
      </c>
      <c r="D3390" t="s">
        <v>5791</v>
      </c>
      <c r="E3390" t="str">
        <f>"1239900142973"</f>
        <v>0</v>
      </c>
      <c r="F3390" t="str">
        <f>"000790"</f>
        <v>0</v>
      </c>
      <c r="G3390" t="s">
        <v>21</v>
      </c>
    </row>
    <row r="3391" spans="1:7">
      <c r="A3391">
        <v>3390</v>
      </c>
      <c r="B3391" t="str">
        <f>"025101"</f>
        <v>0</v>
      </c>
      <c r="C3391" t="s">
        <v>5792</v>
      </c>
      <c r="D3391" t="s">
        <v>5793</v>
      </c>
      <c r="E3391" t="str">
        <f>"3440100482156"</f>
        <v>0</v>
      </c>
      <c r="F3391" t="str">
        <f>"000790"</f>
        <v>0</v>
      </c>
      <c r="G3391" t="s">
        <v>21</v>
      </c>
    </row>
    <row r="3392" spans="1:7">
      <c r="A3392">
        <v>3391</v>
      </c>
      <c r="B3392" t="str">
        <f>"025263"</f>
        <v>0</v>
      </c>
      <c r="C3392" t="s">
        <v>5794</v>
      </c>
      <c r="D3392" t="s">
        <v>5795</v>
      </c>
      <c r="E3392" t="str">
        <f>"1230400057413"</f>
        <v>0</v>
      </c>
      <c r="F3392" t="str">
        <f>"000790"</f>
        <v>0</v>
      </c>
      <c r="G3392" t="s">
        <v>21</v>
      </c>
    </row>
    <row r="3393" spans="1:7">
      <c r="A3393">
        <v>3392</v>
      </c>
      <c r="B3393" t="str">
        <f>"025557"</f>
        <v>0</v>
      </c>
      <c r="C3393" t="s">
        <v>3164</v>
      </c>
      <c r="D3393" t="s">
        <v>5796</v>
      </c>
      <c r="E3393" t="str">
        <f>"3110300112789"</f>
        <v>0</v>
      </c>
      <c r="F3393" t="str">
        <f>"000790"</f>
        <v>0</v>
      </c>
      <c r="G3393" t="s">
        <v>21</v>
      </c>
    </row>
    <row r="3394" spans="1:7">
      <c r="A3394">
        <v>3393</v>
      </c>
      <c r="B3394" t="str">
        <f>"026119"</f>
        <v>0</v>
      </c>
      <c r="C3394" t="s">
        <v>5797</v>
      </c>
      <c r="D3394" t="s">
        <v>5798</v>
      </c>
      <c r="E3394" t="str">
        <f>"1230400039229"</f>
        <v>0</v>
      </c>
      <c r="F3394" t="str">
        <f>"000790"</f>
        <v>0</v>
      </c>
      <c r="G3394" t="s">
        <v>21</v>
      </c>
    </row>
    <row r="3395" spans="1:7">
      <c r="A3395">
        <v>3394</v>
      </c>
      <c r="B3395" t="str">
        <f>"026120"</f>
        <v>0</v>
      </c>
      <c r="C3395" t="s">
        <v>1110</v>
      </c>
      <c r="D3395" t="s">
        <v>5799</v>
      </c>
      <c r="E3395" t="str">
        <f>"1709900355913"</f>
        <v>0</v>
      </c>
      <c r="F3395" t="str">
        <f>"000790"</f>
        <v>0</v>
      </c>
      <c r="G3395" t="s">
        <v>21</v>
      </c>
    </row>
    <row r="3396" spans="1:7">
      <c r="A3396">
        <v>3395</v>
      </c>
      <c r="B3396" t="str">
        <f>"026564"</f>
        <v>0</v>
      </c>
      <c r="C3396" t="s">
        <v>5800</v>
      </c>
      <c r="D3396" t="s">
        <v>5801</v>
      </c>
      <c r="E3396" t="str">
        <f>"1239900204928"</f>
        <v>0</v>
      </c>
      <c r="F3396" t="str">
        <f>"000790"</f>
        <v>0</v>
      </c>
      <c r="G3396" t="s">
        <v>21</v>
      </c>
    </row>
    <row r="3397" spans="1:7">
      <c r="A3397">
        <v>3396</v>
      </c>
      <c r="B3397" t="str">
        <f>"027110"</f>
        <v>0</v>
      </c>
      <c r="C3397" t="s">
        <v>3970</v>
      </c>
      <c r="D3397" t="s">
        <v>5802</v>
      </c>
      <c r="E3397" t="str">
        <f>"1249900335615"</f>
        <v>0</v>
      </c>
      <c r="F3397" t="str">
        <f>"000790"</f>
        <v>0</v>
      </c>
      <c r="G3397" t="s">
        <v>21</v>
      </c>
    </row>
    <row r="3398" spans="1:7">
      <c r="A3398">
        <v>3397</v>
      </c>
      <c r="B3398" t="str">
        <f>"024632"</f>
        <v>0</v>
      </c>
      <c r="C3398" t="s">
        <v>5803</v>
      </c>
      <c r="D3398" t="s">
        <v>5804</v>
      </c>
      <c r="E3398" t="str">
        <f>"3400500274950"</f>
        <v>0</v>
      </c>
      <c r="F3398" t="str">
        <f>"000790"</f>
        <v>0</v>
      </c>
      <c r="G3398" t="s">
        <v>21</v>
      </c>
    </row>
    <row r="3399" spans="1:7">
      <c r="A3399">
        <v>3398</v>
      </c>
      <c r="B3399" t="str">
        <f>"025262"</f>
        <v>0</v>
      </c>
      <c r="C3399" t="s">
        <v>5805</v>
      </c>
      <c r="D3399" t="s">
        <v>5806</v>
      </c>
      <c r="E3399" t="str">
        <f>"3469900093284"</f>
        <v>0</v>
      </c>
      <c r="F3399" t="str">
        <f>"000790"</f>
        <v>0</v>
      </c>
      <c r="G3399" t="s">
        <v>21</v>
      </c>
    </row>
    <row r="3400" spans="1:7">
      <c r="A3400">
        <v>3399</v>
      </c>
      <c r="B3400" t="str">
        <f>"002977"</f>
        <v>0</v>
      </c>
      <c r="C3400" t="s">
        <v>264</v>
      </c>
      <c r="D3400" t="s">
        <v>5807</v>
      </c>
      <c r="E3400" t="str">
        <f>"3630100571581"</f>
        <v>0</v>
      </c>
      <c r="F3400" t="str">
        <f>"000800"</f>
        <v>0</v>
      </c>
      <c r="G3400" t="s">
        <v>21</v>
      </c>
    </row>
    <row r="3401" spans="1:7">
      <c r="A3401">
        <v>3400</v>
      </c>
      <c r="B3401" t="str">
        <f>"003526"</f>
        <v>0</v>
      </c>
      <c r="C3401" t="s">
        <v>2193</v>
      </c>
      <c r="D3401" t="s">
        <v>5808</v>
      </c>
      <c r="E3401" t="str">
        <f>"3420300023805"</f>
        <v>0</v>
      </c>
      <c r="F3401" t="str">
        <f>"000800"</f>
        <v>0</v>
      </c>
      <c r="G3401" t="s">
        <v>21</v>
      </c>
    </row>
    <row r="3402" spans="1:7">
      <c r="A3402">
        <v>3401</v>
      </c>
      <c r="B3402" t="str">
        <f>"004317"</f>
        <v>0</v>
      </c>
      <c r="C3402" t="s">
        <v>5809</v>
      </c>
      <c r="D3402" t="s">
        <v>5810</v>
      </c>
      <c r="E3402" t="str">
        <f>"3620100637026"</f>
        <v>0</v>
      </c>
      <c r="F3402" t="str">
        <f>"000800"</f>
        <v>0</v>
      </c>
      <c r="G3402" t="s">
        <v>21</v>
      </c>
    </row>
    <row r="3403" spans="1:7">
      <c r="A3403">
        <v>3402</v>
      </c>
      <c r="B3403" t="str">
        <f>"005727"</f>
        <v>0</v>
      </c>
      <c r="C3403" t="s">
        <v>5811</v>
      </c>
      <c r="D3403" t="s">
        <v>5812</v>
      </c>
      <c r="E3403" t="str">
        <f>"3619900072463"</f>
        <v>0</v>
      </c>
      <c r="F3403" t="str">
        <f>"000800"</f>
        <v>0</v>
      </c>
      <c r="G3403" t="s">
        <v>21</v>
      </c>
    </row>
    <row r="3404" spans="1:7">
      <c r="A3404">
        <v>3403</v>
      </c>
      <c r="B3404" t="str">
        <f>"008979"</f>
        <v>0</v>
      </c>
      <c r="C3404" t="s">
        <v>4967</v>
      </c>
      <c r="D3404" t="s">
        <v>5813</v>
      </c>
      <c r="E3404" t="str">
        <f>"3411200755058"</f>
        <v>0</v>
      </c>
      <c r="F3404" t="str">
        <f>"000800"</f>
        <v>0</v>
      </c>
      <c r="G3404" t="s">
        <v>21</v>
      </c>
    </row>
    <row r="3405" spans="1:7">
      <c r="A3405">
        <v>3404</v>
      </c>
      <c r="B3405" t="str">
        <f>"009488"</f>
        <v>0</v>
      </c>
      <c r="C3405" t="s">
        <v>5814</v>
      </c>
      <c r="D3405" t="s">
        <v>5815</v>
      </c>
      <c r="E3405" t="str">
        <f>"3501400136831"</f>
        <v>0</v>
      </c>
      <c r="F3405" t="str">
        <f>"000800"</f>
        <v>0</v>
      </c>
      <c r="G3405" t="s">
        <v>21</v>
      </c>
    </row>
    <row r="3406" spans="1:7">
      <c r="A3406">
        <v>3405</v>
      </c>
      <c r="B3406" t="str">
        <f>"009785"</f>
        <v>0</v>
      </c>
      <c r="C3406" t="s">
        <v>2210</v>
      </c>
      <c r="D3406" t="s">
        <v>5816</v>
      </c>
      <c r="E3406" t="str">
        <f>"3199900035635"</f>
        <v>0</v>
      </c>
      <c r="F3406" t="str">
        <f>"000800"</f>
        <v>0</v>
      </c>
      <c r="G3406" t="s">
        <v>21</v>
      </c>
    </row>
    <row r="3407" spans="1:7">
      <c r="A3407">
        <v>3406</v>
      </c>
      <c r="B3407" t="str">
        <f>"010221"</f>
        <v>0</v>
      </c>
      <c r="C3407" t="s">
        <v>570</v>
      </c>
      <c r="D3407" t="s">
        <v>5817</v>
      </c>
      <c r="E3407" t="str">
        <f>"5630300027082"</f>
        <v>0</v>
      </c>
      <c r="F3407" t="str">
        <f>"000800"</f>
        <v>0</v>
      </c>
      <c r="G3407" t="s">
        <v>21</v>
      </c>
    </row>
    <row r="3408" spans="1:7">
      <c r="A3408">
        <v>3407</v>
      </c>
      <c r="B3408" t="str">
        <f>"010223"</f>
        <v>0</v>
      </c>
      <c r="C3408" t="s">
        <v>694</v>
      </c>
      <c r="D3408" t="s">
        <v>5818</v>
      </c>
      <c r="E3408" t="str">
        <f>"3630200028676"</f>
        <v>0</v>
      </c>
      <c r="F3408" t="str">
        <f>"000800"</f>
        <v>0</v>
      </c>
      <c r="G3408" t="s">
        <v>21</v>
      </c>
    </row>
    <row r="3409" spans="1:7">
      <c r="A3409">
        <v>3408</v>
      </c>
      <c r="B3409" t="str">
        <f>"010332"</f>
        <v>0</v>
      </c>
      <c r="C3409" t="s">
        <v>5819</v>
      </c>
      <c r="D3409" t="s">
        <v>5818</v>
      </c>
      <c r="E3409" t="str">
        <f>"3510600003060"</f>
        <v>0</v>
      </c>
      <c r="F3409" t="str">
        <f>"000800"</f>
        <v>0</v>
      </c>
      <c r="G3409" t="s">
        <v>21</v>
      </c>
    </row>
    <row r="3410" spans="1:7">
      <c r="A3410">
        <v>3409</v>
      </c>
      <c r="B3410" t="str">
        <f>"010392"</f>
        <v>0</v>
      </c>
      <c r="C3410" t="s">
        <v>4622</v>
      </c>
      <c r="D3410" t="s">
        <v>5820</v>
      </c>
      <c r="E3410" t="str">
        <f>"3560100622810"</f>
        <v>0</v>
      </c>
      <c r="F3410" t="str">
        <f>"000800"</f>
        <v>0</v>
      </c>
      <c r="G3410" t="s">
        <v>21</v>
      </c>
    </row>
    <row r="3411" spans="1:7">
      <c r="A3411">
        <v>3410</v>
      </c>
      <c r="B3411" t="str">
        <f>"010834"</f>
        <v>0</v>
      </c>
      <c r="C3411" t="s">
        <v>5821</v>
      </c>
      <c r="D3411" t="s">
        <v>5822</v>
      </c>
      <c r="E3411" t="str">
        <f>"3501300493411"</f>
        <v>0</v>
      </c>
      <c r="F3411" t="str">
        <f>"000800"</f>
        <v>0</v>
      </c>
      <c r="G3411" t="s">
        <v>21</v>
      </c>
    </row>
    <row r="3412" spans="1:7">
      <c r="A3412">
        <v>3411</v>
      </c>
      <c r="B3412" t="str">
        <f>"010836"</f>
        <v>0</v>
      </c>
      <c r="C3412" t="s">
        <v>5823</v>
      </c>
      <c r="D3412" t="s">
        <v>5824</v>
      </c>
      <c r="E3412" t="str">
        <f>"3601100200702"</f>
        <v>0</v>
      </c>
      <c r="F3412" t="str">
        <f>"000800"</f>
        <v>0</v>
      </c>
      <c r="G3412" t="s">
        <v>21</v>
      </c>
    </row>
    <row r="3413" spans="1:7">
      <c r="A3413">
        <v>3412</v>
      </c>
      <c r="B3413" t="str">
        <f>"012235"</f>
        <v>0</v>
      </c>
      <c r="C3413" t="s">
        <v>4022</v>
      </c>
      <c r="D3413" t="s">
        <v>5825</v>
      </c>
      <c r="E3413" t="str">
        <f>"3640900248601"</f>
        <v>0</v>
      </c>
      <c r="F3413" t="str">
        <f>"000800"</f>
        <v>0</v>
      </c>
      <c r="G3413" t="s">
        <v>21</v>
      </c>
    </row>
    <row r="3414" spans="1:7">
      <c r="A3414">
        <v>3413</v>
      </c>
      <c r="B3414" t="str">
        <f>"012236"</f>
        <v>0</v>
      </c>
      <c r="C3414" t="s">
        <v>5826</v>
      </c>
      <c r="D3414" t="s">
        <v>5058</v>
      </c>
      <c r="E3414" t="str">
        <f>"3639800022103"</f>
        <v>0</v>
      </c>
      <c r="F3414" t="str">
        <f>"000800"</f>
        <v>0</v>
      </c>
      <c r="G3414" t="s">
        <v>21</v>
      </c>
    </row>
    <row r="3415" spans="1:7">
      <c r="A3415">
        <v>3414</v>
      </c>
      <c r="B3415" t="str">
        <f>"013398"</f>
        <v>0</v>
      </c>
      <c r="C3415" t="s">
        <v>5135</v>
      </c>
      <c r="D3415" t="s">
        <v>5827</v>
      </c>
      <c r="E3415" t="str">
        <f>"3120600961374"</f>
        <v>0</v>
      </c>
      <c r="F3415" t="str">
        <f>"000800"</f>
        <v>0</v>
      </c>
      <c r="G3415" t="s">
        <v>21</v>
      </c>
    </row>
    <row r="3416" spans="1:7">
      <c r="A3416">
        <v>3415</v>
      </c>
      <c r="B3416" t="str">
        <f>"021003"</f>
        <v>0</v>
      </c>
      <c r="C3416" t="s">
        <v>4039</v>
      </c>
      <c r="D3416" t="s">
        <v>5828</v>
      </c>
      <c r="E3416" t="str">
        <f>"3510600352064"</f>
        <v>0</v>
      </c>
      <c r="F3416" t="str">
        <f>"000800"</f>
        <v>0</v>
      </c>
      <c r="G3416" t="s">
        <v>21</v>
      </c>
    </row>
    <row r="3417" spans="1:7">
      <c r="A3417">
        <v>3416</v>
      </c>
      <c r="B3417" t="str">
        <f>"021081"</f>
        <v>0</v>
      </c>
      <c r="C3417" t="s">
        <v>5829</v>
      </c>
      <c r="D3417" t="s">
        <v>5830</v>
      </c>
      <c r="E3417" t="str">
        <f>"3630200092480"</f>
        <v>0</v>
      </c>
      <c r="F3417" t="str">
        <f>"000800"</f>
        <v>0</v>
      </c>
      <c r="G3417" t="s">
        <v>21</v>
      </c>
    </row>
    <row r="3418" spans="1:7">
      <c r="A3418">
        <v>3417</v>
      </c>
      <c r="B3418" t="str">
        <f>"023185"</f>
        <v>0</v>
      </c>
      <c r="C3418" t="s">
        <v>5831</v>
      </c>
      <c r="D3418" t="s">
        <v>5832</v>
      </c>
      <c r="E3418" t="str">
        <f>"3630500015537"</f>
        <v>0</v>
      </c>
      <c r="F3418" t="str">
        <f>"000800"</f>
        <v>0</v>
      </c>
      <c r="G3418" t="s">
        <v>21</v>
      </c>
    </row>
    <row r="3419" spans="1:7">
      <c r="A3419">
        <v>3418</v>
      </c>
      <c r="B3419" t="str">
        <f>"025995"</f>
        <v>0</v>
      </c>
      <c r="C3419" t="s">
        <v>5833</v>
      </c>
      <c r="D3419" t="s">
        <v>5834</v>
      </c>
      <c r="E3419" t="str">
        <f>"3609900117858"</f>
        <v>0</v>
      </c>
      <c r="F3419" t="str">
        <f>"000800"</f>
        <v>0</v>
      </c>
      <c r="G3419" t="s">
        <v>21</v>
      </c>
    </row>
    <row r="3420" spans="1:7">
      <c r="A3420">
        <v>3419</v>
      </c>
      <c r="B3420" t="str">
        <f>"011821"</f>
        <v>0</v>
      </c>
      <c r="C3420" t="s">
        <v>5835</v>
      </c>
      <c r="D3420" t="s">
        <v>5836</v>
      </c>
      <c r="E3420" t="str">
        <f>"3639900228081"</f>
        <v>0</v>
      </c>
      <c r="F3420" t="str">
        <f>"000800"</f>
        <v>0</v>
      </c>
      <c r="G3420" t="s">
        <v>21</v>
      </c>
    </row>
    <row r="3421" spans="1:7">
      <c r="A3421">
        <v>3420</v>
      </c>
      <c r="B3421" t="str">
        <f>"009747"</f>
        <v>0</v>
      </c>
      <c r="C3421" t="s">
        <v>5837</v>
      </c>
      <c r="D3421" t="s">
        <v>5838</v>
      </c>
      <c r="E3421" t="str">
        <f>"3100500318844"</f>
        <v>0</v>
      </c>
      <c r="F3421" t="str">
        <f>"000800"</f>
        <v>0</v>
      </c>
      <c r="G3421" t="s">
        <v>21</v>
      </c>
    </row>
    <row r="3422" spans="1:7">
      <c r="A3422">
        <v>3421</v>
      </c>
      <c r="B3422" t="str">
        <f>"024761"</f>
        <v>0</v>
      </c>
      <c r="C3422" t="s">
        <v>5839</v>
      </c>
      <c r="D3422" t="s">
        <v>5840</v>
      </c>
      <c r="E3422" t="str">
        <f>"1100800629407"</f>
        <v>0</v>
      </c>
      <c r="F3422" t="str">
        <f>"000800"</f>
        <v>0</v>
      </c>
      <c r="G3422" t="s">
        <v>21</v>
      </c>
    </row>
    <row r="3423" spans="1:7">
      <c r="A3423">
        <v>3422</v>
      </c>
      <c r="B3423" t="str">
        <f>"023678"</f>
        <v>0</v>
      </c>
      <c r="C3423" t="s">
        <v>945</v>
      </c>
      <c r="D3423" t="s">
        <v>5841</v>
      </c>
      <c r="E3423" t="str">
        <f>"1401300039374"</f>
        <v>0</v>
      </c>
      <c r="F3423" t="str">
        <f>"000800"</f>
        <v>0</v>
      </c>
      <c r="G3423" t="s">
        <v>21</v>
      </c>
    </row>
    <row r="3424" spans="1:7">
      <c r="A3424">
        <v>3423</v>
      </c>
      <c r="B3424" t="str">
        <f>"025745"</f>
        <v>0</v>
      </c>
      <c r="C3424" t="s">
        <v>5842</v>
      </c>
      <c r="D3424" t="s">
        <v>5843</v>
      </c>
      <c r="E3424" t="str">
        <f>"3509900978421"</f>
        <v>0</v>
      </c>
      <c r="F3424" t="str">
        <f>"000800"</f>
        <v>0</v>
      </c>
      <c r="G3424" t="s">
        <v>21</v>
      </c>
    </row>
    <row r="3425" spans="1:7">
      <c r="A3425">
        <v>3424</v>
      </c>
      <c r="B3425" t="str">
        <f>"025867"</f>
        <v>0</v>
      </c>
      <c r="C3425" t="s">
        <v>5844</v>
      </c>
      <c r="D3425" t="s">
        <v>3942</v>
      </c>
      <c r="E3425" t="str">
        <f>"1500500078967"</f>
        <v>0</v>
      </c>
      <c r="F3425" t="str">
        <f>"000800"</f>
        <v>0</v>
      </c>
      <c r="G3425" t="s">
        <v>21</v>
      </c>
    </row>
    <row r="3426" spans="1:7">
      <c r="A3426">
        <v>3425</v>
      </c>
      <c r="B3426" t="str">
        <f>"025871"</f>
        <v>0</v>
      </c>
      <c r="C3426" t="s">
        <v>5845</v>
      </c>
      <c r="D3426" t="s">
        <v>5157</v>
      </c>
      <c r="E3426" t="str">
        <f>"1509900387965"</f>
        <v>0</v>
      </c>
      <c r="F3426" t="str">
        <f>"000800"</f>
        <v>0</v>
      </c>
      <c r="G3426" t="s">
        <v>21</v>
      </c>
    </row>
    <row r="3427" spans="1:7">
      <c r="A3427">
        <v>3426</v>
      </c>
      <c r="B3427" t="str">
        <f>"026695"</f>
        <v>0</v>
      </c>
      <c r="C3427" t="s">
        <v>5846</v>
      </c>
      <c r="D3427" t="s">
        <v>5847</v>
      </c>
      <c r="E3427" t="str">
        <f>"1500900081086"</f>
        <v>0</v>
      </c>
      <c r="F3427" t="str">
        <f>"000800"</f>
        <v>0</v>
      </c>
      <c r="G3427" t="s">
        <v>21</v>
      </c>
    </row>
    <row r="3428" spans="1:7">
      <c r="A3428">
        <v>3427</v>
      </c>
      <c r="B3428" t="str">
        <f>"023331"</f>
        <v>0</v>
      </c>
      <c r="C3428" t="s">
        <v>5848</v>
      </c>
      <c r="D3428" t="s">
        <v>5849</v>
      </c>
      <c r="E3428" t="str">
        <f>"3630100376176"</f>
        <v>0</v>
      </c>
      <c r="F3428" t="str">
        <f>"000800"</f>
        <v>0</v>
      </c>
      <c r="G3428" t="s">
        <v>21</v>
      </c>
    </row>
    <row r="3429" spans="1:7">
      <c r="A3429">
        <v>3428</v>
      </c>
      <c r="B3429" t="str">
        <f>"024222"</f>
        <v>0</v>
      </c>
      <c r="C3429" t="s">
        <v>5850</v>
      </c>
      <c r="D3429" t="s">
        <v>5851</v>
      </c>
      <c r="E3429" t="str">
        <f>"5510690018874"</f>
        <v>0</v>
      </c>
      <c r="F3429" t="str">
        <f>"000800"</f>
        <v>0</v>
      </c>
      <c r="G3429" t="s">
        <v>21</v>
      </c>
    </row>
    <row r="3430" spans="1:7">
      <c r="A3430">
        <v>3429</v>
      </c>
      <c r="B3430" t="str">
        <f>"025413"</f>
        <v>0</v>
      </c>
      <c r="C3430" t="s">
        <v>5852</v>
      </c>
      <c r="D3430" t="s">
        <v>5853</v>
      </c>
      <c r="E3430" t="str">
        <f>"3510600629015"</f>
        <v>0</v>
      </c>
      <c r="F3430" t="str">
        <f>"000800"</f>
        <v>0</v>
      </c>
      <c r="G3430" t="s">
        <v>21</v>
      </c>
    </row>
    <row r="3431" spans="1:7">
      <c r="A3431">
        <v>3430</v>
      </c>
      <c r="B3431" t="str">
        <f>"025415"</f>
        <v>0</v>
      </c>
      <c r="C3431" t="s">
        <v>5854</v>
      </c>
      <c r="D3431" t="s">
        <v>5855</v>
      </c>
      <c r="E3431" t="str">
        <f>"1509900352169"</f>
        <v>0</v>
      </c>
      <c r="F3431" t="str">
        <f>"000800"</f>
        <v>0</v>
      </c>
      <c r="G3431" t="s">
        <v>21</v>
      </c>
    </row>
    <row r="3432" spans="1:7">
      <c r="A3432">
        <v>3431</v>
      </c>
      <c r="B3432" t="str">
        <f>"025588"</f>
        <v>0</v>
      </c>
      <c r="C3432" t="s">
        <v>5856</v>
      </c>
      <c r="D3432" t="s">
        <v>5857</v>
      </c>
      <c r="E3432" t="str">
        <f>"1500200113066"</f>
        <v>0</v>
      </c>
      <c r="F3432" t="str">
        <f>"000800"</f>
        <v>0</v>
      </c>
      <c r="G3432" t="s">
        <v>21</v>
      </c>
    </row>
    <row r="3433" spans="1:7">
      <c r="A3433">
        <v>3432</v>
      </c>
      <c r="B3433" t="str">
        <f>"026696"</f>
        <v>0</v>
      </c>
      <c r="C3433" t="s">
        <v>5858</v>
      </c>
      <c r="D3433" t="s">
        <v>5859</v>
      </c>
      <c r="E3433" t="str">
        <f>"1589900004519"</f>
        <v>0</v>
      </c>
      <c r="F3433" t="str">
        <f>"000800"</f>
        <v>0</v>
      </c>
      <c r="G3433" t="s">
        <v>21</v>
      </c>
    </row>
    <row r="3434" spans="1:7">
      <c r="A3434">
        <v>3433</v>
      </c>
      <c r="B3434" t="str">
        <f>"018809"</f>
        <v>0</v>
      </c>
      <c r="C3434" t="s">
        <v>5860</v>
      </c>
      <c r="D3434" t="s">
        <v>5861</v>
      </c>
      <c r="E3434" t="str">
        <f>"3520900150190"</f>
        <v>0</v>
      </c>
      <c r="F3434" t="str">
        <f>"000800"</f>
        <v>0</v>
      </c>
      <c r="G3434" t="s">
        <v>21</v>
      </c>
    </row>
    <row r="3435" spans="1:7">
      <c r="A3435">
        <v>3434</v>
      </c>
      <c r="B3435" t="str">
        <f>"025412"</f>
        <v>0</v>
      </c>
      <c r="C3435" t="s">
        <v>3153</v>
      </c>
      <c r="D3435" t="s">
        <v>5862</v>
      </c>
      <c r="E3435" t="str">
        <f>"1529900397201"</f>
        <v>0</v>
      </c>
      <c r="F3435" t="str">
        <f>"000800"</f>
        <v>0</v>
      </c>
      <c r="G3435" t="s">
        <v>21</v>
      </c>
    </row>
    <row r="3436" spans="1:7">
      <c r="A3436">
        <v>3435</v>
      </c>
      <c r="B3436" t="str">
        <f>"025419"</f>
        <v>0</v>
      </c>
      <c r="C3436" t="s">
        <v>5863</v>
      </c>
      <c r="D3436" t="s">
        <v>5864</v>
      </c>
      <c r="E3436" t="str">
        <f>"3520100552684"</f>
        <v>0</v>
      </c>
      <c r="F3436" t="str">
        <f>"000800"</f>
        <v>0</v>
      </c>
      <c r="G3436" t="s">
        <v>21</v>
      </c>
    </row>
    <row r="3437" spans="1:7">
      <c r="A3437">
        <v>3436</v>
      </c>
      <c r="B3437" t="str">
        <f>"027456"</f>
        <v>0</v>
      </c>
      <c r="C3437" t="s">
        <v>975</v>
      </c>
      <c r="D3437" t="s">
        <v>5865</v>
      </c>
      <c r="E3437" t="str">
        <f>"1529900661099"</f>
        <v>0</v>
      </c>
      <c r="F3437" t="str">
        <f>"000800"</f>
        <v>0</v>
      </c>
      <c r="G3437" t="s">
        <v>21</v>
      </c>
    </row>
    <row r="3438" spans="1:7">
      <c r="A3438">
        <v>3437</v>
      </c>
      <c r="B3438" t="str">
        <f>"025416"</f>
        <v>0</v>
      </c>
      <c r="C3438" t="s">
        <v>3949</v>
      </c>
      <c r="D3438" t="s">
        <v>5866</v>
      </c>
      <c r="E3438" t="str">
        <f>"3559900086392"</f>
        <v>0</v>
      </c>
      <c r="F3438" t="str">
        <f>"000800"</f>
        <v>0</v>
      </c>
      <c r="G3438" t="s">
        <v>21</v>
      </c>
    </row>
    <row r="3439" spans="1:7">
      <c r="A3439">
        <v>3438</v>
      </c>
      <c r="B3439" t="str">
        <f>"027455"</f>
        <v>0</v>
      </c>
      <c r="C3439" t="s">
        <v>1315</v>
      </c>
      <c r="D3439" t="s">
        <v>5867</v>
      </c>
      <c r="E3439" t="str">
        <f>"2550400001731"</f>
        <v>0</v>
      </c>
      <c r="F3439" t="str">
        <f>"000800"</f>
        <v>0</v>
      </c>
      <c r="G3439" t="s">
        <v>21</v>
      </c>
    </row>
    <row r="3440" spans="1:7">
      <c r="A3440">
        <v>3439</v>
      </c>
      <c r="B3440" t="str">
        <f>"026326"</f>
        <v>0</v>
      </c>
      <c r="C3440" t="s">
        <v>5868</v>
      </c>
      <c r="D3440" t="s">
        <v>5869</v>
      </c>
      <c r="E3440" t="str">
        <f>"1560100106475"</f>
        <v>0</v>
      </c>
      <c r="F3440" t="str">
        <f>"000800"</f>
        <v>0</v>
      </c>
      <c r="G3440" t="s">
        <v>21</v>
      </c>
    </row>
    <row r="3441" spans="1:7">
      <c r="A3441">
        <v>3440</v>
      </c>
      <c r="B3441" t="str">
        <f>"026698"</f>
        <v>0</v>
      </c>
      <c r="C3441" t="s">
        <v>5870</v>
      </c>
      <c r="D3441" t="s">
        <v>5871</v>
      </c>
      <c r="E3441" t="str">
        <f>"1570500003649"</f>
        <v>0</v>
      </c>
      <c r="F3441" t="str">
        <f>"000800"</f>
        <v>0</v>
      </c>
      <c r="G3441" t="s">
        <v>21</v>
      </c>
    </row>
    <row r="3442" spans="1:7">
      <c r="A3442">
        <v>3441</v>
      </c>
      <c r="B3442" t="str">
        <f>"025417"</f>
        <v>0</v>
      </c>
      <c r="C3442" t="s">
        <v>5872</v>
      </c>
      <c r="D3442" t="s">
        <v>5873</v>
      </c>
      <c r="E3442" t="str">
        <f>"3570101038283"</f>
        <v>0</v>
      </c>
      <c r="F3442" t="str">
        <f>"000800"</f>
        <v>0</v>
      </c>
      <c r="G3442" t="s">
        <v>21</v>
      </c>
    </row>
    <row r="3443" spans="1:7">
      <c r="A3443">
        <v>3442</v>
      </c>
      <c r="B3443" t="str">
        <f>"025870"</f>
        <v>0</v>
      </c>
      <c r="C3443" t="s">
        <v>5874</v>
      </c>
      <c r="D3443" t="s">
        <v>5875</v>
      </c>
      <c r="E3443" t="str">
        <f>"1580400003850"</f>
        <v>0</v>
      </c>
      <c r="F3443" t="str">
        <f>"000800"</f>
        <v>0</v>
      </c>
      <c r="G3443" t="s">
        <v>21</v>
      </c>
    </row>
    <row r="3444" spans="1:7">
      <c r="A3444">
        <v>3443</v>
      </c>
      <c r="B3444" t="str">
        <f>"025264"</f>
        <v>0</v>
      </c>
      <c r="C3444" t="s">
        <v>5876</v>
      </c>
      <c r="D3444" t="s">
        <v>5877</v>
      </c>
      <c r="E3444" t="str">
        <f>"1600700055218"</f>
        <v>0</v>
      </c>
      <c r="F3444" t="str">
        <f>"000800"</f>
        <v>0</v>
      </c>
      <c r="G3444" t="s">
        <v>21</v>
      </c>
    </row>
    <row r="3445" spans="1:7">
      <c r="A3445">
        <v>3444</v>
      </c>
      <c r="B3445" t="str">
        <f>"017302"</f>
        <v>0</v>
      </c>
      <c r="C3445" t="s">
        <v>5878</v>
      </c>
      <c r="D3445" t="s">
        <v>5879</v>
      </c>
      <c r="E3445" t="str">
        <f>"3620101794478"</f>
        <v>0</v>
      </c>
      <c r="F3445" t="str">
        <f>"000800"</f>
        <v>0</v>
      </c>
      <c r="G3445" t="s">
        <v>21</v>
      </c>
    </row>
    <row r="3446" spans="1:7">
      <c r="A3446">
        <v>3445</v>
      </c>
      <c r="B3446" t="str">
        <f>"024343"</f>
        <v>0</v>
      </c>
      <c r="C3446" t="s">
        <v>5880</v>
      </c>
      <c r="D3446" t="s">
        <v>1982</v>
      </c>
      <c r="E3446" t="str">
        <f>"3640500406773"</f>
        <v>0</v>
      </c>
      <c r="F3446" t="str">
        <f>"000800"</f>
        <v>0</v>
      </c>
      <c r="G3446" t="s">
        <v>21</v>
      </c>
    </row>
    <row r="3447" spans="1:7">
      <c r="A3447">
        <v>3446</v>
      </c>
      <c r="B3447" t="str">
        <f>"026697"</f>
        <v>0</v>
      </c>
      <c r="C3447" t="s">
        <v>5881</v>
      </c>
      <c r="D3447" t="s">
        <v>5882</v>
      </c>
      <c r="E3447" t="str">
        <f>"1629900354977"</f>
        <v>0</v>
      </c>
      <c r="F3447" t="str">
        <f>"000800"</f>
        <v>0</v>
      </c>
      <c r="G3447" t="s">
        <v>21</v>
      </c>
    </row>
    <row r="3448" spans="1:7">
      <c r="A3448">
        <v>3447</v>
      </c>
      <c r="B3448" t="str">
        <f>"027112"</f>
        <v>0</v>
      </c>
      <c r="C3448" t="s">
        <v>5883</v>
      </c>
      <c r="D3448" t="s">
        <v>5884</v>
      </c>
      <c r="E3448" t="str">
        <f>"1620400181129"</f>
        <v>0</v>
      </c>
      <c r="F3448" t="str">
        <f>"000800"</f>
        <v>0</v>
      </c>
      <c r="G3448" t="s">
        <v>21</v>
      </c>
    </row>
    <row r="3449" spans="1:7">
      <c r="A3449">
        <v>3448</v>
      </c>
      <c r="B3449" t="str">
        <f>"010319"</f>
        <v>0</v>
      </c>
      <c r="C3449" t="s">
        <v>326</v>
      </c>
      <c r="D3449" t="s">
        <v>5885</v>
      </c>
      <c r="E3449" t="str">
        <f>"3521000501370"</f>
        <v>0</v>
      </c>
      <c r="F3449" t="str">
        <f>"000800"</f>
        <v>0</v>
      </c>
      <c r="G3449" t="s">
        <v>21</v>
      </c>
    </row>
    <row r="3450" spans="1:7">
      <c r="A3450">
        <v>3449</v>
      </c>
      <c r="B3450" t="str">
        <f>"010320"</f>
        <v>0</v>
      </c>
      <c r="C3450" t="s">
        <v>5886</v>
      </c>
      <c r="D3450" t="s">
        <v>1259</v>
      </c>
      <c r="E3450" t="str">
        <f>"3630500051657"</f>
        <v>0</v>
      </c>
      <c r="F3450" t="str">
        <f>"000800"</f>
        <v>0</v>
      </c>
      <c r="G3450" t="s">
        <v>21</v>
      </c>
    </row>
    <row r="3451" spans="1:7">
      <c r="A3451">
        <v>3450</v>
      </c>
      <c r="B3451" t="str">
        <f>"010321"</f>
        <v>0</v>
      </c>
      <c r="C3451" t="s">
        <v>5887</v>
      </c>
      <c r="D3451" t="s">
        <v>5885</v>
      </c>
      <c r="E3451" t="str">
        <f>"3510100916058"</f>
        <v>0</v>
      </c>
      <c r="F3451" t="str">
        <f>"000800"</f>
        <v>0</v>
      </c>
      <c r="G3451" t="s">
        <v>21</v>
      </c>
    </row>
    <row r="3452" spans="1:7">
      <c r="A3452">
        <v>3451</v>
      </c>
      <c r="B3452" t="str">
        <f>"011217"</f>
        <v>0</v>
      </c>
      <c r="C3452" t="s">
        <v>397</v>
      </c>
      <c r="D3452" t="s">
        <v>5888</v>
      </c>
      <c r="E3452" t="str">
        <f>"3510100526641"</f>
        <v>0</v>
      </c>
      <c r="F3452" t="str">
        <f>"000800"</f>
        <v>0</v>
      </c>
      <c r="G3452" t="s">
        <v>21</v>
      </c>
    </row>
    <row r="3453" spans="1:7">
      <c r="A3453">
        <v>3452</v>
      </c>
      <c r="B3453" t="str">
        <f>"012658"</f>
        <v>0</v>
      </c>
      <c r="C3453" t="s">
        <v>425</v>
      </c>
      <c r="D3453" t="s">
        <v>5889</v>
      </c>
      <c r="E3453" t="str">
        <f>"3501200510046"</f>
        <v>0</v>
      </c>
      <c r="F3453" t="str">
        <f>"000800"</f>
        <v>0</v>
      </c>
      <c r="G3453" t="s">
        <v>21</v>
      </c>
    </row>
    <row r="3454" spans="1:7">
      <c r="A3454">
        <v>3453</v>
      </c>
      <c r="B3454" t="str">
        <f>"013148"</f>
        <v>0</v>
      </c>
      <c r="C3454" t="s">
        <v>5890</v>
      </c>
      <c r="D3454" t="s">
        <v>5891</v>
      </c>
      <c r="E3454" t="str">
        <f>"3601000047651"</f>
        <v>0</v>
      </c>
      <c r="F3454" t="str">
        <f>"000800"</f>
        <v>0</v>
      </c>
      <c r="G3454" t="s">
        <v>21</v>
      </c>
    </row>
    <row r="3455" spans="1:7">
      <c r="A3455">
        <v>3454</v>
      </c>
      <c r="B3455" t="str">
        <f>"013269"</f>
        <v>0</v>
      </c>
      <c r="C3455" t="s">
        <v>5892</v>
      </c>
      <c r="D3455" t="s">
        <v>5893</v>
      </c>
      <c r="E3455" t="str">
        <f>"3630100151051"</f>
        <v>0</v>
      </c>
      <c r="F3455" t="str">
        <f>"000800"</f>
        <v>0</v>
      </c>
      <c r="G3455" t="s">
        <v>21</v>
      </c>
    </row>
    <row r="3456" spans="1:7">
      <c r="A3456">
        <v>3455</v>
      </c>
      <c r="B3456" t="str">
        <f>"015144"</f>
        <v>0</v>
      </c>
      <c r="C3456" t="s">
        <v>5894</v>
      </c>
      <c r="D3456" t="s">
        <v>5895</v>
      </c>
      <c r="E3456" t="str">
        <f>"3539900227760"</f>
        <v>0</v>
      </c>
      <c r="F3456" t="str">
        <f>"000800"</f>
        <v>0</v>
      </c>
      <c r="G3456" t="s">
        <v>21</v>
      </c>
    </row>
    <row r="3457" spans="1:7">
      <c r="A3457">
        <v>3456</v>
      </c>
      <c r="B3457" t="str">
        <f>"016122"</f>
        <v>0</v>
      </c>
      <c r="C3457" t="s">
        <v>5896</v>
      </c>
      <c r="D3457" t="s">
        <v>5897</v>
      </c>
      <c r="E3457" t="str">
        <f>"3630100327728"</f>
        <v>0</v>
      </c>
      <c r="F3457" t="str">
        <f>"000800"</f>
        <v>0</v>
      </c>
      <c r="G3457" t="s">
        <v>21</v>
      </c>
    </row>
    <row r="3458" spans="1:7">
      <c r="A3458">
        <v>3457</v>
      </c>
      <c r="B3458" t="str">
        <f>"016266"</f>
        <v>0</v>
      </c>
      <c r="C3458" t="s">
        <v>2331</v>
      </c>
      <c r="D3458" t="s">
        <v>5898</v>
      </c>
      <c r="E3458" t="str">
        <f>"3630100294978"</f>
        <v>0</v>
      </c>
      <c r="F3458" t="str">
        <f>"000800"</f>
        <v>0</v>
      </c>
      <c r="G3458" t="s">
        <v>21</v>
      </c>
    </row>
    <row r="3459" spans="1:7">
      <c r="A3459">
        <v>3458</v>
      </c>
      <c r="B3459" t="str">
        <f>"016769"</f>
        <v>0</v>
      </c>
      <c r="C3459" t="s">
        <v>5247</v>
      </c>
      <c r="D3459" t="s">
        <v>5899</v>
      </c>
      <c r="E3459" t="str">
        <f>"3340701099234"</f>
        <v>0</v>
      </c>
      <c r="F3459" t="str">
        <f>"000800"</f>
        <v>0</v>
      </c>
      <c r="G3459" t="s">
        <v>21</v>
      </c>
    </row>
    <row r="3460" spans="1:7">
      <c r="A3460">
        <v>3459</v>
      </c>
      <c r="B3460" t="str">
        <f>"018151"</f>
        <v>0</v>
      </c>
      <c r="C3460" t="s">
        <v>370</v>
      </c>
      <c r="D3460" t="s">
        <v>5900</v>
      </c>
      <c r="E3460" t="str">
        <f>"3630200343971"</f>
        <v>0</v>
      </c>
      <c r="F3460" t="str">
        <f>"000800"</f>
        <v>0</v>
      </c>
      <c r="G3460" t="s">
        <v>21</v>
      </c>
    </row>
    <row r="3461" spans="1:7">
      <c r="A3461">
        <v>3460</v>
      </c>
      <c r="B3461" t="str">
        <f>"018358"</f>
        <v>0</v>
      </c>
      <c r="C3461" t="s">
        <v>5901</v>
      </c>
      <c r="D3461" t="s">
        <v>5902</v>
      </c>
      <c r="E3461" t="str">
        <f>"3169700036417"</f>
        <v>0</v>
      </c>
      <c r="F3461" t="str">
        <f>"000800"</f>
        <v>0</v>
      </c>
      <c r="G3461" t="s">
        <v>21</v>
      </c>
    </row>
    <row r="3462" spans="1:7">
      <c r="A3462">
        <v>3461</v>
      </c>
      <c r="B3462" t="str">
        <f>"018536"</f>
        <v>0</v>
      </c>
      <c r="C3462" t="s">
        <v>5903</v>
      </c>
      <c r="D3462" t="s">
        <v>5904</v>
      </c>
      <c r="E3462" t="str">
        <f>"3340800055791"</f>
        <v>0</v>
      </c>
      <c r="F3462" t="str">
        <f>"000800"</f>
        <v>0</v>
      </c>
      <c r="G3462" t="s">
        <v>21</v>
      </c>
    </row>
    <row r="3463" spans="1:7">
      <c r="A3463">
        <v>3462</v>
      </c>
      <c r="B3463" t="str">
        <f>"018585"</f>
        <v>0</v>
      </c>
      <c r="C3463" t="s">
        <v>2634</v>
      </c>
      <c r="D3463" t="s">
        <v>5905</v>
      </c>
      <c r="E3463" t="str">
        <f>"3630100107825"</f>
        <v>0</v>
      </c>
      <c r="F3463" t="str">
        <f>"000800"</f>
        <v>0</v>
      </c>
      <c r="G3463" t="s">
        <v>21</v>
      </c>
    </row>
    <row r="3464" spans="1:7">
      <c r="A3464">
        <v>3463</v>
      </c>
      <c r="B3464" t="str">
        <f>"019301"</f>
        <v>0</v>
      </c>
      <c r="C3464" t="s">
        <v>923</v>
      </c>
      <c r="D3464" t="s">
        <v>2267</v>
      </c>
      <c r="E3464" t="str">
        <f>"3510100914349"</f>
        <v>0</v>
      </c>
      <c r="F3464" t="str">
        <f>"000800"</f>
        <v>0</v>
      </c>
      <c r="G3464" t="s">
        <v>21</v>
      </c>
    </row>
    <row r="3465" spans="1:7">
      <c r="A3465">
        <v>3464</v>
      </c>
      <c r="B3465" t="str">
        <f>"019362"</f>
        <v>0</v>
      </c>
      <c r="C3465" t="s">
        <v>5906</v>
      </c>
      <c r="D3465" t="s">
        <v>5907</v>
      </c>
      <c r="E3465" t="str">
        <f>"3640600482471"</f>
        <v>0</v>
      </c>
      <c r="F3465" t="str">
        <f>"000800"</f>
        <v>0</v>
      </c>
      <c r="G3465" t="s">
        <v>21</v>
      </c>
    </row>
    <row r="3466" spans="1:7">
      <c r="A3466">
        <v>3465</v>
      </c>
      <c r="B3466" t="str">
        <f>"020473"</f>
        <v>0</v>
      </c>
      <c r="C3466" t="s">
        <v>5908</v>
      </c>
      <c r="D3466" t="s">
        <v>5909</v>
      </c>
      <c r="E3466" t="str">
        <f>"3350600508244"</f>
        <v>0</v>
      </c>
      <c r="F3466" t="str">
        <f>"000800"</f>
        <v>0</v>
      </c>
      <c r="G3466" t="s">
        <v>21</v>
      </c>
    </row>
    <row r="3467" spans="1:7">
      <c r="A3467">
        <v>3466</v>
      </c>
      <c r="B3467" t="str">
        <f>"020992"</f>
        <v>0</v>
      </c>
      <c r="C3467" t="s">
        <v>5910</v>
      </c>
      <c r="D3467" t="s">
        <v>5911</v>
      </c>
      <c r="E3467" t="str">
        <f>"3450900048515"</f>
        <v>0</v>
      </c>
      <c r="F3467" t="str">
        <f>"000800"</f>
        <v>0</v>
      </c>
      <c r="G3467" t="s">
        <v>21</v>
      </c>
    </row>
    <row r="3468" spans="1:7">
      <c r="A3468">
        <v>3467</v>
      </c>
      <c r="B3468" t="str">
        <f>"021192"</f>
        <v>0</v>
      </c>
      <c r="C3468" t="s">
        <v>5912</v>
      </c>
      <c r="D3468" t="s">
        <v>5913</v>
      </c>
      <c r="E3468" t="str">
        <f>"3630600100862"</f>
        <v>0</v>
      </c>
      <c r="F3468" t="str">
        <f>"000800"</f>
        <v>0</v>
      </c>
      <c r="G3468" t="s">
        <v>21</v>
      </c>
    </row>
    <row r="3469" spans="1:7">
      <c r="A3469">
        <v>3468</v>
      </c>
      <c r="B3469" t="str">
        <f>"021773"</f>
        <v>0</v>
      </c>
      <c r="C3469" t="s">
        <v>2447</v>
      </c>
      <c r="D3469" t="s">
        <v>5914</v>
      </c>
      <c r="E3469" t="str">
        <f>"3509901434327"</f>
        <v>0</v>
      </c>
      <c r="F3469" t="str">
        <f>"000800"</f>
        <v>0</v>
      </c>
      <c r="G3469" t="s">
        <v>21</v>
      </c>
    </row>
    <row r="3470" spans="1:7">
      <c r="A3470">
        <v>3469</v>
      </c>
      <c r="B3470" t="str">
        <f>"021780"</f>
        <v>0</v>
      </c>
      <c r="C3470" t="s">
        <v>5915</v>
      </c>
      <c r="D3470" t="s">
        <v>5916</v>
      </c>
      <c r="E3470" t="str">
        <f>"3670400365129"</f>
        <v>0</v>
      </c>
      <c r="F3470" t="str">
        <f>"000800"</f>
        <v>0</v>
      </c>
      <c r="G3470" t="s">
        <v>21</v>
      </c>
    </row>
    <row r="3471" spans="1:7">
      <c r="A3471">
        <v>3470</v>
      </c>
      <c r="B3471" t="str">
        <f>"021862"</f>
        <v>0</v>
      </c>
      <c r="C3471" t="s">
        <v>5917</v>
      </c>
      <c r="D3471" t="s">
        <v>5918</v>
      </c>
      <c r="E3471" t="str">
        <f>"3639800181457"</f>
        <v>0</v>
      </c>
      <c r="F3471" t="str">
        <f>"000800"</f>
        <v>0</v>
      </c>
      <c r="G3471" t="s">
        <v>21</v>
      </c>
    </row>
    <row r="3472" spans="1:7">
      <c r="A3472">
        <v>3471</v>
      </c>
      <c r="B3472" t="str">
        <f>"021907"</f>
        <v>0</v>
      </c>
      <c r="C3472" t="s">
        <v>5919</v>
      </c>
      <c r="D3472" t="s">
        <v>5920</v>
      </c>
      <c r="E3472" t="str">
        <f>"3630300049934"</f>
        <v>0</v>
      </c>
      <c r="F3472" t="str">
        <f>"000800"</f>
        <v>0</v>
      </c>
      <c r="G3472" t="s">
        <v>21</v>
      </c>
    </row>
    <row r="3473" spans="1:7">
      <c r="A3473">
        <v>3472</v>
      </c>
      <c r="B3473" t="str">
        <f>"022337"</f>
        <v>0</v>
      </c>
      <c r="C3473" t="s">
        <v>5921</v>
      </c>
      <c r="D3473" t="s">
        <v>5922</v>
      </c>
      <c r="E3473" t="str">
        <f>"3502000097561"</f>
        <v>0</v>
      </c>
      <c r="F3473" t="str">
        <f>"000800"</f>
        <v>0</v>
      </c>
      <c r="G3473" t="s">
        <v>21</v>
      </c>
    </row>
    <row r="3474" spans="1:7">
      <c r="A3474">
        <v>3473</v>
      </c>
      <c r="B3474" t="str">
        <f>"022367"</f>
        <v>0</v>
      </c>
      <c r="C3474" t="s">
        <v>1804</v>
      </c>
      <c r="D3474" t="s">
        <v>5923</v>
      </c>
      <c r="E3474" t="str">
        <f>"3520800411706"</f>
        <v>0</v>
      </c>
      <c r="F3474" t="str">
        <f>"000800"</f>
        <v>0</v>
      </c>
      <c r="G3474" t="s">
        <v>21</v>
      </c>
    </row>
    <row r="3475" spans="1:7">
      <c r="A3475">
        <v>3474</v>
      </c>
      <c r="B3475" t="str">
        <f>"022858"</f>
        <v>0</v>
      </c>
      <c r="C3475" t="s">
        <v>5924</v>
      </c>
      <c r="D3475" t="s">
        <v>5925</v>
      </c>
      <c r="E3475" t="str">
        <f>"3630100514277"</f>
        <v>0</v>
      </c>
      <c r="F3475" t="str">
        <f>"000800"</f>
        <v>0</v>
      </c>
      <c r="G3475" t="s">
        <v>21</v>
      </c>
    </row>
    <row r="3476" spans="1:7">
      <c r="A3476">
        <v>3475</v>
      </c>
      <c r="B3476" t="str">
        <f>"022960"</f>
        <v>0</v>
      </c>
      <c r="C3476" t="s">
        <v>4457</v>
      </c>
      <c r="D3476" t="s">
        <v>5926</v>
      </c>
      <c r="E3476" t="str">
        <f>"1650200022183"</f>
        <v>0</v>
      </c>
      <c r="F3476" t="str">
        <f>"000800"</f>
        <v>0</v>
      </c>
      <c r="G3476" t="s">
        <v>21</v>
      </c>
    </row>
    <row r="3477" spans="1:7">
      <c r="A3477">
        <v>3476</v>
      </c>
      <c r="B3477" t="str">
        <f>"023377"</f>
        <v>0</v>
      </c>
      <c r="C3477" t="s">
        <v>5927</v>
      </c>
      <c r="D3477" t="s">
        <v>5928</v>
      </c>
      <c r="E3477" t="str">
        <f>"1639800008783"</f>
        <v>0</v>
      </c>
      <c r="F3477" t="str">
        <f>"000800"</f>
        <v>0</v>
      </c>
      <c r="G3477" t="s">
        <v>21</v>
      </c>
    </row>
    <row r="3478" spans="1:7">
      <c r="A3478">
        <v>3477</v>
      </c>
      <c r="B3478" t="str">
        <f>"023444"</f>
        <v>0</v>
      </c>
      <c r="C3478" t="s">
        <v>5929</v>
      </c>
      <c r="D3478" t="s">
        <v>5930</v>
      </c>
      <c r="E3478" t="str">
        <f>"1639900079500"</f>
        <v>0</v>
      </c>
      <c r="F3478" t="str">
        <f>"000800"</f>
        <v>0</v>
      </c>
      <c r="G3478" t="s">
        <v>21</v>
      </c>
    </row>
    <row r="3479" spans="1:7">
      <c r="A3479">
        <v>3478</v>
      </c>
      <c r="B3479" t="str">
        <f>"023629"</f>
        <v>0</v>
      </c>
      <c r="C3479" t="s">
        <v>5931</v>
      </c>
      <c r="D3479" t="s">
        <v>5932</v>
      </c>
      <c r="E3479" t="str">
        <f>"3630200343580"</f>
        <v>0</v>
      </c>
      <c r="F3479" t="str">
        <f>"000800"</f>
        <v>0</v>
      </c>
      <c r="G3479" t="s">
        <v>21</v>
      </c>
    </row>
    <row r="3480" spans="1:7">
      <c r="A3480">
        <v>3479</v>
      </c>
      <c r="B3480" t="str">
        <f>"023825"</f>
        <v>0</v>
      </c>
      <c r="C3480" t="s">
        <v>5933</v>
      </c>
      <c r="D3480" t="s">
        <v>5934</v>
      </c>
      <c r="E3480" t="str">
        <f>"1630300037735"</f>
        <v>0</v>
      </c>
      <c r="F3480" t="str">
        <f>"000800"</f>
        <v>0</v>
      </c>
      <c r="G3480" t="s">
        <v>21</v>
      </c>
    </row>
    <row r="3481" spans="1:7">
      <c r="A3481">
        <v>3480</v>
      </c>
      <c r="B3481" t="str">
        <f>"024759"</f>
        <v>0</v>
      </c>
      <c r="C3481" t="s">
        <v>5935</v>
      </c>
      <c r="D3481" t="s">
        <v>5936</v>
      </c>
      <c r="E3481" t="str">
        <f>"1529900057728"</f>
        <v>0</v>
      </c>
      <c r="F3481" t="str">
        <f>"000800"</f>
        <v>0</v>
      </c>
      <c r="G3481" t="s">
        <v>21</v>
      </c>
    </row>
    <row r="3482" spans="1:7">
      <c r="A3482">
        <v>3481</v>
      </c>
      <c r="B3482" t="str">
        <f>"025806"</f>
        <v>0</v>
      </c>
      <c r="C3482" t="s">
        <v>2048</v>
      </c>
      <c r="D3482" t="s">
        <v>5937</v>
      </c>
      <c r="E3482" t="str">
        <f>"3630100335151"</f>
        <v>0</v>
      </c>
      <c r="F3482" t="str">
        <f>"000800"</f>
        <v>0</v>
      </c>
      <c r="G3482" t="s">
        <v>21</v>
      </c>
    </row>
    <row r="3483" spans="1:7">
      <c r="A3483">
        <v>3482</v>
      </c>
      <c r="B3483" t="str">
        <f>"025868"</f>
        <v>0</v>
      </c>
      <c r="C3483" t="s">
        <v>5938</v>
      </c>
      <c r="D3483" t="s">
        <v>5939</v>
      </c>
      <c r="E3483" t="str">
        <f>"5630400017909"</f>
        <v>0</v>
      </c>
      <c r="F3483" t="str">
        <f>"000800"</f>
        <v>0</v>
      </c>
      <c r="G3483" t="s">
        <v>21</v>
      </c>
    </row>
    <row r="3484" spans="1:7">
      <c r="A3484">
        <v>3483</v>
      </c>
      <c r="B3484" t="str">
        <f>"025869"</f>
        <v>0</v>
      </c>
      <c r="C3484" t="s">
        <v>5940</v>
      </c>
      <c r="D3484" t="s">
        <v>5941</v>
      </c>
      <c r="E3484" t="str">
        <f>"3630600447072"</f>
        <v>0</v>
      </c>
      <c r="F3484" t="str">
        <f>"000800"</f>
        <v>0</v>
      </c>
      <c r="G3484" t="s">
        <v>21</v>
      </c>
    </row>
    <row r="3485" spans="1:7">
      <c r="A3485">
        <v>3484</v>
      </c>
      <c r="B3485" t="str">
        <f>"026123"</f>
        <v>0</v>
      </c>
      <c r="C3485" t="s">
        <v>5942</v>
      </c>
      <c r="D3485" t="s">
        <v>5943</v>
      </c>
      <c r="E3485" t="str">
        <f>"3630200019731"</f>
        <v>0</v>
      </c>
      <c r="F3485" t="str">
        <f>"000800"</f>
        <v>0</v>
      </c>
      <c r="G3485" t="s">
        <v>21</v>
      </c>
    </row>
    <row r="3486" spans="1:7">
      <c r="A3486">
        <v>3485</v>
      </c>
      <c r="B3486" t="str">
        <f>"026829"</f>
        <v>0</v>
      </c>
      <c r="C3486" t="s">
        <v>1335</v>
      </c>
      <c r="D3486" t="s">
        <v>5944</v>
      </c>
      <c r="E3486" t="str">
        <f>"1639800070357"</f>
        <v>0</v>
      </c>
      <c r="F3486" t="str">
        <f>"000800"</f>
        <v>0</v>
      </c>
      <c r="G3486" t="s">
        <v>21</v>
      </c>
    </row>
    <row r="3487" spans="1:7">
      <c r="A3487">
        <v>3486</v>
      </c>
      <c r="B3487" t="str">
        <f>"027113"</f>
        <v>0</v>
      </c>
      <c r="C3487" t="s">
        <v>3407</v>
      </c>
      <c r="D3487" t="s">
        <v>5945</v>
      </c>
      <c r="E3487" t="str">
        <f>"2630700035908"</f>
        <v>0</v>
      </c>
      <c r="F3487" t="str">
        <f>"000800"</f>
        <v>0</v>
      </c>
      <c r="G3487" t="s">
        <v>21</v>
      </c>
    </row>
    <row r="3488" spans="1:7">
      <c r="A3488">
        <v>3487</v>
      </c>
      <c r="B3488" t="str">
        <f>"026327"</f>
        <v>0</v>
      </c>
      <c r="C3488" t="s">
        <v>1380</v>
      </c>
      <c r="D3488" t="s">
        <v>5946</v>
      </c>
      <c r="E3488" t="str">
        <f>"1710700044452"</f>
        <v>0</v>
      </c>
      <c r="F3488" t="str">
        <f>"000800"</f>
        <v>0</v>
      </c>
      <c r="G3488" t="s">
        <v>21</v>
      </c>
    </row>
    <row r="3489" spans="1:7">
      <c r="A3489">
        <v>3488</v>
      </c>
      <c r="B3489" t="str">
        <f>"026859"</f>
        <v>0</v>
      </c>
      <c r="C3489" t="s">
        <v>5947</v>
      </c>
      <c r="D3489" t="s">
        <v>5948</v>
      </c>
      <c r="E3489" t="str">
        <f>"1809900207301"</f>
        <v>0</v>
      </c>
      <c r="F3489" t="str">
        <f>"000800"</f>
        <v>0</v>
      </c>
      <c r="G3489" t="s">
        <v>21</v>
      </c>
    </row>
    <row r="3490" spans="1:7">
      <c r="A3490">
        <v>3489</v>
      </c>
      <c r="B3490" t="str">
        <f>"025265"</f>
        <v>0</v>
      </c>
      <c r="C3490" t="s">
        <v>5949</v>
      </c>
      <c r="D3490" t="s">
        <v>5950</v>
      </c>
      <c r="E3490" t="str">
        <f>"1100800197256"</f>
        <v>0</v>
      </c>
      <c r="F3490" t="str">
        <f>"000800"</f>
        <v>0</v>
      </c>
      <c r="G3490" t="s">
        <v>21</v>
      </c>
    </row>
    <row r="3491" spans="1:7">
      <c r="A3491">
        <v>3490</v>
      </c>
      <c r="B3491" t="str">
        <f>"020820"</f>
        <v>0</v>
      </c>
      <c r="C3491" t="s">
        <v>5951</v>
      </c>
      <c r="D3491" t="s">
        <v>5952</v>
      </c>
      <c r="E3491" t="str">
        <f>"3550700516981"</f>
        <v>0</v>
      </c>
      <c r="F3491" t="str">
        <f>"000800"</f>
        <v>0</v>
      </c>
      <c r="G3491" t="s">
        <v>21</v>
      </c>
    </row>
    <row r="3492" spans="1:7">
      <c r="A3492">
        <v>3491</v>
      </c>
      <c r="B3492" t="str">
        <f>"023217"</f>
        <v>0</v>
      </c>
      <c r="C3492" t="s">
        <v>5953</v>
      </c>
      <c r="D3492" t="s">
        <v>5954</v>
      </c>
      <c r="E3492" t="str">
        <f>"5630300005259"</f>
        <v>0</v>
      </c>
      <c r="F3492" t="str">
        <f>"000800"</f>
        <v>0</v>
      </c>
      <c r="G3492" t="s">
        <v>21</v>
      </c>
    </row>
    <row r="3493" spans="1:7">
      <c r="A3493">
        <v>3492</v>
      </c>
      <c r="B3493" t="str">
        <f>"002011"</f>
        <v>0</v>
      </c>
      <c r="C3493" t="s">
        <v>5955</v>
      </c>
      <c r="D3493" t="s">
        <v>5956</v>
      </c>
      <c r="E3493" t="str">
        <f>"3920300018700"</f>
        <v>0</v>
      </c>
      <c r="F3493" t="str">
        <f>"000820"</f>
        <v>0</v>
      </c>
      <c r="G3493" t="s">
        <v>21</v>
      </c>
    </row>
    <row r="3494" spans="1:7">
      <c r="A3494">
        <v>3493</v>
      </c>
      <c r="B3494" t="str">
        <f>"002172"</f>
        <v>0</v>
      </c>
      <c r="C3494" t="s">
        <v>2262</v>
      </c>
      <c r="D3494" t="s">
        <v>5957</v>
      </c>
      <c r="E3494" t="str">
        <f>"3929900339785"</f>
        <v>0</v>
      </c>
      <c r="F3494" t="str">
        <f>"000820"</f>
        <v>0</v>
      </c>
      <c r="G3494" t="s">
        <v>21</v>
      </c>
    </row>
    <row r="3495" spans="1:7">
      <c r="A3495">
        <v>3494</v>
      </c>
      <c r="B3495" t="str">
        <f>"003045"</f>
        <v>0</v>
      </c>
      <c r="C3495" t="s">
        <v>5958</v>
      </c>
      <c r="D3495" t="s">
        <v>5959</v>
      </c>
      <c r="E3495" t="str">
        <f>"3920100072140"</f>
        <v>0</v>
      </c>
      <c r="F3495" t="str">
        <f>"000820"</f>
        <v>0</v>
      </c>
      <c r="G3495" t="s">
        <v>21</v>
      </c>
    </row>
    <row r="3496" spans="1:7">
      <c r="A3496">
        <v>3495</v>
      </c>
      <c r="B3496" t="str">
        <f>"003129"</f>
        <v>0</v>
      </c>
      <c r="C3496" t="s">
        <v>5960</v>
      </c>
      <c r="D3496" t="s">
        <v>5961</v>
      </c>
      <c r="E3496" t="str">
        <f>"3929900459624"</f>
        <v>0</v>
      </c>
      <c r="F3496" t="str">
        <f>"000820"</f>
        <v>0</v>
      </c>
      <c r="G3496" t="s">
        <v>21</v>
      </c>
    </row>
    <row r="3497" spans="1:7">
      <c r="A3497">
        <v>3496</v>
      </c>
      <c r="B3497" t="str">
        <f>"003136"</f>
        <v>0</v>
      </c>
      <c r="C3497" t="s">
        <v>5962</v>
      </c>
      <c r="D3497" t="s">
        <v>5963</v>
      </c>
      <c r="E3497" t="str">
        <f>"3929900198308"</f>
        <v>0</v>
      </c>
      <c r="F3497" t="str">
        <f>"000820"</f>
        <v>0</v>
      </c>
      <c r="G3497" t="s">
        <v>21</v>
      </c>
    </row>
    <row r="3498" spans="1:7">
      <c r="A3498">
        <v>3497</v>
      </c>
      <c r="B3498" t="str">
        <f>"003416"</f>
        <v>0</v>
      </c>
      <c r="C3498" t="s">
        <v>1822</v>
      </c>
      <c r="D3498" t="s">
        <v>5964</v>
      </c>
      <c r="E3498" t="str">
        <f>"3929900269205"</f>
        <v>0</v>
      </c>
      <c r="F3498" t="str">
        <f>"000820"</f>
        <v>0</v>
      </c>
      <c r="G3498" t="s">
        <v>21</v>
      </c>
    </row>
    <row r="3499" spans="1:7">
      <c r="A3499">
        <v>3498</v>
      </c>
      <c r="B3499" t="str">
        <f>"004530"</f>
        <v>0</v>
      </c>
      <c r="C3499" t="s">
        <v>5965</v>
      </c>
      <c r="D3499" t="s">
        <v>5961</v>
      </c>
      <c r="E3499" t="str">
        <f>"3909900629384"</f>
        <v>0</v>
      </c>
      <c r="F3499" t="str">
        <f>"000820"</f>
        <v>0</v>
      </c>
      <c r="G3499" t="s">
        <v>21</v>
      </c>
    </row>
    <row r="3500" spans="1:7">
      <c r="A3500">
        <v>3499</v>
      </c>
      <c r="B3500" t="str">
        <f>"004597"</f>
        <v>0</v>
      </c>
      <c r="C3500" t="s">
        <v>5966</v>
      </c>
      <c r="D3500" t="s">
        <v>5967</v>
      </c>
      <c r="E3500" t="str">
        <f>"3920600454831"</f>
        <v>0</v>
      </c>
      <c r="F3500" t="str">
        <f>"000820"</f>
        <v>0</v>
      </c>
      <c r="G3500" t="s">
        <v>21</v>
      </c>
    </row>
    <row r="3501" spans="1:7">
      <c r="A3501">
        <v>3500</v>
      </c>
      <c r="B3501" t="str">
        <f>"005118"</f>
        <v>0</v>
      </c>
      <c r="C3501" t="s">
        <v>1878</v>
      </c>
      <c r="D3501" t="s">
        <v>5968</v>
      </c>
      <c r="E3501" t="str">
        <f>"3920300477054"</f>
        <v>0</v>
      </c>
      <c r="F3501" t="str">
        <f>"000820"</f>
        <v>0</v>
      </c>
      <c r="G3501" t="s">
        <v>21</v>
      </c>
    </row>
    <row r="3502" spans="1:7">
      <c r="A3502">
        <v>3501</v>
      </c>
      <c r="B3502" t="str">
        <f>"005330"</f>
        <v>0</v>
      </c>
      <c r="C3502" t="s">
        <v>5969</v>
      </c>
      <c r="D3502" t="s">
        <v>5970</v>
      </c>
      <c r="E3502" t="str">
        <f>"3929900024962"</f>
        <v>0</v>
      </c>
      <c r="F3502" t="str">
        <f>"000820"</f>
        <v>0</v>
      </c>
      <c r="G3502" t="s">
        <v>21</v>
      </c>
    </row>
    <row r="3503" spans="1:7">
      <c r="A3503">
        <v>3502</v>
      </c>
      <c r="B3503" t="str">
        <f>"005629"</f>
        <v>0</v>
      </c>
      <c r="C3503" t="s">
        <v>5971</v>
      </c>
      <c r="D3503" t="s">
        <v>5972</v>
      </c>
      <c r="E3503" t="str">
        <f>"3929900357775"</f>
        <v>0</v>
      </c>
      <c r="F3503" t="str">
        <f>"000820"</f>
        <v>0</v>
      </c>
      <c r="G3503" t="s">
        <v>21</v>
      </c>
    </row>
    <row r="3504" spans="1:7">
      <c r="A3504">
        <v>3503</v>
      </c>
      <c r="B3504" t="str">
        <f>"005630"</f>
        <v>0</v>
      </c>
      <c r="C3504" t="s">
        <v>2288</v>
      </c>
      <c r="D3504" t="s">
        <v>5973</v>
      </c>
      <c r="E3504" t="str">
        <f>"3900101056598"</f>
        <v>0</v>
      </c>
      <c r="F3504" t="str">
        <f>"000820"</f>
        <v>0</v>
      </c>
      <c r="G3504" t="s">
        <v>21</v>
      </c>
    </row>
    <row r="3505" spans="1:7">
      <c r="A3505">
        <v>3504</v>
      </c>
      <c r="B3505" t="str">
        <f>"005638"</f>
        <v>0</v>
      </c>
      <c r="C3505" t="s">
        <v>5974</v>
      </c>
      <c r="D3505" t="s">
        <v>5972</v>
      </c>
      <c r="E3505" t="str">
        <f>"3929900357791"</f>
        <v>0</v>
      </c>
      <c r="F3505" t="str">
        <f>"000820"</f>
        <v>0</v>
      </c>
      <c r="G3505" t="s">
        <v>21</v>
      </c>
    </row>
    <row r="3506" spans="1:7">
      <c r="A3506">
        <v>3505</v>
      </c>
      <c r="B3506" t="str">
        <f>"005862"</f>
        <v>0</v>
      </c>
      <c r="C3506" t="s">
        <v>5975</v>
      </c>
      <c r="D3506" t="s">
        <v>5976</v>
      </c>
      <c r="E3506" t="str">
        <f>"3930300238637"</f>
        <v>0</v>
      </c>
      <c r="F3506" t="str">
        <f>"000820"</f>
        <v>0</v>
      </c>
      <c r="G3506" t="s">
        <v>21</v>
      </c>
    </row>
    <row r="3507" spans="1:7">
      <c r="A3507">
        <v>3506</v>
      </c>
      <c r="B3507" t="str">
        <f>"006037"</f>
        <v>0</v>
      </c>
      <c r="C3507" t="s">
        <v>470</v>
      </c>
      <c r="D3507" t="s">
        <v>5977</v>
      </c>
      <c r="E3507" t="str">
        <f>"3929900068404"</f>
        <v>0</v>
      </c>
      <c r="F3507" t="str">
        <f>"000820"</f>
        <v>0</v>
      </c>
      <c r="G3507" t="s">
        <v>21</v>
      </c>
    </row>
    <row r="3508" spans="1:7">
      <c r="A3508">
        <v>3507</v>
      </c>
      <c r="B3508" t="str">
        <f>"006247"</f>
        <v>0</v>
      </c>
      <c r="C3508" t="s">
        <v>4305</v>
      </c>
      <c r="D3508" t="s">
        <v>5978</v>
      </c>
      <c r="E3508" t="str">
        <f>"3929900409023"</f>
        <v>0</v>
      </c>
      <c r="F3508" t="str">
        <f>"000820"</f>
        <v>0</v>
      </c>
      <c r="G3508" t="s">
        <v>21</v>
      </c>
    </row>
    <row r="3509" spans="1:7">
      <c r="A3509">
        <v>3508</v>
      </c>
      <c r="B3509" t="str">
        <f>"006662"</f>
        <v>0</v>
      </c>
      <c r="C3509" t="s">
        <v>843</v>
      </c>
      <c r="D3509" t="s">
        <v>3794</v>
      </c>
      <c r="E3509" t="str">
        <f>"3910300123643"</f>
        <v>0</v>
      </c>
      <c r="F3509" t="str">
        <f>"000820"</f>
        <v>0</v>
      </c>
      <c r="G3509" t="s">
        <v>21</v>
      </c>
    </row>
    <row r="3510" spans="1:7">
      <c r="A3510">
        <v>3509</v>
      </c>
      <c r="B3510" t="str">
        <f>"006886"</f>
        <v>0</v>
      </c>
      <c r="C3510" t="s">
        <v>5979</v>
      </c>
      <c r="D3510" t="s">
        <v>5980</v>
      </c>
      <c r="E3510" t="str">
        <f>"3900700428361"</f>
        <v>0</v>
      </c>
      <c r="F3510" t="str">
        <f>"000820"</f>
        <v>0</v>
      </c>
      <c r="G3510" t="s">
        <v>21</v>
      </c>
    </row>
    <row r="3511" spans="1:7">
      <c r="A3511">
        <v>3510</v>
      </c>
      <c r="B3511" t="str">
        <f>"007234"</f>
        <v>0</v>
      </c>
      <c r="C3511" t="s">
        <v>5981</v>
      </c>
      <c r="D3511" t="s">
        <v>5982</v>
      </c>
      <c r="E3511" t="str">
        <f>"3920600726246"</f>
        <v>0</v>
      </c>
      <c r="F3511" t="str">
        <f>"000820"</f>
        <v>0</v>
      </c>
      <c r="G3511" t="s">
        <v>21</v>
      </c>
    </row>
    <row r="3512" spans="1:7">
      <c r="A3512">
        <v>3511</v>
      </c>
      <c r="B3512" t="str">
        <f>"007264"</f>
        <v>0</v>
      </c>
      <c r="C3512" t="s">
        <v>2014</v>
      </c>
      <c r="D3512" t="s">
        <v>5983</v>
      </c>
      <c r="E3512" t="str">
        <f>"3200300134315"</f>
        <v>0</v>
      </c>
      <c r="F3512" t="str">
        <f>"000820"</f>
        <v>0</v>
      </c>
      <c r="G3512" t="s">
        <v>21</v>
      </c>
    </row>
    <row r="3513" spans="1:7">
      <c r="A3513">
        <v>3512</v>
      </c>
      <c r="B3513" t="str">
        <f>"007417"</f>
        <v>0</v>
      </c>
      <c r="C3513" t="s">
        <v>5984</v>
      </c>
      <c r="D3513" t="s">
        <v>5978</v>
      </c>
      <c r="E3513" t="str">
        <f>"3929900455327"</f>
        <v>0</v>
      </c>
      <c r="F3513" t="str">
        <f>"000820"</f>
        <v>0</v>
      </c>
      <c r="G3513" t="s">
        <v>21</v>
      </c>
    </row>
    <row r="3514" spans="1:7">
      <c r="A3514">
        <v>3513</v>
      </c>
      <c r="B3514" t="str">
        <f>"007432"</f>
        <v>0</v>
      </c>
      <c r="C3514" t="s">
        <v>5985</v>
      </c>
      <c r="D3514" t="s">
        <v>5986</v>
      </c>
      <c r="E3514" t="str">
        <f>"4900700001268"</f>
        <v>0</v>
      </c>
      <c r="F3514" t="str">
        <f>"000820"</f>
        <v>0</v>
      </c>
      <c r="G3514" t="s">
        <v>21</v>
      </c>
    </row>
    <row r="3515" spans="1:7">
      <c r="A3515">
        <v>3514</v>
      </c>
      <c r="B3515" t="str">
        <f>"007533"</f>
        <v>0</v>
      </c>
      <c r="C3515" t="s">
        <v>5987</v>
      </c>
      <c r="D3515" t="s">
        <v>5988</v>
      </c>
      <c r="E3515" t="str">
        <f>"3929900437671"</f>
        <v>0</v>
      </c>
      <c r="F3515" t="str">
        <f>"000820"</f>
        <v>0</v>
      </c>
      <c r="G3515" t="s">
        <v>21</v>
      </c>
    </row>
    <row r="3516" spans="1:7">
      <c r="A3516">
        <v>3515</v>
      </c>
      <c r="B3516" t="str">
        <f>"007581"</f>
        <v>0</v>
      </c>
      <c r="C3516" t="s">
        <v>1093</v>
      </c>
      <c r="D3516" t="s">
        <v>5989</v>
      </c>
      <c r="E3516" t="str">
        <f>"3949900261379"</f>
        <v>0</v>
      </c>
      <c r="F3516" t="str">
        <f>"000820"</f>
        <v>0</v>
      </c>
      <c r="G3516" t="s">
        <v>21</v>
      </c>
    </row>
    <row r="3517" spans="1:7">
      <c r="A3517">
        <v>3516</v>
      </c>
      <c r="B3517" t="str">
        <f>"007843"</f>
        <v>0</v>
      </c>
      <c r="C3517" t="s">
        <v>5990</v>
      </c>
      <c r="D3517" t="s">
        <v>5991</v>
      </c>
      <c r="E3517" t="str">
        <f>"3820100196371"</f>
        <v>0</v>
      </c>
      <c r="F3517" t="str">
        <f>"000820"</f>
        <v>0</v>
      </c>
      <c r="G3517" t="s">
        <v>21</v>
      </c>
    </row>
    <row r="3518" spans="1:7">
      <c r="A3518">
        <v>3517</v>
      </c>
      <c r="B3518" t="str">
        <f>"007928"</f>
        <v>0</v>
      </c>
      <c r="C3518" t="s">
        <v>250</v>
      </c>
      <c r="D3518" t="s">
        <v>5992</v>
      </c>
      <c r="E3518" t="str">
        <f>"3920100427924"</f>
        <v>0</v>
      </c>
      <c r="F3518" t="str">
        <f>"000820"</f>
        <v>0</v>
      </c>
      <c r="G3518" t="s">
        <v>21</v>
      </c>
    </row>
    <row r="3519" spans="1:7">
      <c r="A3519">
        <v>3518</v>
      </c>
      <c r="B3519" t="str">
        <f>"007931"</f>
        <v>0</v>
      </c>
      <c r="C3519" t="s">
        <v>46</v>
      </c>
      <c r="D3519" t="s">
        <v>5993</v>
      </c>
      <c r="E3519" t="str">
        <f>"3920600358697"</f>
        <v>0</v>
      </c>
      <c r="F3519" t="str">
        <f>"000820"</f>
        <v>0</v>
      </c>
      <c r="G3519" t="s">
        <v>21</v>
      </c>
    </row>
    <row r="3520" spans="1:7">
      <c r="A3520">
        <v>3519</v>
      </c>
      <c r="B3520" t="str">
        <f>"007932"</f>
        <v>0</v>
      </c>
      <c r="C3520" t="s">
        <v>5994</v>
      </c>
      <c r="D3520" t="s">
        <v>5995</v>
      </c>
      <c r="E3520" t="str">
        <f>"3929800029229"</f>
        <v>0</v>
      </c>
      <c r="F3520" t="str">
        <f>"000820"</f>
        <v>0</v>
      </c>
      <c r="G3520" t="s">
        <v>21</v>
      </c>
    </row>
    <row r="3521" spans="1:7">
      <c r="A3521">
        <v>3520</v>
      </c>
      <c r="B3521" t="str">
        <f>"008014"</f>
        <v>0</v>
      </c>
      <c r="C3521" t="s">
        <v>5307</v>
      </c>
      <c r="D3521" t="s">
        <v>5996</v>
      </c>
      <c r="E3521" t="str">
        <f>"3950500030053"</f>
        <v>0</v>
      </c>
      <c r="F3521" t="str">
        <f>"000820"</f>
        <v>0</v>
      </c>
      <c r="G3521" t="s">
        <v>21</v>
      </c>
    </row>
    <row r="3522" spans="1:7">
      <c r="A3522">
        <v>3521</v>
      </c>
      <c r="B3522" t="str">
        <f>"008945"</f>
        <v>0</v>
      </c>
      <c r="C3522" t="s">
        <v>4795</v>
      </c>
      <c r="D3522" t="s">
        <v>5997</v>
      </c>
      <c r="E3522" t="str">
        <f>"3920100684021"</f>
        <v>0</v>
      </c>
      <c r="F3522" t="str">
        <f>"000820"</f>
        <v>0</v>
      </c>
      <c r="G3522" t="s">
        <v>21</v>
      </c>
    </row>
    <row r="3523" spans="1:7">
      <c r="A3523">
        <v>3522</v>
      </c>
      <c r="B3523" t="str">
        <f>"009144"</f>
        <v>0</v>
      </c>
      <c r="C3523" t="s">
        <v>5998</v>
      </c>
      <c r="D3523" t="s">
        <v>5999</v>
      </c>
      <c r="E3523" t="str">
        <f>"3929900439135"</f>
        <v>0</v>
      </c>
      <c r="F3523" t="str">
        <f>"000820"</f>
        <v>0</v>
      </c>
      <c r="G3523" t="s">
        <v>21</v>
      </c>
    </row>
    <row r="3524" spans="1:7">
      <c r="A3524">
        <v>3523</v>
      </c>
      <c r="B3524" t="str">
        <f>"009313"</f>
        <v>0</v>
      </c>
      <c r="C3524" t="s">
        <v>2216</v>
      </c>
      <c r="D3524" t="s">
        <v>6000</v>
      </c>
      <c r="E3524" t="str">
        <f>"3920600903121"</f>
        <v>0</v>
      </c>
      <c r="F3524" t="str">
        <f>"000820"</f>
        <v>0</v>
      </c>
      <c r="G3524" t="s">
        <v>21</v>
      </c>
    </row>
    <row r="3525" spans="1:7">
      <c r="A3525">
        <v>3524</v>
      </c>
      <c r="B3525" t="str">
        <f>"009383"</f>
        <v>0</v>
      </c>
      <c r="C3525" t="s">
        <v>837</v>
      </c>
      <c r="D3525" t="s">
        <v>6001</v>
      </c>
      <c r="E3525" t="str">
        <f>"3920600635127"</f>
        <v>0</v>
      </c>
      <c r="F3525" t="str">
        <f>"000820"</f>
        <v>0</v>
      </c>
      <c r="G3525" t="s">
        <v>21</v>
      </c>
    </row>
    <row r="3526" spans="1:7">
      <c r="A3526">
        <v>3525</v>
      </c>
      <c r="B3526" t="str">
        <f>"009558"</f>
        <v>0</v>
      </c>
      <c r="C3526" t="s">
        <v>1356</v>
      </c>
      <c r="D3526" t="s">
        <v>6002</v>
      </c>
      <c r="E3526" t="str">
        <f>"3920400395963"</f>
        <v>0</v>
      </c>
      <c r="F3526" t="str">
        <f>"000820"</f>
        <v>0</v>
      </c>
      <c r="G3526" t="s">
        <v>21</v>
      </c>
    </row>
    <row r="3527" spans="1:7">
      <c r="A3527">
        <v>3526</v>
      </c>
      <c r="B3527" t="str">
        <f>"009927"</f>
        <v>0</v>
      </c>
      <c r="C3527" t="s">
        <v>694</v>
      </c>
      <c r="D3527" t="s">
        <v>6003</v>
      </c>
      <c r="E3527" t="str">
        <f>"3120101231257"</f>
        <v>0</v>
      </c>
      <c r="F3527" t="str">
        <f>"000820"</f>
        <v>0</v>
      </c>
      <c r="G3527" t="s">
        <v>21</v>
      </c>
    </row>
    <row r="3528" spans="1:7">
      <c r="A3528">
        <v>3527</v>
      </c>
      <c r="B3528" t="str">
        <f>"010412"</f>
        <v>0</v>
      </c>
      <c r="C3528" t="s">
        <v>3014</v>
      </c>
      <c r="D3528" t="s">
        <v>6004</v>
      </c>
      <c r="E3528" t="str">
        <f>"3920600904217"</f>
        <v>0</v>
      </c>
      <c r="F3528" t="str">
        <f>"000820"</f>
        <v>0</v>
      </c>
      <c r="G3528" t="s">
        <v>21</v>
      </c>
    </row>
    <row r="3529" spans="1:7">
      <c r="A3529">
        <v>3528</v>
      </c>
      <c r="B3529" t="str">
        <f>"010452"</f>
        <v>0</v>
      </c>
      <c r="C3529" t="s">
        <v>3090</v>
      </c>
      <c r="D3529" t="s">
        <v>6005</v>
      </c>
      <c r="E3529" t="str">
        <f>"3920500175230"</f>
        <v>0</v>
      </c>
      <c r="F3529" t="str">
        <f>"000820"</f>
        <v>0</v>
      </c>
      <c r="G3529" t="s">
        <v>21</v>
      </c>
    </row>
    <row r="3530" spans="1:7">
      <c r="A3530">
        <v>3529</v>
      </c>
      <c r="B3530" t="str">
        <f>"010564"</f>
        <v>0</v>
      </c>
      <c r="C3530" t="s">
        <v>6006</v>
      </c>
      <c r="D3530" t="s">
        <v>6007</v>
      </c>
      <c r="E3530" t="str">
        <f>"3920600521580"</f>
        <v>0</v>
      </c>
      <c r="F3530" t="str">
        <f>"000820"</f>
        <v>0</v>
      </c>
      <c r="G3530" t="s">
        <v>21</v>
      </c>
    </row>
    <row r="3531" spans="1:7">
      <c r="A3531">
        <v>3530</v>
      </c>
      <c r="B3531" t="str">
        <f>"010862"</f>
        <v>0</v>
      </c>
      <c r="C3531" t="s">
        <v>6008</v>
      </c>
      <c r="D3531" t="s">
        <v>1352</v>
      </c>
      <c r="E3531" t="str">
        <f>"3341300373638"</f>
        <v>0</v>
      </c>
      <c r="F3531" t="str">
        <f>"000820"</f>
        <v>0</v>
      </c>
      <c r="G3531" t="s">
        <v>21</v>
      </c>
    </row>
    <row r="3532" spans="1:7">
      <c r="A3532">
        <v>3531</v>
      </c>
      <c r="B3532" t="str">
        <f>"011232"</f>
        <v>0</v>
      </c>
      <c r="C3532" t="s">
        <v>3638</v>
      </c>
      <c r="D3532" t="s">
        <v>6009</v>
      </c>
      <c r="E3532" t="str">
        <f>"3920100189853"</f>
        <v>0</v>
      </c>
      <c r="F3532" t="str">
        <f>"000820"</f>
        <v>0</v>
      </c>
      <c r="G3532" t="s">
        <v>21</v>
      </c>
    </row>
    <row r="3533" spans="1:7">
      <c r="A3533">
        <v>3532</v>
      </c>
      <c r="B3533" t="str">
        <f>"011536"</f>
        <v>0</v>
      </c>
      <c r="C3533" t="s">
        <v>6010</v>
      </c>
      <c r="D3533" t="s">
        <v>6011</v>
      </c>
      <c r="E3533" t="str">
        <f>"3920100018315"</f>
        <v>0</v>
      </c>
      <c r="F3533" t="str">
        <f>"000820"</f>
        <v>0</v>
      </c>
      <c r="G3533" t="s">
        <v>21</v>
      </c>
    </row>
    <row r="3534" spans="1:7">
      <c r="A3534">
        <v>3533</v>
      </c>
      <c r="B3534" t="str">
        <f>"012117"</f>
        <v>0</v>
      </c>
      <c r="C3534" t="s">
        <v>6012</v>
      </c>
      <c r="D3534" t="s">
        <v>6013</v>
      </c>
      <c r="E3534" t="str">
        <f>"3909800376662"</f>
        <v>0</v>
      </c>
      <c r="F3534" t="str">
        <f>"000820"</f>
        <v>0</v>
      </c>
      <c r="G3534" t="s">
        <v>21</v>
      </c>
    </row>
    <row r="3535" spans="1:7">
      <c r="A3535">
        <v>3534</v>
      </c>
      <c r="B3535" t="str">
        <f>"012196"</f>
        <v>0</v>
      </c>
      <c r="C3535" t="s">
        <v>3554</v>
      </c>
      <c r="D3535" t="s">
        <v>6014</v>
      </c>
      <c r="E3535" t="str">
        <f>"3930500444648"</f>
        <v>0</v>
      </c>
      <c r="F3535" t="str">
        <f>"000820"</f>
        <v>0</v>
      </c>
      <c r="G3535" t="s">
        <v>21</v>
      </c>
    </row>
    <row r="3536" spans="1:7">
      <c r="A3536">
        <v>3535</v>
      </c>
      <c r="B3536" t="str">
        <f>"012954"</f>
        <v>0</v>
      </c>
      <c r="C3536" t="s">
        <v>6015</v>
      </c>
      <c r="D3536" t="s">
        <v>6016</v>
      </c>
      <c r="E3536" t="str">
        <f>"3960300032397"</f>
        <v>0</v>
      </c>
      <c r="F3536" t="str">
        <f>"000820"</f>
        <v>0</v>
      </c>
      <c r="G3536" t="s">
        <v>21</v>
      </c>
    </row>
    <row r="3537" spans="1:7">
      <c r="A3537">
        <v>3536</v>
      </c>
      <c r="B3537" t="str">
        <f>"014836"</f>
        <v>0</v>
      </c>
      <c r="C3537" t="s">
        <v>2424</v>
      </c>
      <c r="D3537" t="s">
        <v>6017</v>
      </c>
      <c r="E3537" t="str">
        <f>"4929900002576"</f>
        <v>0</v>
      </c>
      <c r="F3537" t="str">
        <f>"000820"</f>
        <v>0</v>
      </c>
      <c r="G3537" t="s">
        <v>21</v>
      </c>
    </row>
    <row r="3538" spans="1:7">
      <c r="A3538">
        <v>3537</v>
      </c>
      <c r="B3538" t="str">
        <f>"016074"</f>
        <v>0</v>
      </c>
      <c r="C3538" t="s">
        <v>409</v>
      </c>
      <c r="D3538" t="s">
        <v>6018</v>
      </c>
      <c r="E3538" t="str">
        <f>"3920600441071"</f>
        <v>0</v>
      </c>
      <c r="F3538" t="str">
        <f>"000820"</f>
        <v>0</v>
      </c>
      <c r="G3538" t="s">
        <v>21</v>
      </c>
    </row>
    <row r="3539" spans="1:7">
      <c r="A3539">
        <v>3538</v>
      </c>
      <c r="B3539" t="str">
        <f>"016581"</f>
        <v>0</v>
      </c>
      <c r="C3539" t="s">
        <v>239</v>
      </c>
      <c r="D3539" t="s">
        <v>6019</v>
      </c>
      <c r="E3539" t="str">
        <f>"3920600579456"</f>
        <v>0</v>
      </c>
      <c r="F3539" t="str">
        <f>"000820"</f>
        <v>0</v>
      </c>
      <c r="G3539" t="s">
        <v>21</v>
      </c>
    </row>
    <row r="3540" spans="1:7">
      <c r="A3540">
        <v>3539</v>
      </c>
      <c r="B3540" t="str">
        <f>"016803"</f>
        <v>0</v>
      </c>
      <c r="C3540" t="s">
        <v>6020</v>
      </c>
      <c r="D3540" t="s">
        <v>6021</v>
      </c>
      <c r="E3540" t="str">
        <f>"3100903004996"</f>
        <v>0</v>
      </c>
      <c r="F3540" t="str">
        <f>"000820"</f>
        <v>0</v>
      </c>
      <c r="G3540" t="s">
        <v>21</v>
      </c>
    </row>
    <row r="3541" spans="1:7">
      <c r="A3541">
        <v>3540</v>
      </c>
      <c r="B3541" t="str">
        <f>"017456"</f>
        <v>0</v>
      </c>
      <c r="C3541" t="s">
        <v>2815</v>
      </c>
      <c r="D3541" t="s">
        <v>6022</v>
      </c>
      <c r="E3541" t="str">
        <f>"3920100779421"</f>
        <v>0</v>
      </c>
      <c r="F3541" t="str">
        <f>"000820"</f>
        <v>0</v>
      </c>
      <c r="G3541" t="s">
        <v>21</v>
      </c>
    </row>
    <row r="3542" spans="1:7">
      <c r="A3542">
        <v>3541</v>
      </c>
      <c r="B3542" t="str">
        <f>"018380"</f>
        <v>0</v>
      </c>
      <c r="C3542" t="s">
        <v>6023</v>
      </c>
      <c r="D3542" t="s">
        <v>6024</v>
      </c>
      <c r="E3542" t="str">
        <f>"3929900426009"</f>
        <v>0</v>
      </c>
      <c r="F3542" t="str">
        <f>"000820"</f>
        <v>0</v>
      </c>
      <c r="G3542" t="s">
        <v>21</v>
      </c>
    </row>
    <row r="3543" spans="1:7">
      <c r="A3543">
        <v>3542</v>
      </c>
      <c r="B3543" t="str">
        <f>"020445"</f>
        <v>0</v>
      </c>
      <c r="C3543" t="s">
        <v>6025</v>
      </c>
      <c r="D3543" t="s">
        <v>6026</v>
      </c>
      <c r="E3543" t="str">
        <f>"3430900616629"</f>
        <v>0</v>
      </c>
      <c r="F3543" t="str">
        <f>"000820"</f>
        <v>0</v>
      </c>
      <c r="G3543" t="s">
        <v>21</v>
      </c>
    </row>
    <row r="3544" spans="1:7">
      <c r="A3544">
        <v>3543</v>
      </c>
      <c r="B3544" t="str">
        <f>"001399"</f>
        <v>0</v>
      </c>
      <c r="C3544" t="s">
        <v>6027</v>
      </c>
      <c r="D3544" t="s">
        <v>6028</v>
      </c>
      <c r="E3544" t="str">
        <f>"3929800088772"</f>
        <v>0</v>
      </c>
      <c r="F3544" t="str">
        <f>"000820"</f>
        <v>0</v>
      </c>
      <c r="G3544" t="s">
        <v>21</v>
      </c>
    </row>
    <row r="3545" spans="1:7">
      <c r="A3545">
        <v>3544</v>
      </c>
      <c r="B3545" t="str">
        <f>"026483"</f>
        <v>0</v>
      </c>
      <c r="C3545" t="s">
        <v>6029</v>
      </c>
      <c r="D3545" t="s">
        <v>6030</v>
      </c>
      <c r="E3545" t="str">
        <f>"1459900123772"</f>
        <v>0</v>
      </c>
      <c r="F3545" t="str">
        <f>"000820"</f>
        <v>0</v>
      </c>
      <c r="G3545" t="s">
        <v>21</v>
      </c>
    </row>
    <row r="3546" spans="1:7">
      <c r="A3546">
        <v>3545</v>
      </c>
      <c r="B3546" t="str">
        <f>"021451"</f>
        <v>0</v>
      </c>
      <c r="C3546" t="s">
        <v>6031</v>
      </c>
      <c r="D3546" t="s">
        <v>6032</v>
      </c>
      <c r="E3546" t="str">
        <f>"3800900660675"</f>
        <v>0</v>
      </c>
      <c r="F3546" t="str">
        <f>"000820"</f>
        <v>0</v>
      </c>
      <c r="G3546" t="s">
        <v>21</v>
      </c>
    </row>
    <row r="3547" spans="1:7">
      <c r="A3547">
        <v>3546</v>
      </c>
      <c r="B3547" t="str">
        <f>"024286"</f>
        <v>0</v>
      </c>
      <c r="C3547" t="s">
        <v>6033</v>
      </c>
      <c r="D3547" t="s">
        <v>6034</v>
      </c>
      <c r="E3547" t="str">
        <f>"1101401525412"</f>
        <v>0</v>
      </c>
      <c r="F3547" t="str">
        <f>"000820"</f>
        <v>0</v>
      </c>
      <c r="G3547" t="s">
        <v>21</v>
      </c>
    </row>
    <row r="3548" spans="1:7">
      <c r="A3548">
        <v>3547</v>
      </c>
      <c r="B3548" t="str">
        <f>"026482"</f>
        <v>0</v>
      </c>
      <c r="C3548" t="s">
        <v>2537</v>
      </c>
      <c r="D3548" t="s">
        <v>6035</v>
      </c>
      <c r="E3548" t="str">
        <f>"1809700174744"</f>
        <v>0</v>
      </c>
      <c r="F3548" t="str">
        <f>"000820"</f>
        <v>0</v>
      </c>
      <c r="G3548" t="s">
        <v>21</v>
      </c>
    </row>
    <row r="3549" spans="1:7">
      <c r="A3549">
        <v>3548</v>
      </c>
      <c r="B3549" t="str">
        <f>"026703"</f>
        <v>0</v>
      </c>
      <c r="C3549" t="s">
        <v>6036</v>
      </c>
      <c r="D3549" t="s">
        <v>6037</v>
      </c>
      <c r="E3549" t="str">
        <f>"1939900156803"</f>
        <v>0</v>
      </c>
      <c r="F3549" t="str">
        <f>"000820"</f>
        <v>0</v>
      </c>
      <c r="G3549" t="s">
        <v>21</v>
      </c>
    </row>
    <row r="3550" spans="1:7">
      <c r="A3550">
        <v>3549</v>
      </c>
      <c r="B3550" t="str">
        <f>"027345"</f>
        <v>0</v>
      </c>
      <c r="C3550" t="s">
        <v>6038</v>
      </c>
      <c r="D3550" t="s">
        <v>6039</v>
      </c>
      <c r="E3550" t="str">
        <f>"1920600176100"</f>
        <v>0</v>
      </c>
      <c r="F3550" t="str">
        <f>"000820"</f>
        <v>0</v>
      </c>
      <c r="G3550" t="s">
        <v>21</v>
      </c>
    </row>
    <row r="3551" spans="1:7">
      <c r="A3551">
        <v>3550</v>
      </c>
      <c r="B3551" t="str">
        <f>"021430"</f>
        <v>0</v>
      </c>
      <c r="C3551" t="s">
        <v>674</v>
      </c>
      <c r="D3551" t="s">
        <v>6040</v>
      </c>
      <c r="E3551" t="str">
        <f>"3920100594405"</f>
        <v>0</v>
      </c>
      <c r="F3551" t="str">
        <f>"000820"</f>
        <v>0</v>
      </c>
      <c r="G3551" t="s">
        <v>21</v>
      </c>
    </row>
    <row r="3552" spans="1:7">
      <c r="A3552">
        <v>3551</v>
      </c>
      <c r="B3552" t="str">
        <f>"019748"</f>
        <v>0</v>
      </c>
      <c r="C3552" t="s">
        <v>6041</v>
      </c>
      <c r="D3552" t="s">
        <v>6042</v>
      </c>
      <c r="E3552" t="str">
        <f>"3920500044437"</f>
        <v>0</v>
      </c>
      <c r="F3552" t="str">
        <f>"000820"</f>
        <v>0</v>
      </c>
      <c r="G3552" t="s">
        <v>21</v>
      </c>
    </row>
    <row r="3553" spans="1:7">
      <c r="A3553">
        <v>3552</v>
      </c>
      <c r="B3553" t="str">
        <f>"018754"</f>
        <v>0</v>
      </c>
      <c r="C3553" t="s">
        <v>6043</v>
      </c>
      <c r="D3553" t="s">
        <v>6044</v>
      </c>
      <c r="E3553" t="str">
        <f>"3920300016618"</f>
        <v>0</v>
      </c>
      <c r="F3553" t="str">
        <f>"000820"</f>
        <v>0</v>
      </c>
      <c r="G3553" t="s">
        <v>21</v>
      </c>
    </row>
    <row r="3554" spans="1:7">
      <c r="A3554">
        <v>3553</v>
      </c>
      <c r="B3554" t="str">
        <f>"021469"</f>
        <v>0</v>
      </c>
      <c r="C3554" t="s">
        <v>6045</v>
      </c>
      <c r="D3554" t="s">
        <v>6046</v>
      </c>
      <c r="E3554" t="str">
        <f>"3929900239225"</f>
        <v>0</v>
      </c>
      <c r="F3554" t="str">
        <f>"000820"</f>
        <v>0</v>
      </c>
      <c r="G3554" t="s">
        <v>21</v>
      </c>
    </row>
    <row r="3555" spans="1:7">
      <c r="A3555">
        <v>3554</v>
      </c>
      <c r="B3555" t="str">
        <f>"026124"</f>
        <v>0</v>
      </c>
      <c r="C3555" t="s">
        <v>6047</v>
      </c>
      <c r="D3555" t="s">
        <v>6048</v>
      </c>
      <c r="E3555" t="str">
        <f>"1801400128839"</f>
        <v>0</v>
      </c>
      <c r="F3555" t="str">
        <f>"000820"</f>
        <v>0</v>
      </c>
      <c r="G3555" t="s">
        <v>21</v>
      </c>
    </row>
    <row r="3556" spans="1:7">
      <c r="A3556">
        <v>3555</v>
      </c>
      <c r="B3556" t="str">
        <f>"026571"</f>
        <v>0</v>
      </c>
      <c r="C3556" t="s">
        <v>6049</v>
      </c>
      <c r="D3556" t="s">
        <v>6050</v>
      </c>
      <c r="E3556" t="str">
        <f>"1840800014830"</f>
        <v>0</v>
      </c>
      <c r="F3556" t="str">
        <f>"000820"</f>
        <v>0</v>
      </c>
      <c r="G3556" t="s">
        <v>21</v>
      </c>
    </row>
    <row r="3557" spans="1:7">
      <c r="A3557">
        <v>3556</v>
      </c>
      <c r="B3557" t="str">
        <f>"026635"</f>
        <v>0</v>
      </c>
      <c r="C3557" t="s">
        <v>6051</v>
      </c>
      <c r="D3557" t="s">
        <v>6052</v>
      </c>
      <c r="E3557" t="str">
        <f>"3841100068420"</f>
        <v>0</v>
      </c>
      <c r="F3557" t="str">
        <f>"000820"</f>
        <v>0</v>
      </c>
      <c r="G3557" t="s">
        <v>21</v>
      </c>
    </row>
    <row r="3558" spans="1:7">
      <c r="A3558">
        <v>3557</v>
      </c>
      <c r="B3558" t="str">
        <f>"024841"</f>
        <v>0</v>
      </c>
      <c r="C3558" t="s">
        <v>6053</v>
      </c>
      <c r="D3558" t="s">
        <v>6054</v>
      </c>
      <c r="E3558" t="str">
        <f>"3920400307690"</f>
        <v>0</v>
      </c>
      <c r="F3558" t="str">
        <f>"000820"</f>
        <v>0</v>
      </c>
      <c r="G3558" t="s">
        <v>21</v>
      </c>
    </row>
    <row r="3559" spans="1:7">
      <c r="A3559">
        <v>3558</v>
      </c>
      <c r="B3559" t="str">
        <f>"015472"</f>
        <v>0</v>
      </c>
      <c r="C3559" t="s">
        <v>341</v>
      </c>
      <c r="D3559" t="s">
        <v>6055</v>
      </c>
      <c r="E3559" t="str">
        <f>"5800790006131"</f>
        <v>0</v>
      </c>
      <c r="F3559" t="str">
        <f>"000820"</f>
        <v>0</v>
      </c>
      <c r="G3559" t="s">
        <v>21</v>
      </c>
    </row>
    <row r="3560" spans="1:7">
      <c r="A3560">
        <v>3559</v>
      </c>
      <c r="B3560" t="str">
        <f>"025210"</f>
        <v>0</v>
      </c>
      <c r="C3560" t="s">
        <v>6056</v>
      </c>
      <c r="D3560" t="s">
        <v>6057</v>
      </c>
      <c r="E3560" t="str">
        <f>"1900200044052"</f>
        <v>0</v>
      </c>
      <c r="F3560" t="str">
        <f>"000820"</f>
        <v>0</v>
      </c>
      <c r="G3560" t="s">
        <v>21</v>
      </c>
    </row>
    <row r="3561" spans="1:7">
      <c r="A3561">
        <v>3560</v>
      </c>
      <c r="B3561" t="str">
        <f>"025266"</f>
        <v>0</v>
      </c>
      <c r="C3561" t="s">
        <v>6058</v>
      </c>
      <c r="D3561" t="s">
        <v>6059</v>
      </c>
      <c r="E3561" t="str">
        <f>"3900100387001"</f>
        <v>0</v>
      </c>
      <c r="F3561" t="str">
        <f>"000820"</f>
        <v>0</v>
      </c>
      <c r="G3561" t="s">
        <v>21</v>
      </c>
    </row>
    <row r="3562" spans="1:7">
      <c r="A3562">
        <v>3561</v>
      </c>
      <c r="B3562" t="str">
        <f>"025590"</f>
        <v>0</v>
      </c>
      <c r="C3562" t="s">
        <v>6060</v>
      </c>
      <c r="D3562" t="s">
        <v>6061</v>
      </c>
      <c r="E3562" t="str">
        <f>"1909800622896"</f>
        <v>0</v>
      </c>
      <c r="F3562" t="str">
        <f>"000820"</f>
        <v>0</v>
      </c>
      <c r="G3562" t="s">
        <v>21</v>
      </c>
    </row>
    <row r="3563" spans="1:7">
      <c r="A3563">
        <v>3562</v>
      </c>
      <c r="B3563" t="str">
        <f>"025591"</f>
        <v>0</v>
      </c>
      <c r="C3563" t="s">
        <v>6062</v>
      </c>
      <c r="D3563" t="s">
        <v>6063</v>
      </c>
      <c r="E3563" t="str">
        <f>"1969900124936"</f>
        <v>0</v>
      </c>
      <c r="F3563" t="str">
        <f>"000820"</f>
        <v>0</v>
      </c>
      <c r="G3563" t="s">
        <v>21</v>
      </c>
    </row>
    <row r="3564" spans="1:7">
      <c r="A3564">
        <v>3563</v>
      </c>
      <c r="B3564" t="str">
        <f>"025872"</f>
        <v>0</v>
      </c>
      <c r="C3564" t="s">
        <v>6064</v>
      </c>
      <c r="D3564" t="s">
        <v>6065</v>
      </c>
      <c r="E3564" t="str">
        <f>"1909800628649"</f>
        <v>0</v>
      </c>
      <c r="F3564" t="str">
        <f>"000820"</f>
        <v>0</v>
      </c>
      <c r="G3564" t="s">
        <v>21</v>
      </c>
    </row>
    <row r="3565" spans="1:7">
      <c r="A3565">
        <v>3564</v>
      </c>
      <c r="B3565" t="str">
        <f>"026484"</f>
        <v>0</v>
      </c>
      <c r="C3565" t="s">
        <v>6066</v>
      </c>
      <c r="D3565" t="s">
        <v>6067</v>
      </c>
      <c r="E3565" t="str">
        <f>"2900200008577"</f>
        <v>0</v>
      </c>
      <c r="F3565" t="str">
        <f>"000820"</f>
        <v>0</v>
      </c>
      <c r="G3565" t="s">
        <v>21</v>
      </c>
    </row>
    <row r="3566" spans="1:7">
      <c r="A3566">
        <v>3565</v>
      </c>
      <c r="B3566" t="str">
        <f>"026701"</f>
        <v>0</v>
      </c>
      <c r="C3566" t="s">
        <v>6068</v>
      </c>
      <c r="D3566" t="s">
        <v>6069</v>
      </c>
      <c r="E3566" t="str">
        <f>"1101800666443"</f>
        <v>0</v>
      </c>
      <c r="F3566" t="str">
        <f>"000820"</f>
        <v>0</v>
      </c>
      <c r="G3566" t="s">
        <v>21</v>
      </c>
    </row>
    <row r="3567" spans="1:7">
      <c r="A3567">
        <v>3566</v>
      </c>
      <c r="B3567" t="str">
        <f>"026702"</f>
        <v>0</v>
      </c>
      <c r="C3567" t="s">
        <v>6070</v>
      </c>
      <c r="D3567" t="s">
        <v>6071</v>
      </c>
      <c r="E3567" t="str">
        <f>"1839900175272"</f>
        <v>0</v>
      </c>
      <c r="F3567" t="str">
        <f>"000820"</f>
        <v>0</v>
      </c>
      <c r="G3567" t="s">
        <v>21</v>
      </c>
    </row>
    <row r="3568" spans="1:7">
      <c r="A3568">
        <v>3567</v>
      </c>
      <c r="B3568" t="str">
        <f>"027114"</f>
        <v>0</v>
      </c>
      <c r="C3568" t="s">
        <v>6072</v>
      </c>
      <c r="D3568" t="s">
        <v>6073</v>
      </c>
      <c r="E3568" t="str">
        <f>"1909900335392"</f>
        <v>0</v>
      </c>
      <c r="F3568" t="str">
        <f>"000820"</f>
        <v>0</v>
      </c>
      <c r="G3568" t="s">
        <v>21</v>
      </c>
    </row>
    <row r="3569" spans="1:7">
      <c r="A3569">
        <v>3568</v>
      </c>
      <c r="B3569" t="str">
        <f>"027343"</f>
        <v>0</v>
      </c>
      <c r="C3569" t="s">
        <v>6074</v>
      </c>
      <c r="D3569" t="s">
        <v>6075</v>
      </c>
      <c r="E3569" t="str">
        <f>"1909800888021"</f>
        <v>0</v>
      </c>
      <c r="F3569" t="str">
        <f>"000820"</f>
        <v>0</v>
      </c>
      <c r="G3569" t="s">
        <v>21</v>
      </c>
    </row>
    <row r="3570" spans="1:7">
      <c r="A3570">
        <v>3569</v>
      </c>
      <c r="B3570" t="str">
        <f>"010254"</f>
        <v>0</v>
      </c>
      <c r="C3570" t="s">
        <v>44</v>
      </c>
      <c r="D3570" t="s">
        <v>6076</v>
      </c>
      <c r="E3570" t="str">
        <f>"3910600017580"</f>
        <v>0</v>
      </c>
      <c r="F3570" t="str">
        <f>"000820"</f>
        <v>0</v>
      </c>
      <c r="G3570" t="s">
        <v>21</v>
      </c>
    </row>
    <row r="3571" spans="1:7">
      <c r="A3571">
        <v>3570</v>
      </c>
      <c r="B3571" t="str">
        <f>"022578"</f>
        <v>0</v>
      </c>
      <c r="C3571" t="s">
        <v>1238</v>
      </c>
      <c r="D3571" t="s">
        <v>6077</v>
      </c>
      <c r="E3571" t="str">
        <f>"3800400390296"</f>
        <v>0</v>
      </c>
      <c r="F3571" t="str">
        <f>"000820"</f>
        <v>0</v>
      </c>
      <c r="G3571" t="s">
        <v>21</v>
      </c>
    </row>
    <row r="3572" spans="1:7">
      <c r="A3572">
        <v>3571</v>
      </c>
      <c r="B3572" t="str">
        <f>"023334"</f>
        <v>0</v>
      </c>
      <c r="C3572" t="s">
        <v>732</v>
      </c>
      <c r="D3572" t="s">
        <v>6078</v>
      </c>
      <c r="E3572" t="str">
        <f>"3910200042803"</f>
        <v>0</v>
      </c>
      <c r="F3572" t="str">
        <f>"000820"</f>
        <v>0</v>
      </c>
      <c r="G3572" t="s">
        <v>21</v>
      </c>
    </row>
    <row r="3573" spans="1:7">
      <c r="A3573">
        <v>3572</v>
      </c>
      <c r="B3573" t="str">
        <f>"027342"</f>
        <v>0</v>
      </c>
      <c r="C3573" t="s">
        <v>6079</v>
      </c>
      <c r="D3573" t="s">
        <v>6080</v>
      </c>
      <c r="E3573" t="str">
        <f>"1909800379185"</f>
        <v>0</v>
      </c>
      <c r="F3573" t="str">
        <f>"000820"</f>
        <v>0</v>
      </c>
      <c r="G3573" t="s">
        <v>21</v>
      </c>
    </row>
    <row r="3574" spans="1:7">
      <c r="A3574">
        <v>3573</v>
      </c>
      <c r="B3574" t="str">
        <f>"005759"</f>
        <v>0</v>
      </c>
      <c r="C3574" t="s">
        <v>6081</v>
      </c>
      <c r="D3574" t="s">
        <v>6082</v>
      </c>
      <c r="E3574" t="str">
        <f>"3920500011326"</f>
        <v>0</v>
      </c>
      <c r="F3574" t="str">
        <f>"000820"</f>
        <v>0</v>
      </c>
      <c r="G3574" t="s">
        <v>21</v>
      </c>
    </row>
    <row r="3575" spans="1:7">
      <c r="A3575">
        <v>3574</v>
      </c>
      <c r="B3575" t="str">
        <f>"009354"</f>
        <v>0</v>
      </c>
      <c r="C3575" t="s">
        <v>4225</v>
      </c>
      <c r="D3575" t="s">
        <v>6083</v>
      </c>
      <c r="E3575" t="str">
        <f>"3900100060494"</f>
        <v>0</v>
      </c>
      <c r="F3575" t="str">
        <f>"000820"</f>
        <v>0</v>
      </c>
      <c r="G3575" t="s">
        <v>21</v>
      </c>
    </row>
    <row r="3576" spans="1:7">
      <c r="A3576">
        <v>3575</v>
      </c>
      <c r="B3576" t="str">
        <f>"010453"</f>
        <v>0</v>
      </c>
      <c r="C3576" t="s">
        <v>2445</v>
      </c>
      <c r="D3576" t="s">
        <v>6084</v>
      </c>
      <c r="E3576" t="str">
        <f>"3920600375940"</f>
        <v>0</v>
      </c>
      <c r="F3576" t="str">
        <f>"000820"</f>
        <v>0</v>
      </c>
      <c r="G3576" t="s">
        <v>21</v>
      </c>
    </row>
    <row r="3577" spans="1:7">
      <c r="A3577">
        <v>3576</v>
      </c>
      <c r="B3577" t="str">
        <f>"010545"</f>
        <v>0</v>
      </c>
      <c r="C3577" t="s">
        <v>4928</v>
      </c>
      <c r="D3577" t="s">
        <v>6085</v>
      </c>
      <c r="E3577" t="str">
        <f>"3909900564754"</f>
        <v>0</v>
      </c>
      <c r="F3577" t="str">
        <f>"000820"</f>
        <v>0</v>
      </c>
      <c r="G3577" t="s">
        <v>21</v>
      </c>
    </row>
    <row r="3578" spans="1:7">
      <c r="A3578">
        <v>3577</v>
      </c>
      <c r="B3578" t="str">
        <f>"010624"</f>
        <v>0</v>
      </c>
      <c r="C3578" t="s">
        <v>379</v>
      </c>
      <c r="D3578" t="s">
        <v>6086</v>
      </c>
      <c r="E3578" t="str">
        <f>"3901101099701"</f>
        <v>0</v>
      </c>
      <c r="F3578" t="str">
        <f>"000820"</f>
        <v>0</v>
      </c>
      <c r="G3578" t="s">
        <v>21</v>
      </c>
    </row>
    <row r="3579" spans="1:7">
      <c r="A3579">
        <v>3578</v>
      </c>
      <c r="B3579" t="str">
        <f>"010942"</f>
        <v>0</v>
      </c>
      <c r="C3579" t="s">
        <v>1988</v>
      </c>
      <c r="D3579" t="s">
        <v>6087</v>
      </c>
      <c r="E3579" t="str">
        <f>"3810500098708"</f>
        <v>0</v>
      </c>
      <c r="F3579" t="str">
        <f>"000820"</f>
        <v>0</v>
      </c>
      <c r="G3579" t="s">
        <v>21</v>
      </c>
    </row>
    <row r="3580" spans="1:7">
      <c r="A3580">
        <v>3579</v>
      </c>
      <c r="B3580" t="str">
        <f>"011321"</f>
        <v>0</v>
      </c>
      <c r="C3580" t="s">
        <v>6088</v>
      </c>
      <c r="D3580" t="s">
        <v>6089</v>
      </c>
      <c r="E3580" t="str">
        <f>"3929900084418"</f>
        <v>0</v>
      </c>
      <c r="F3580" t="str">
        <f>"000820"</f>
        <v>0</v>
      </c>
      <c r="G3580" t="s">
        <v>21</v>
      </c>
    </row>
    <row r="3581" spans="1:7">
      <c r="A3581">
        <v>3580</v>
      </c>
      <c r="B3581" t="str">
        <f>"011354"</f>
        <v>0</v>
      </c>
      <c r="C3581" t="s">
        <v>520</v>
      </c>
      <c r="D3581" t="s">
        <v>6090</v>
      </c>
      <c r="E3581" t="str">
        <f>"5920390004777"</f>
        <v>0</v>
      </c>
      <c r="F3581" t="str">
        <f>"000820"</f>
        <v>0</v>
      </c>
      <c r="G3581" t="s">
        <v>21</v>
      </c>
    </row>
    <row r="3582" spans="1:7">
      <c r="A3582">
        <v>3581</v>
      </c>
      <c r="B3582" t="str">
        <f>"011497"</f>
        <v>0</v>
      </c>
      <c r="C3582" t="s">
        <v>4797</v>
      </c>
      <c r="D3582" t="s">
        <v>6091</v>
      </c>
      <c r="E3582" t="str">
        <f>"3920600183056"</f>
        <v>0</v>
      </c>
      <c r="F3582" t="str">
        <f>"000820"</f>
        <v>0</v>
      </c>
      <c r="G3582" t="s">
        <v>21</v>
      </c>
    </row>
    <row r="3583" spans="1:7">
      <c r="A3583">
        <v>3582</v>
      </c>
      <c r="B3583" t="str">
        <f>"013739"</f>
        <v>0</v>
      </c>
      <c r="C3583" t="s">
        <v>6092</v>
      </c>
      <c r="D3583" t="s">
        <v>6093</v>
      </c>
      <c r="E3583" t="str">
        <f>"3930800243222"</f>
        <v>0</v>
      </c>
      <c r="F3583" t="str">
        <f>"000820"</f>
        <v>0</v>
      </c>
      <c r="G3583" t="s">
        <v>21</v>
      </c>
    </row>
    <row r="3584" spans="1:7">
      <c r="A3584">
        <v>3583</v>
      </c>
      <c r="B3584" t="str">
        <f>"014168"</f>
        <v>0</v>
      </c>
      <c r="C3584" t="s">
        <v>4967</v>
      </c>
      <c r="D3584" t="s">
        <v>6094</v>
      </c>
      <c r="E3584" t="str">
        <f>"3740300363221"</f>
        <v>0</v>
      </c>
      <c r="F3584" t="str">
        <f>"000820"</f>
        <v>0</v>
      </c>
      <c r="G3584" t="s">
        <v>21</v>
      </c>
    </row>
    <row r="3585" spans="1:7">
      <c r="A3585">
        <v>3584</v>
      </c>
      <c r="B3585" t="str">
        <f>"015046"</f>
        <v>0</v>
      </c>
      <c r="C3585" t="s">
        <v>458</v>
      </c>
      <c r="D3585" t="s">
        <v>6095</v>
      </c>
      <c r="E3585" t="str">
        <f>"3920100545692"</f>
        <v>0</v>
      </c>
      <c r="F3585" t="str">
        <f>"000820"</f>
        <v>0</v>
      </c>
      <c r="G3585" t="s">
        <v>21</v>
      </c>
    </row>
    <row r="3586" spans="1:7">
      <c r="A3586">
        <v>3585</v>
      </c>
      <c r="B3586" t="str">
        <f>"016459"</f>
        <v>0</v>
      </c>
      <c r="C3586" t="s">
        <v>955</v>
      </c>
      <c r="D3586" t="s">
        <v>6096</v>
      </c>
      <c r="E3586" t="str">
        <f>"3920600730251"</f>
        <v>0</v>
      </c>
      <c r="F3586" t="str">
        <f>"000820"</f>
        <v>0</v>
      </c>
      <c r="G3586" t="s">
        <v>21</v>
      </c>
    </row>
    <row r="3587" spans="1:7">
      <c r="A3587">
        <v>3586</v>
      </c>
      <c r="B3587" t="str">
        <f>"018363"</f>
        <v>0</v>
      </c>
      <c r="C3587" t="s">
        <v>6097</v>
      </c>
      <c r="D3587" t="s">
        <v>6098</v>
      </c>
      <c r="E3587" t="str">
        <f>"3860500058358"</f>
        <v>0</v>
      </c>
      <c r="F3587" t="str">
        <f>"000820"</f>
        <v>0</v>
      </c>
      <c r="G3587" t="s">
        <v>21</v>
      </c>
    </row>
    <row r="3588" spans="1:7">
      <c r="A3588">
        <v>3587</v>
      </c>
      <c r="B3588" t="str">
        <f>"019037"</f>
        <v>0</v>
      </c>
      <c r="C3588" t="s">
        <v>1093</v>
      </c>
      <c r="D3588" t="s">
        <v>6099</v>
      </c>
      <c r="E3588" t="str">
        <f>"3920600635160"</f>
        <v>0</v>
      </c>
      <c r="F3588" t="str">
        <f>"000820"</f>
        <v>0</v>
      </c>
      <c r="G3588" t="s">
        <v>21</v>
      </c>
    </row>
    <row r="3589" spans="1:7">
      <c r="A3589">
        <v>3588</v>
      </c>
      <c r="B3589" t="str">
        <f>"019302"</f>
        <v>0</v>
      </c>
      <c r="C3589" t="s">
        <v>6100</v>
      </c>
      <c r="D3589" t="s">
        <v>6101</v>
      </c>
      <c r="E3589" t="str">
        <f>"3929900251225"</f>
        <v>0</v>
      </c>
      <c r="F3589" t="str">
        <f>"000820"</f>
        <v>0</v>
      </c>
      <c r="G3589" t="s">
        <v>21</v>
      </c>
    </row>
    <row r="3590" spans="1:7">
      <c r="A3590">
        <v>3589</v>
      </c>
      <c r="B3590" t="str">
        <f>"019396"</f>
        <v>0</v>
      </c>
      <c r="C3590" t="s">
        <v>5965</v>
      </c>
      <c r="D3590" t="s">
        <v>6102</v>
      </c>
      <c r="E3590" t="str">
        <f>"3800901078007"</f>
        <v>0</v>
      </c>
      <c r="F3590" t="str">
        <f>"000820"</f>
        <v>0</v>
      </c>
      <c r="G3590" t="s">
        <v>21</v>
      </c>
    </row>
    <row r="3591" spans="1:7">
      <c r="A3591">
        <v>3590</v>
      </c>
      <c r="B3591" t="str">
        <f>"019629"</f>
        <v>0</v>
      </c>
      <c r="C3591" t="s">
        <v>197</v>
      </c>
      <c r="D3591" t="s">
        <v>6103</v>
      </c>
      <c r="E3591" t="str">
        <f>"3920100645557"</f>
        <v>0</v>
      </c>
      <c r="F3591" t="str">
        <f>"000820"</f>
        <v>0</v>
      </c>
      <c r="G3591" t="s">
        <v>21</v>
      </c>
    </row>
    <row r="3592" spans="1:7">
      <c r="A3592">
        <v>3591</v>
      </c>
      <c r="B3592" t="str">
        <f>"020956"</f>
        <v>0</v>
      </c>
      <c r="C3592" t="s">
        <v>6104</v>
      </c>
      <c r="D3592" t="s">
        <v>6105</v>
      </c>
      <c r="E3592" t="str">
        <f>"3900500138555"</f>
        <v>0</v>
      </c>
      <c r="F3592" t="str">
        <f>"000820"</f>
        <v>0</v>
      </c>
      <c r="G3592" t="s">
        <v>21</v>
      </c>
    </row>
    <row r="3593" spans="1:7">
      <c r="A3593">
        <v>3592</v>
      </c>
      <c r="B3593" t="str">
        <f>"021010"</f>
        <v>0</v>
      </c>
      <c r="C3593" t="s">
        <v>6106</v>
      </c>
      <c r="D3593" t="s">
        <v>6107</v>
      </c>
      <c r="E3593" t="str">
        <f>"3920100438993"</f>
        <v>0</v>
      </c>
      <c r="F3593" t="str">
        <f>"000820"</f>
        <v>0</v>
      </c>
      <c r="G3593" t="s">
        <v>21</v>
      </c>
    </row>
    <row r="3594" spans="1:7">
      <c r="A3594">
        <v>3593</v>
      </c>
      <c r="B3594" t="str">
        <f>"021205"</f>
        <v>0</v>
      </c>
      <c r="C3594" t="s">
        <v>6108</v>
      </c>
      <c r="D3594" t="s">
        <v>4735</v>
      </c>
      <c r="E3594" t="str">
        <f>"3920400540319"</f>
        <v>0</v>
      </c>
      <c r="F3594" t="str">
        <f>"000820"</f>
        <v>0</v>
      </c>
      <c r="G3594" t="s">
        <v>21</v>
      </c>
    </row>
    <row r="3595" spans="1:7">
      <c r="A3595">
        <v>3594</v>
      </c>
      <c r="B3595" t="str">
        <f>"021997"</f>
        <v>0</v>
      </c>
      <c r="C3595" t="s">
        <v>6109</v>
      </c>
      <c r="D3595" t="s">
        <v>6110</v>
      </c>
      <c r="E3595" t="str">
        <f>"3410400652740"</f>
        <v>0</v>
      </c>
      <c r="F3595" t="str">
        <f>"000820"</f>
        <v>0</v>
      </c>
      <c r="G3595" t="s">
        <v>21</v>
      </c>
    </row>
    <row r="3596" spans="1:7">
      <c r="A3596">
        <v>3595</v>
      </c>
      <c r="B3596" t="str">
        <f>"022021"</f>
        <v>0</v>
      </c>
      <c r="C3596" t="s">
        <v>6111</v>
      </c>
      <c r="D3596" t="s">
        <v>6112</v>
      </c>
      <c r="E3596" t="str">
        <f>"3920200076295"</f>
        <v>0</v>
      </c>
      <c r="F3596" t="str">
        <f>"000820"</f>
        <v>0</v>
      </c>
      <c r="G3596" t="s">
        <v>21</v>
      </c>
    </row>
    <row r="3597" spans="1:7">
      <c r="A3597">
        <v>3596</v>
      </c>
      <c r="B3597" t="str">
        <f>"022080"</f>
        <v>0</v>
      </c>
      <c r="C3597" t="s">
        <v>6113</v>
      </c>
      <c r="D3597" t="s">
        <v>6114</v>
      </c>
      <c r="E3597" t="str">
        <f>"3920500147911"</f>
        <v>0</v>
      </c>
      <c r="F3597" t="str">
        <f>"000820"</f>
        <v>0</v>
      </c>
      <c r="G3597" t="s">
        <v>21</v>
      </c>
    </row>
    <row r="3598" spans="1:7">
      <c r="A3598">
        <v>3597</v>
      </c>
      <c r="B3598" t="str">
        <f>"022083"</f>
        <v>0</v>
      </c>
      <c r="C3598" t="s">
        <v>6115</v>
      </c>
      <c r="D3598" t="s">
        <v>6116</v>
      </c>
      <c r="E3598" t="str">
        <f>"3929900254364"</f>
        <v>0</v>
      </c>
      <c r="F3598" t="str">
        <f>"000820"</f>
        <v>0</v>
      </c>
      <c r="G3598" t="s">
        <v>21</v>
      </c>
    </row>
    <row r="3599" spans="1:7">
      <c r="A3599">
        <v>3598</v>
      </c>
      <c r="B3599" t="str">
        <f>"022702"</f>
        <v>0</v>
      </c>
      <c r="C3599" t="s">
        <v>6117</v>
      </c>
      <c r="D3599" t="s">
        <v>6118</v>
      </c>
      <c r="E3599" t="str">
        <f>"3920300013708"</f>
        <v>0</v>
      </c>
      <c r="F3599" t="str">
        <f>"000820"</f>
        <v>0</v>
      </c>
      <c r="G3599" t="s">
        <v>21</v>
      </c>
    </row>
    <row r="3600" spans="1:7">
      <c r="A3600">
        <v>3599</v>
      </c>
      <c r="B3600" t="str">
        <f>"023413"</f>
        <v>0</v>
      </c>
      <c r="C3600" t="s">
        <v>6119</v>
      </c>
      <c r="D3600" t="s">
        <v>6120</v>
      </c>
      <c r="E3600" t="str">
        <f>"1929900105923"</f>
        <v>0</v>
      </c>
      <c r="F3600" t="str">
        <f>"000820"</f>
        <v>0</v>
      </c>
      <c r="G3600" t="s">
        <v>21</v>
      </c>
    </row>
    <row r="3601" spans="1:7">
      <c r="A3601">
        <v>3600</v>
      </c>
      <c r="B3601" t="str">
        <f>"023805"</f>
        <v>0</v>
      </c>
      <c r="C3601" t="s">
        <v>5070</v>
      </c>
      <c r="D3601" t="s">
        <v>6121</v>
      </c>
      <c r="E3601" t="str">
        <f>"1920100090966"</f>
        <v>0</v>
      </c>
      <c r="F3601" t="str">
        <f>"000820"</f>
        <v>0</v>
      </c>
      <c r="G3601" t="s">
        <v>21</v>
      </c>
    </row>
    <row r="3602" spans="1:7">
      <c r="A3602">
        <v>3601</v>
      </c>
      <c r="B3602" t="str">
        <f>"023829"</f>
        <v>0</v>
      </c>
      <c r="C3602" t="s">
        <v>6122</v>
      </c>
      <c r="D3602" t="s">
        <v>6123</v>
      </c>
      <c r="E3602" t="str">
        <f>"1929900037006"</f>
        <v>0</v>
      </c>
      <c r="F3602" t="str">
        <f>"000820"</f>
        <v>0</v>
      </c>
      <c r="G3602" t="s">
        <v>21</v>
      </c>
    </row>
    <row r="3603" spans="1:7">
      <c r="A3603">
        <v>3602</v>
      </c>
      <c r="B3603" t="str">
        <f>"024003"</f>
        <v>0</v>
      </c>
      <c r="C3603" t="s">
        <v>6124</v>
      </c>
      <c r="D3603" t="s">
        <v>6125</v>
      </c>
      <c r="E3603" t="str">
        <f>"1801700004272"</f>
        <v>0</v>
      </c>
      <c r="F3603" t="str">
        <f>"000820"</f>
        <v>0</v>
      </c>
      <c r="G3603" t="s">
        <v>21</v>
      </c>
    </row>
    <row r="3604" spans="1:7">
      <c r="A3604">
        <v>3603</v>
      </c>
      <c r="B3604" t="str">
        <f>"024700"</f>
        <v>0</v>
      </c>
      <c r="C3604" t="s">
        <v>6126</v>
      </c>
      <c r="D3604" t="s">
        <v>6127</v>
      </c>
      <c r="E3604" t="str">
        <f>"3920100132762"</f>
        <v>0</v>
      </c>
      <c r="F3604" t="str">
        <f>"000820"</f>
        <v>0</v>
      </c>
      <c r="G3604" t="s">
        <v>21</v>
      </c>
    </row>
    <row r="3605" spans="1:7">
      <c r="A3605">
        <v>3604</v>
      </c>
      <c r="B3605" t="str">
        <f>"024764"</f>
        <v>0</v>
      </c>
      <c r="C3605" t="s">
        <v>6128</v>
      </c>
      <c r="D3605" t="s">
        <v>6129</v>
      </c>
      <c r="E3605" t="str">
        <f>"1920100092489"</f>
        <v>0</v>
      </c>
      <c r="F3605" t="str">
        <f>"000820"</f>
        <v>0</v>
      </c>
      <c r="G3605" t="s">
        <v>21</v>
      </c>
    </row>
    <row r="3606" spans="1:7">
      <c r="A3606">
        <v>3605</v>
      </c>
      <c r="B3606" t="str">
        <f>"024937"</f>
        <v>0</v>
      </c>
      <c r="C3606" t="s">
        <v>6130</v>
      </c>
      <c r="D3606" t="s">
        <v>6131</v>
      </c>
      <c r="E3606" t="str">
        <f>"1920100022651"</f>
        <v>0</v>
      </c>
      <c r="F3606" t="str">
        <f>"000820"</f>
        <v>0</v>
      </c>
      <c r="G3606" t="s">
        <v>21</v>
      </c>
    </row>
    <row r="3607" spans="1:7">
      <c r="A3607">
        <v>3606</v>
      </c>
      <c r="B3607" t="str">
        <f>"024938"</f>
        <v>0</v>
      </c>
      <c r="C3607" t="s">
        <v>6132</v>
      </c>
      <c r="D3607" t="s">
        <v>6133</v>
      </c>
      <c r="E3607" t="str">
        <f>"3920300143091"</f>
        <v>0</v>
      </c>
      <c r="F3607" t="str">
        <f>"000820"</f>
        <v>0</v>
      </c>
      <c r="G3607" t="s">
        <v>21</v>
      </c>
    </row>
    <row r="3608" spans="1:7">
      <c r="A3608">
        <v>3607</v>
      </c>
      <c r="B3608" t="str">
        <f>"025027"</f>
        <v>0</v>
      </c>
      <c r="C3608" t="s">
        <v>6134</v>
      </c>
      <c r="D3608" t="s">
        <v>6135</v>
      </c>
      <c r="E3608" t="str">
        <f>"3920101022928"</f>
        <v>0</v>
      </c>
      <c r="F3608" t="str">
        <f>"000820"</f>
        <v>0</v>
      </c>
      <c r="G3608" t="s">
        <v>21</v>
      </c>
    </row>
    <row r="3609" spans="1:7">
      <c r="A3609">
        <v>3608</v>
      </c>
      <c r="B3609" t="str">
        <f>"025102"</f>
        <v>0</v>
      </c>
      <c r="C3609" t="s">
        <v>6136</v>
      </c>
      <c r="D3609" t="s">
        <v>6137</v>
      </c>
      <c r="E3609" t="str">
        <f>"3920600031094"</f>
        <v>0</v>
      </c>
      <c r="F3609" t="str">
        <f>"000820"</f>
        <v>0</v>
      </c>
      <c r="G3609" t="s">
        <v>21</v>
      </c>
    </row>
    <row r="3610" spans="1:7">
      <c r="A3610">
        <v>3609</v>
      </c>
      <c r="B3610" t="str">
        <f>"025873"</f>
        <v>0</v>
      </c>
      <c r="C3610" t="s">
        <v>6138</v>
      </c>
      <c r="D3610" t="s">
        <v>6139</v>
      </c>
      <c r="E3610" t="str">
        <f>"1929800071261"</f>
        <v>0</v>
      </c>
      <c r="F3610" t="str">
        <f>"000820"</f>
        <v>0</v>
      </c>
      <c r="G3610" t="s">
        <v>21</v>
      </c>
    </row>
    <row r="3611" spans="1:7">
      <c r="A3611">
        <v>3610</v>
      </c>
      <c r="B3611" t="str">
        <f>"025874"</f>
        <v>0</v>
      </c>
      <c r="C3611" t="s">
        <v>6140</v>
      </c>
      <c r="D3611" t="s">
        <v>6141</v>
      </c>
      <c r="E3611" t="str">
        <f>"3571000065855"</f>
        <v>0</v>
      </c>
      <c r="F3611" t="str">
        <f>"000820"</f>
        <v>0</v>
      </c>
      <c r="G3611" t="s">
        <v>21</v>
      </c>
    </row>
    <row r="3612" spans="1:7">
      <c r="A3612">
        <v>3611</v>
      </c>
      <c r="B3612" t="str">
        <f>"025875"</f>
        <v>0</v>
      </c>
      <c r="C3612" t="s">
        <v>6142</v>
      </c>
      <c r="D3612" t="s">
        <v>6143</v>
      </c>
      <c r="E3612" t="str">
        <f>"3920600826437"</f>
        <v>0</v>
      </c>
      <c r="F3612" t="str">
        <f>"000820"</f>
        <v>0</v>
      </c>
      <c r="G3612" t="s">
        <v>21</v>
      </c>
    </row>
    <row r="3613" spans="1:7">
      <c r="A3613">
        <v>3612</v>
      </c>
      <c r="B3613" t="str">
        <f>"026618"</f>
        <v>0</v>
      </c>
      <c r="C3613" t="s">
        <v>6144</v>
      </c>
      <c r="D3613" t="s">
        <v>6145</v>
      </c>
      <c r="E3613" t="str">
        <f>"1930500011095"</f>
        <v>0</v>
      </c>
      <c r="F3613" t="str">
        <f>"000820"</f>
        <v>0</v>
      </c>
      <c r="G3613" t="s">
        <v>21</v>
      </c>
    </row>
    <row r="3614" spans="1:7">
      <c r="A3614">
        <v>3613</v>
      </c>
      <c r="B3614" t="str">
        <f>"026682"</f>
        <v>0</v>
      </c>
      <c r="C3614" t="s">
        <v>6146</v>
      </c>
      <c r="D3614" t="s">
        <v>6147</v>
      </c>
      <c r="E3614" t="str">
        <f>"1929900084209"</f>
        <v>0</v>
      </c>
      <c r="F3614" t="str">
        <f>"000820"</f>
        <v>0</v>
      </c>
      <c r="G3614" t="s">
        <v>21</v>
      </c>
    </row>
    <row r="3615" spans="1:7">
      <c r="A3615">
        <v>3614</v>
      </c>
      <c r="B3615" t="str">
        <f>"026704"</f>
        <v>0</v>
      </c>
      <c r="C3615" t="s">
        <v>911</v>
      </c>
      <c r="D3615" t="s">
        <v>6148</v>
      </c>
      <c r="E3615" t="str">
        <f>"1929800077758"</f>
        <v>0</v>
      </c>
      <c r="F3615" t="str">
        <f>"000820"</f>
        <v>0</v>
      </c>
      <c r="G3615" t="s">
        <v>21</v>
      </c>
    </row>
    <row r="3616" spans="1:7">
      <c r="A3616">
        <v>3615</v>
      </c>
      <c r="B3616" t="str">
        <f>"027341"</f>
        <v>0</v>
      </c>
      <c r="C3616" t="s">
        <v>6149</v>
      </c>
      <c r="D3616" t="s">
        <v>6150</v>
      </c>
      <c r="E3616" t="str">
        <f>"1920300070501"</f>
        <v>0</v>
      </c>
      <c r="F3616" t="str">
        <f>"000820"</f>
        <v>0</v>
      </c>
      <c r="G3616" t="s">
        <v>21</v>
      </c>
    </row>
    <row r="3617" spans="1:7">
      <c r="A3617">
        <v>3616</v>
      </c>
      <c r="B3617" t="str">
        <f>"027344"</f>
        <v>0</v>
      </c>
      <c r="C3617" t="s">
        <v>3992</v>
      </c>
      <c r="D3617" t="s">
        <v>6151</v>
      </c>
      <c r="E3617" t="str">
        <f>"3920100753643"</f>
        <v>0</v>
      </c>
      <c r="F3617" t="str">
        <f>"000820"</f>
        <v>0</v>
      </c>
      <c r="G3617" t="s">
        <v>21</v>
      </c>
    </row>
    <row r="3618" spans="1:7">
      <c r="A3618">
        <v>3617</v>
      </c>
      <c r="B3618" t="str">
        <f>"024005"</f>
        <v>0</v>
      </c>
      <c r="C3618" t="s">
        <v>6152</v>
      </c>
      <c r="D3618" t="s">
        <v>6153</v>
      </c>
      <c r="E3618" t="str">
        <f>"1939900089928"</f>
        <v>0</v>
      </c>
      <c r="F3618" t="str">
        <f>"000820"</f>
        <v>0</v>
      </c>
      <c r="G3618" t="s">
        <v>21</v>
      </c>
    </row>
    <row r="3619" spans="1:7">
      <c r="A3619">
        <v>3618</v>
      </c>
      <c r="B3619" t="str">
        <f>"025269"</f>
        <v>0</v>
      </c>
      <c r="C3619" t="s">
        <v>6154</v>
      </c>
      <c r="D3619" t="s">
        <v>6155</v>
      </c>
      <c r="E3619" t="str">
        <f>"3930800209431"</f>
        <v>0</v>
      </c>
      <c r="F3619" t="str">
        <f>"000820"</f>
        <v>0</v>
      </c>
      <c r="G3619" t="s">
        <v>21</v>
      </c>
    </row>
    <row r="3620" spans="1:7">
      <c r="A3620">
        <v>3619</v>
      </c>
      <c r="B3620" t="str">
        <f>"025621"</f>
        <v>0</v>
      </c>
      <c r="C3620" t="s">
        <v>5473</v>
      </c>
      <c r="D3620" t="s">
        <v>6156</v>
      </c>
      <c r="E3620" t="str">
        <f>"1930500126631"</f>
        <v>0</v>
      </c>
      <c r="F3620" t="str">
        <f>"000820"</f>
        <v>0</v>
      </c>
      <c r="G3620" t="s">
        <v>21</v>
      </c>
    </row>
    <row r="3621" spans="1:7">
      <c r="A3621">
        <v>3620</v>
      </c>
      <c r="B3621" t="str">
        <f>"026125"</f>
        <v>0</v>
      </c>
      <c r="C3621" t="s">
        <v>6157</v>
      </c>
      <c r="D3621" t="s">
        <v>823</v>
      </c>
      <c r="E3621" t="str">
        <f>"1939900267460"</f>
        <v>0</v>
      </c>
      <c r="F3621" t="str">
        <f>"000820"</f>
        <v>0</v>
      </c>
      <c r="G3621" t="s">
        <v>21</v>
      </c>
    </row>
    <row r="3622" spans="1:7">
      <c r="A3622">
        <v>3621</v>
      </c>
      <c r="B3622" t="str">
        <f>"026328"</f>
        <v>0</v>
      </c>
      <c r="C3622" t="s">
        <v>6158</v>
      </c>
      <c r="D3622" t="s">
        <v>6159</v>
      </c>
      <c r="E3622" t="str">
        <f>"1930100091890"</f>
        <v>0</v>
      </c>
      <c r="F3622" t="str">
        <f>"000820"</f>
        <v>0</v>
      </c>
      <c r="G3622" t="s">
        <v>21</v>
      </c>
    </row>
    <row r="3623" spans="1:7">
      <c r="A3623">
        <v>3622</v>
      </c>
      <c r="B3623" t="str">
        <f>"026700"</f>
        <v>0</v>
      </c>
      <c r="C3623" t="s">
        <v>6160</v>
      </c>
      <c r="D3623" t="s">
        <v>6161</v>
      </c>
      <c r="E3623" t="str">
        <f>"3930700068836"</f>
        <v>0</v>
      </c>
      <c r="F3623" t="str">
        <f>"000820"</f>
        <v>0</v>
      </c>
      <c r="G3623" t="s">
        <v>21</v>
      </c>
    </row>
    <row r="3624" spans="1:7">
      <c r="A3624">
        <v>3623</v>
      </c>
      <c r="B3624" t="str">
        <f>"027346"</f>
        <v>0</v>
      </c>
      <c r="C3624" t="s">
        <v>6162</v>
      </c>
      <c r="D3624" t="s">
        <v>6163</v>
      </c>
      <c r="E3624" t="str">
        <f>"1939900103998"</f>
        <v>0</v>
      </c>
      <c r="F3624" t="str">
        <f>"000820"</f>
        <v>0</v>
      </c>
      <c r="G3624" t="s">
        <v>21</v>
      </c>
    </row>
    <row r="3625" spans="1:7">
      <c r="A3625">
        <v>3624</v>
      </c>
      <c r="B3625" t="str">
        <f>"025268"</f>
        <v>0</v>
      </c>
      <c r="C3625" t="s">
        <v>6164</v>
      </c>
      <c r="D3625" t="s">
        <v>6165</v>
      </c>
      <c r="E3625" t="str">
        <f>"1949800003771"</f>
        <v>0</v>
      </c>
      <c r="F3625" t="str">
        <f>"000820"</f>
        <v>0</v>
      </c>
      <c r="G3625" t="s">
        <v>21</v>
      </c>
    </row>
    <row r="3626" spans="1:7">
      <c r="A3626">
        <v>3625</v>
      </c>
      <c r="B3626" t="str">
        <f>"026421"</f>
        <v>0</v>
      </c>
      <c r="C3626" t="s">
        <v>6166</v>
      </c>
      <c r="D3626" t="s">
        <v>6167</v>
      </c>
      <c r="E3626" t="str">
        <f>"1949900034295"</f>
        <v>0</v>
      </c>
      <c r="F3626" t="str">
        <f>"000820"</f>
        <v>0</v>
      </c>
      <c r="G3626" t="s">
        <v>21</v>
      </c>
    </row>
    <row r="3627" spans="1:7">
      <c r="A3627">
        <v>3626</v>
      </c>
      <c r="B3627" t="str">
        <f>"017412"</f>
        <v>0</v>
      </c>
      <c r="C3627" t="s">
        <v>160</v>
      </c>
      <c r="D3627" t="s">
        <v>3536</v>
      </c>
      <c r="E3627" t="str">
        <f>"3800900137085"</f>
        <v>0</v>
      </c>
      <c r="F3627" t="str">
        <f>"000820"</f>
        <v>0</v>
      </c>
      <c r="G3627" t="s">
        <v>21</v>
      </c>
    </row>
    <row r="3628" spans="1:7">
      <c r="A3628">
        <v>3627</v>
      </c>
      <c r="B3628" t="str">
        <f>"027115"</f>
        <v>0</v>
      </c>
      <c r="C3628" t="s">
        <v>6168</v>
      </c>
      <c r="D3628" t="s">
        <v>6169</v>
      </c>
      <c r="E3628" t="str">
        <f>"1809900559861"</f>
        <v>0</v>
      </c>
      <c r="F3628" t="str">
        <f>"000820"</f>
        <v>0</v>
      </c>
      <c r="G3628" t="s">
        <v>21</v>
      </c>
    </row>
    <row r="3629" spans="1:7">
      <c r="A3629">
        <v>3628</v>
      </c>
      <c r="B3629" t="str">
        <f>"010794"</f>
        <v>0</v>
      </c>
      <c r="C3629" t="s">
        <v>6170</v>
      </c>
      <c r="D3629" t="s">
        <v>6171</v>
      </c>
      <c r="E3629" t="str">
        <f>"3900200224588"</f>
        <v>0</v>
      </c>
      <c r="F3629" t="str">
        <f>"000820"</f>
        <v>0</v>
      </c>
      <c r="G3629" t="s">
        <v>21</v>
      </c>
    </row>
    <row r="3630" spans="1:7">
      <c r="A3630">
        <v>3629</v>
      </c>
      <c r="B3630" t="str">
        <f>"011530"</f>
        <v>0</v>
      </c>
      <c r="C3630" t="s">
        <v>6172</v>
      </c>
      <c r="D3630" t="s">
        <v>6173</v>
      </c>
      <c r="E3630" t="str">
        <f>"3920100562121"</f>
        <v>0</v>
      </c>
      <c r="F3630" t="str">
        <f>"000820"</f>
        <v>0</v>
      </c>
      <c r="G3630" t="s">
        <v>21</v>
      </c>
    </row>
    <row r="3631" spans="1:7">
      <c r="A3631">
        <v>3630</v>
      </c>
      <c r="B3631" t="str">
        <f>"015766"</f>
        <v>0</v>
      </c>
      <c r="C3631" t="s">
        <v>6174</v>
      </c>
      <c r="D3631" t="s">
        <v>6175</v>
      </c>
      <c r="E3631" t="str">
        <f>"3930100798507"</f>
        <v>0</v>
      </c>
      <c r="F3631" t="str">
        <f>"000820"</f>
        <v>0</v>
      </c>
      <c r="G3631" t="s">
        <v>21</v>
      </c>
    </row>
    <row r="3632" spans="1:7">
      <c r="A3632">
        <v>3631</v>
      </c>
      <c r="B3632" t="str">
        <f>"016980"</f>
        <v>0</v>
      </c>
      <c r="C3632" t="s">
        <v>1988</v>
      </c>
      <c r="D3632" t="s">
        <v>6176</v>
      </c>
      <c r="E3632" t="str">
        <f>"3920200177971"</f>
        <v>0</v>
      </c>
      <c r="F3632" t="str">
        <f>"000820"</f>
        <v>0</v>
      </c>
      <c r="G3632" t="s">
        <v>21</v>
      </c>
    </row>
    <row r="3633" spans="1:7">
      <c r="A3633">
        <v>3632</v>
      </c>
      <c r="B3633" t="str">
        <f>"020553"</f>
        <v>0</v>
      </c>
      <c r="C3633" t="s">
        <v>6177</v>
      </c>
      <c r="D3633" t="s">
        <v>6178</v>
      </c>
      <c r="E3633" t="str">
        <f>"3929800101850"</f>
        <v>0</v>
      </c>
      <c r="F3633" t="str">
        <f>"000820"</f>
        <v>0</v>
      </c>
      <c r="G3633" t="s">
        <v>21</v>
      </c>
    </row>
    <row r="3634" spans="1:7">
      <c r="A3634">
        <v>3633</v>
      </c>
      <c r="B3634" t="str">
        <f>"023803"</f>
        <v>0</v>
      </c>
      <c r="C3634" t="s">
        <v>6179</v>
      </c>
      <c r="D3634" t="s">
        <v>6180</v>
      </c>
      <c r="E3634" t="str">
        <f>"3929900258742"</f>
        <v>0</v>
      </c>
      <c r="F3634" t="str">
        <f>"000820"</f>
        <v>0</v>
      </c>
      <c r="G3634" t="s">
        <v>21</v>
      </c>
    </row>
    <row r="3635" spans="1:7">
      <c r="A3635">
        <v>3634</v>
      </c>
      <c r="B3635" t="str">
        <f>"025211"</f>
        <v>0</v>
      </c>
      <c r="C3635" t="s">
        <v>6181</v>
      </c>
      <c r="D3635" t="s">
        <v>6182</v>
      </c>
      <c r="E3635" t="str">
        <f>"3411600399577"</f>
        <v>0</v>
      </c>
      <c r="F3635" t="str">
        <f>"000820"</f>
        <v>0</v>
      </c>
      <c r="G3635" t="s">
        <v>21</v>
      </c>
    </row>
    <row r="3636" spans="1:7">
      <c r="A3636">
        <v>3635</v>
      </c>
      <c r="B3636" t="str">
        <f>"000903"</f>
        <v>0</v>
      </c>
      <c r="C3636" t="s">
        <v>48</v>
      </c>
      <c r="D3636" t="s">
        <v>6183</v>
      </c>
      <c r="E3636" t="str">
        <f>"3260200203595"</f>
        <v>0</v>
      </c>
      <c r="F3636" t="str">
        <f>"000830"</f>
        <v>0</v>
      </c>
      <c r="G3636" t="s">
        <v>21</v>
      </c>
    </row>
    <row r="3637" spans="1:7">
      <c r="A3637">
        <v>3636</v>
      </c>
      <c r="B3637" t="str">
        <f>"001565"</f>
        <v>0</v>
      </c>
      <c r="C3637" t="s">
        <v>6184</v>
      </c>
      <c r="D3637" t="s">
        <v>6185</v>
      </c>
      <c r="E3637" t="str">
        <f>"3269900074290"</f>
        <v>0</v>
      </c>
      <c r="F3637" t="str">
        <f>"000830"</f>
        <v>0</v>
      </c>
      <c r="G3637" t="s">
        <v>21</v>
      </c>
    </row>
    <row r="3638" spans="1:7">
      <c r="A3638">
        <v>3637</v>
      </c>
      <c r="B3638" t="str">
        <f>"001665"</f>
        <v>0</v>
      </c>
      <c r="C3638" t="s">
        <v>6186</v>
      </c>
      <c r="D3638" t="s">
        <v>6187</v>
      </c>
      <c r="E3638" t="str">
        <f>"3260300367719"</f>
        <v>0</v>
      </c>
      <c r="F3638" t="str">
        <f>"000830"</f>
        <v>0</v>
      </c>
      <c r="G3638" t="s">
        <v>21</v>
      </c>
    </row>
    <row r="3639" spans="1:7">
      <c r="A3639">
        <v>3638</v>
      </c>
      <c r="B3639" t="str">
        <f>"001990"</f>
        <v>0</v>
      </c>
      <c r="C3639" t="s">
        <v>570</v>
      </c>
      <c r="D3639" t="s">
        <v>6188</v>
      </c>
      <c r="E3639" t="str">
        <f>"3100600658981"</f>
        <v>0</v>
      </c>
      <c r="F3639" t="str">
        <f>"000830"</f>
        <v>0</v>
      </c>
      <c r="G3639" t="s">
        <v>21</v>
      </c>
    </row>
    <row r="3640" spans="1:7">
      <c r="A3640">
        <v>3639</v>
      </c>
      <c r="B3640" t="str">
        <f>"002103"</f>
        <v>0</v>
      </c>
      <c r="C3640" t="s">
        <v>4781</v>
      </c>
      <c r="D3640" t="s">
        <v>6189</v>
      </c>
      <c r="E3640" t="str">
        <f>"4269900001070"</f>
        <v>0</v>
      </c>
      <c r="F3640" t="str">
        <f>"000830"</f>
        <v>0</v>
      </c>
      <c r="G3640" t="s">
        <v>21</v>
      </c>
    </row>
    <row r="3641" spans="1:7">
      <c r="A3641">
        <v>3640</v>
      </c>
      <c r="B3641" t="str">
        <f>"003196"</f>
        <v>0</v>
      </c>
      <c r="C3641" t="s">
        <v>6190</v>
      </c>
      <c r="D3641" t="s">
        <v>6191</v>
      </c>
      <c r="E3641" t="str">
        <f>"3350400650390"</f>
        <v>0</v>
      </c>
      <c r="F3641" t="str">
        <f>"000830"</f>
        <v>0</v>
      </c>
      <c r="G3641" t="s">
        <v>21</v>
      </c>
    </row>
    <row r="3642" spans="1:7">
      <c r="A3642">
        <v>3641</v>
      </c>
      <c r="B3642" t="str">
        <f>"003412"</f>
        <v>0</v>
      </c>
      <c r="C3642" t="s">
        <v>6192</v>
      </c>
      <c r="D3642" t="s">
        <v>6193</v>
      </c>
      <c r="E3642" t="str">
        <f>"3269900010399"</f>
        <v>0</v>
      </c>
      <c r="F3642" t="str">
        <f>"000830"</f>
        <v>0</v>
      </c>
      <c r="G3642" t="s">
        <v>21</v>
      </c>
    </row>
    <row r="3643" spans="1:7">
      <c r="A3643">
        <v>3642</v>
      </c>
      <c r="B3643" t="str">
        <f>"004105"</f>
        <v>0</v>
      </c>
      <c r="C3643" t="s">
        <v>6194</v>
      </c>
      <c r="D3643" t="s">
        <v>6195</v>
      </c>
      <c r="E3643" t="str">
        <f>"3260300527805"</f>
        <v>0</v>
      </c>
      <c r="F3643" t="str">
        <f>"000830"</f>
        <v>0</v>
      </c>
      <c r="G3643" t="s">
        <v>21</v>
      </c>
    </row>
    <row r="3644" spans="1:7">
      <c r="A3644">
        <v>3643</v>
      </c>
      <c r="B3644" t="str">
        <f>"004459"</f>
        <v>0</v>
      </c>
      <c r="C3644" t="s">
        <v>140</v>
      </c>
      <c r="D3644" t="s">
        <v>6169</v>
      </c>
      <c r="E3644" t="str">
        <f>"3190400221385"</f>
        <v>0</v>
      </c>
      <c r="F3644" t="str">
        <f>"000830"</f>
        <v>0</v>
      </c>
      <c r="G3644" t="s">
        <v>21</v>
      </c>
    </row>
    <row r="3645" spans="1:7">
      <c r="A3645">
        <v>3644</v>
      </c>
      <c r="B3645" t="str">
        <f>"006078"</f>
        <v>0</v>
      </c>
      <c r="C3645" t="s">
        <v>655</v>
      </c>
      <c r="D3645" t="s">
        <v>6196</v>
      </c>
      <c r="E3645" t="str">
        <f>"3260300161541"</f>
        <v>0</v>
      </c>
      <c r="F3645" t="str">
        <f>"000830"</f>
        <v>0</v>
      </c>
      <c r="G3645" t="s">
        <v>21</v>
      </c>
    </row>
    <row r="3646" spans="1:7">
      <c r="A3646">
        <v>3645</v>
      </c>
      <c r="B3646" t="str">
        <f>"007148"</f>
        <v>0</v>
      </c>
      <c r="C3646" t="s">
        <v>6197</v>
      </c>
      <c r="D3646" t="s">
        <v>6198</v>
      </c>
      <c r="E3646" t="str">
        <f>"3240600021966"</f>
        <v>0</v>
      </c>
      <c r="F3646" t="str">
        <f>"000830"</f>
        <v>0</v>
      </c>
      <c r="G3646" t="s">
        <v>21</v>
      </c>
    </row>
    <row r="3647" spans="1:7">
      <c r="A3647">
        <v>3646</v>
      </c>
      <c r="B3647" t="str">
        <f>"009654"</f>
        <v>0</v>
      </c>
      <c r="C3647" t="s">
        <v>1027</v>
      </c>
      <c r="D3647" t="s">
        <v>6199</v>
      </c>
      <c r="E3647" t="str">
        <f>"3190300579121"</f>
        <v>0</v>
      </c>
      <c r="F3647" t="str">
        <f>"000830"</f>
        <v>0</v>
      </c>
      <c r="G3647" t="s">
        <v>21</v>
      </c>
    </row>
    <row r="3648" spans="1:7">
      <c r="A3648">
        <v>3647</v>
      </c>
      <c r="B3648" t="str">
        <f>"009655"</f>
        <v>0</v>
      </c>
      <c r="C3648" t="s">
        <v>886</v>
      </c>
      <c r="D3648" t="s">
        <v>6200</v>
      </c>
      <c r="E3648" t="str">
        <f>"3260400101273"</f>
        <v>0</v>
      </c>
      <c r="F3648" t="str">
        <f>"000830"</f>
        <v>0</v>
      </c>
      <c r="G3648" t="s">
        <v>21</v>
      </c>
    </row>
    <row r="3649" spans="1:7">
      <c r="A3649">
        <v>3648</v>
      </c>
      <c r="B3649" t="str">
        <f>"010247"</f>
        <v>0</v>
      </c>
      <c r="C3649" t="s">
        <v>6201</v>
      </c>
      <c r="D3649" t="s">
        <v>6202</v>
      </c>
      <c r="E3649" t="str">
        <f>"3269900072769"</f>
        <v>0</v>
      </c>
      <c r="F3649" t="str">
        <f>"000830"</f>
        <v>0</v>
      </c>
      <c r="G3649" t="s">
        <v>21</v>
      </c>
    </row>
    <row r="3650" spans="1:7">
      <c r="A3650">
        <v>3649</v>
      </c>
      <c r="B3650" t="str">
        <f>"010635"</f>
        <v>0</v>
      </c>
      <c r="C3650" t="s">
        <v>6203</v>
      </c>
      <c r="D3650" t="s">
        <v>6204</v>
      </c>
      <c r="E3650" t="str">
        <f>"3329900293888"</f>
        <v>0</v>
      </c>
      <c r="F3650" t="str">
        <f>"000830"</f>
        <v>0</v>
      </c>
      <c r="G3650" t="s">
        <v>21</v>
      </c>
    </row>
    <row r="3651" spans="1:7">
      <c r="A3651">
        <v>3650</v>
      </c>
      <c r="B3651" t="str">
        <f>"010717"</f>
        <v>0</v>
      </c>
      <c r="C3651" t="s">
        <v>6205</v>
      </c>
      <c r="D3651" t="s">
        <v>6198</v>
      </c>
      <c r="E3651" t="str">
        <f>"3260100516427"</f>
        <v>0</v>
      </c>
      <c r="F3651" t="str">
        <f>"000830"</f>
        <v>0</v>
      </c>
      <c r="G3651" t="s">
        <v>21</v>
      </c>
    </row>
    <row r="3652" spans="1:7">
      <c r="A3652">
        <v>3651</v>
      </c>
      <c r="B3652" t="str">
        <f>"011135"</f>
        <v>0</v>
      </c>
      <c r="C3652" t="s">
        <v>6206</v>
      </c>
      <c r="D3652" t="s">
        <v>6207</v>
      </c>
      <c r="E3652" t="str">
        <f>"4260200001117"</f>
        <v>0</v>
      </c>
      <c r="F3652" t="str">
        <f>"000830"</f>
        <v>0</v>
      </c>
      <c r="G3652" t="s">
        <v>21</v>
      </c>
    </row>
    <row r="3653" spans="1:7">
      <c r="A3653">
        <v>3652</v>
      </c>
      <c r="B3653" t="str">
        <f>"011474"</f>
        <v>0</v>
      </c>
      <c r="C3653" t="s">
        <v>2022</v>
      </c>
      <c r="D3653" t="s">
        <v>6187</v>
      </c>
      <c r="E3653" t="str">
        <f>"3169900105331"</f>
        <v>0</v>
      </c>
      <c r="F3653" t="str">
        <f>"000830"</f>
        <v>0</v>
      </c>
      <c r="G3653" t="s">
        <v>21</v>
      </c>
    </row>
    <row r="3654" spans="1:7">
      <c r="A3654">
        <v>3653</v>
      </c>
      <c r="B3654" t="str">
        <f>"012414"</f>
        <v>0</v>
      </c>
      <c r="C3654" t="s">
        <v>6208</v>
      </c>
      <c r="D3654" t="s">
        <v>6209</v>
      </c>
      <c r="E3654" t="str">
        <f>"3900900233873"</f>
        <v>0</v>
      </c>
      <c r="F3654" t="str">
        <f>"000830"</f>
        <v>0</v>
      </c>
      <c r="G3654" t="s">
        <v>21</v>
      </c>
    </row>
    <row r="3655" spans="1:7">
      <c r="A3655">
        <v>3654</v>
      </c>
      <c r="B3655" t="str">
        <f>"012416"</f>
        <v>0</v>
      </c>
      <c r="C3655" t="s">
        <v>6210</v>
      </c>
      <c r="D3655" t="s">
        <v>6200</v>
      </c>
      <c r="E3655" t="str">
        <f>"3260300240280"</f>
        <v>0</v>
      </c>
      <c r="F3655" t="str">
        <f>"000830"</f>
        <v>0</v>
      </c>
      <c r="G3655" t="s">
        <v>21</v>
      </c>
    </row>
    <row r="3656" spans="1:7">
      <c r="A3656">
        <v>3655</v>
      </c>
      <c r="B3656" t="str">
        <f>"012630"</f>
        <v>0</v>
      </c>
      <c r="C3656" t="s">
        <v>694</v>
      </c>
      <c r="D3656" t="s">
        <v>6211</v>
      </c>
      <c r="E3656" t="str">
        <f>"3269900032643"</f>
        <v>0</v>
      </c>
      <c r="F3656" t="str">
        <f>"000830"</f>
        <v>0</v>
      </c>
      <c r="G3656" t="s">
        <v>21</v>
      </c>
    </row>
    <row r="3657" spans="1:7">
      <c r="A3657">
        <v>3656</v>
      </c>
      <c r="B3657" t="str">
        <f>"013325"</f>
        <v>0</v>
      </c>
      <c r="C3657" t="s">
        <v>6212</v>
      </c>
      <c r="D3657" t="s">
        <v>6213</v>
      </c>
      <c r="E3657" t="str">
        <f>"3269900071258"</f>
        <v>0</v>
      </c>
      <c r="F3657" t="str">
        <f>"000830"</f>
        <v>0</v>
      </c>
      <c r="G3657" t="s">
        <v>21</v>
      </c>
    </row>
    <row r="3658" spans="1:7">
      <c r="A3658">
        <v>3657</v>
      </c>
      <c r="B3658" t="str">
        <f>"016666"</f>
        <v>0</v>
      </c>
      <c r="C3658" t="s">
        <v>6214</v>
      </c>
      <c r="D3658" t="s">
        <v>6215</v>
      </c>
      <c r="E3658" t="str">
        <f>"3269900034115"</f>
        <v>0</v>
      </c>
      <c r="F3658" t="str">
        <f>"000830"</f>
        <v>0</v>
      </c>
      <c r="G3658" t="s">
        <v>21</v>
      </c>
    </row>
    <row r="3659" spans="1:7">
      <c r="A3659">
        <v>3658</v>
      </c>
      <c r="B3659" t="str">
        <f>"019768"</f>
        <v>0</v>
      </c>
      <c r="C3659" t="s">
        <v>3407</v>
      </c>
      <c r="D3659" t="s">
        <v>6216</v>
      </c>
      <c r="E3659" t="str">
        <f>"3100602743111"</f>
        <v>0</v>
      </c>
      <c r="F3659" t="str">
        <f>"000830"</f>
        <v>0</v>
      </c>
      <c r="G3659" t="s">
        <v>21</v>
      </c>
    </row>
    <row r="3660" spans="1:7">
      <c r="A3660">
        <v>3659</v>
      </c>
      <c r="B3660" t="str">
        <f>"021005"</f>
        <v>0</v>
      </c>
      <c r="C3660" t="s">
        <v>4967</v>
      </c>
      <c r="D3660" t="s">
        <v>6217</v>
      </c>
      <c r="E3660" t="str">
        <f>"3260100398645"</f>
        <v>0</v>
      </c>
      <c r="F3660" t="str">
        <f>"000830"</f>
        <v>0</v>
      </c>
      <c r="G3660" t="s">
        <v>21</v>
      </c>
    </row>
    <row r="3661" spans="1:7">
      <c r="A3661">
        <v>3660</v>
      </c>
      <c r="B3661" t="str">
        <f>"025068"</f>
        <v>0</v>
      </c>
      <c r="C3661" t="s">
        <v>6218</v>
      </c>
      <c r="D3661" t="s">
        <v>6219</v>
      </c>
      <c r="E3661" t="str">
        <f>"3130200532964"</f>
        <v>0</v>
      </c>
      <c r="F3661" t="str">
        <f>"000830"</f>
        <v>0</v>
      </c>
      <c r="G3661" t="s">
        <v>21</v>
      </c>
    </row>
    <row r="3662" spans="1:7">
      <c r="A3662">
        <v>3661</v>
      </c>
      <c r="B3662" t="str">
        <f>"021561"</f>
        <v>0</v>
      </c>
      <c r="C3662" t="s">
        <v>482</v>
      </c>
      <c r="D3662" t="s">
        <v>6220</v>
      </c>
      <c r="E3662" t="str">
        <f>"3100902932164"</f>
        <v>0</v>
      </c>
      <c r="F3662" t="str">
        <f>"000830"</f>
        <v>0</v>
      </c>
      <c r="G3662" t="s">
        <v>21</v>
      </c>
    </row>
    <row r="3663" spans="1:7">
      <c r="A3663">
        <v>3662</v>
      </c>
      <c r="B3663" t="str">
        <f>"026229"</f>
        <v>0</v>
      </c>
      <c r="C3663" t="s">
        <v>6221</v>
      </c>
      <c r="D3663" t="s">
        <v>6222</v>
      </c>
      <c r="E3663" t="str">
        <f>"1100701247590"</f>
        <v>0</v>
      </c>
      <c r="F3663" t="str">
        <f>"000830"</f>
        <v>0</v>
      </c>
      <c r="G3663" t="s">
        <v>21</v>
      </c>
    </row>
    <row r="3664" spans="1:7">
      <c r="A3664">
        <v>3663</v>
      </c>
      <c r="B3664" t="str">
        <f>"026550"</f>
        <v>0</v>
      </c>
      <c r="C3664" t="s">
        <v>6223</v>
      </c>
      <c r="D3664" t="s">
        <v>6224</v>
      </c>
      <c r="E3664" t="str">
        <f>"1101401558205"</f>
        <v>0</v>
      </c>
      <c r="F3664" t="str">
        <f>"000830"</f>
        <v>0</v>
      </c>
      <c r="G3664" t="s">
        <v>21</v>
      </c>
    </row>
    <row r="3665" spans="1:7">
      <c r="A3665">
        <v>3664</v>
      </c>
      <c r="B3665" t="str">
        <f>"023084"</f>
        <v>0</v>
      </c>
      <c r="C3665" t="s">
        <v>6225</v>
      </c>
      <c r="D3665" t="s">
        <v>6226</v>
      </c>
      <c r="E3665" t="str">
        <f>"5670500006682"</f>
        <v>0</v>
      </c>
      <c r="F3665" t="str">
        <f>"000830"</f>
        <v>0</v>
      </c>
      <c r="G3665" t="s">
        <v>21</v>
      </c>
    </row>
    <row r="3666" spans="1:7">
      <c r="A3666">
        <v>3665</v>
      </c>
      <c r="B3666" t="str">
        <f>"019825"</f>
        <v>0</v>
      </c>
      <c r="C3666" t="s">
        <v>6227</v>
      </c>
      <c r="D3666" t="s">
        <v>6228</v>
      </c>
      <c r="E3666" t="str">
        <f>"3250100397291"</f>
        <v>0</v>
      </c>
      <c r="F3666" t="str">
        <f>"000830"</f>
        <v>0</v>
      </c>
      <c r="G3666" t="s">
        <v>21</v>
      </c>
    </row>
    <row r="3667" spans="1:7">
      <c r="A3667">
        <v>3666</v>
      </c>
      <c r="B3667" t="str">
        <f>"024765"</f>
        <v>0</v>
      </c>
      <c r="C3667" t="s">
        <v>6229</v>
      </c>
      <c r="D3667" t="s">
        <v>6230</v>
      </c>
      <c r="E3667" t="str">
        <f>"1179900105688"</f>
        <v>0</v>
      </c>
      <c r="F3667" t="str">
        <f>"000830"</f>
        <v>0</v>
      </c>
      <c r="G3667" t="s">
        <v>21</v>
      </c>
    </row>
    <row r="3668" spans="1:7">
      <c r="A3668">
        <v>3667</v>
      </c>
      <c r="B3668" t="str">
        <f>"026126"</f>
        <v>0</v>
      </c>
      <c r="C3668" t="s">
        <v>889</v>
      </c>
      <c r="D3668" t="s">
        <v>6231</v>
      </c>
      <c r="E3668" t="str">
        <f>"1190400033591"</f>
        <v>0</v>
      </c>
      <c r="F3668" t="str">
        <f>"000830"</f>
        <v>0</v>
      </c>
      <c r="G3668" t="s">
        <v>21</v>
      </c>
    </row>
    <row r="3669" spans="1:7">
      <c r="A3669">
        <v>3668</v>
      </c>
      <c r="B3669" t="str">
        <f>"010381"</f>
        <v>0</v>
      </c>
      <c r="C3669" t="s">
        <v>160</v>
      </c>
      <c r="D3669" t="s">
        <v>6232</v>
      </c>
      <c r="E3669" t="str">
        <f>"3269900032651"</f>
        <v>0</v>
      </c>
      <c r="F3669" t="str">
        <f>"000830"</f>
        <v>0</v>
      </c>
      <c r="G3669" t="s">
        <v>21</v>
      </c>
    </row>
    <row r="3670" spans="1:7">
      <c r="A3670">
        <v>3669</v>
      </c>
      <c r="B3670" t="str">
        <f>"010969"</f>
        <v>0</v>
      </c>
      <c r="C3670" t="s">
        <v>344</v>
      </c>
      <c r="D3670" t="s">
        <v>3378</v>
      </c>
      <c r="E3670" t="str">
        <f>"4260200001141"</f>
        <v>0</v>
      </c>
      <c r="F3670" t="str">
        <f>"000830"</f>
        <v>0</v>
      </c>
      <c r="G3670" t="s">
        <v>21</v>
      </c>
    </row>
    <row r="3671" spans="1:7">
      <c r="A3671">
        <v>3670</v>
      </c>
      <c r="B3671" t="str">
        <f>"012256"</f>
        <v>0</v>
      </c>
      <c r="C3671" t="s">
        <v>663</v>
      </c>
      <c r="D3671" t="s">
        <v>6233</v>
      </c>
      <c r="E3671" t="str">
        <f>"3260300606985"</f>
        <v>0</v>
      </c>
      <c r="F3671" t="str">
        <f>"000830"</f>
        <v>0</v>
      </c>
      <c r="G3671" t="s">
        <v>21</v>
      </c>
    </row>
    <row r="3672" spans="1:7">
      <c r="A3672">
        <v>3671</v>
      </c>
      <c r="B3672" t="str">
        <f>"012334"</f>
        <v>0</v>
      </c>
      <c r="C3672" t="s">
        <v>445</v>
      </c>
      <c r="D3672" t="s">
        <v>6234</v>
      </c>
      <c r="E3672" t="str">
        <f>"3149900289475"</f>
        <v>0</v>
      </c>
      <c r="F3672" t="str">
        <f>"000830"</f>
        <v>0</v>
      </c>
      <c r="G3672" t="s">
        <v>21</v>
      </c>
    </row>
    <row r="3673" spans="1:7">
      <c r="A3673">
        <v>3672</v>
      </c>
      <c r="B3673" t="str">
        <f>"012767"</f>
        <v>0</v>
      </c>
      <c r="C3673" t="s">
        <v>6235</v>
      </c>
      <c r="D3673" t="s">
        <v>6236</v>
      </c>
      <c r="E3673" t="str">
        <f>"3260300007364"</f>
        <v>0</v>
      </c>
      <c r="F3673" t="str">
        <f>"000830"</f>
        <v>0</v>
      </c>
      <c r="G3673" t="s">
        <v>21</v>
      </c>
    </row>
    <row r="3674" spans="1:7">
      <c r="A3674">
        <v>3673</v>
      </c>
      <c r="B3674" t="str">
        <f>"013193"</f>
        <v>0</v>
      </c>
      <c r="C3674" t="s">
        <v>4864</v>
      </c>
      <c r="D3674" t="s">
        <v>6232</v>
      </c>
      <c r="E3674" t="str">
        <f>"3260100102452"</f>
        <v>0</v>
      </c>
      <c r="F3674" t="str">
        <f>"000830"</f>
        <v>0</v>
      </c>
      <c r="G3674" t="s">
        <v>21</v>
      </c>
    </row>
    <row r="3675" spans="1:7">
      <c r="A3675">
        <v>3674</v>
      </c>
      <c r="B3675" t="str">
        <f>"013292"</f>
        <v>0</v>
      </c>
      <c r="C3675" t="s">
        <v>802</v>
      </c>
      <c r="D3675" t="s">
        <v>6237</v>
      </c>
      <c r="E3675" t="str">
        <f>"3600300167031"</f>
        <v>0</v>
      </c>
      <c r="F3675" t="str">
        <f>"000830"</f>
        <v>0</v>
      </c>
      <c r="G3675" t="s">
        <v>21</v>
      </c>
    </row>
    <row r="3676" spans="1:7">
      <c r="A3676">
        <v>3675</v>
      </c>
      <c r="B3676" t="str">
        <f>"015969"</f>
        <v>0</v>
      </c>
      <c r="C3676" t="s">
        <v>6238</v>
      </c>
      <c r="D3676" t="s">
        <v>6239</v>
      </c>
      <c r="E3676" t="str">
        <f>"3260100606752"</f>
        <v>0</v>
      </c>
      <c r="F3676" t="str">
        <f>"000830"</f>
        <v>0</v>
      </c>
      <c r="G3676" t="s">
        <v>21</v>
      </c>
    </row>
    <row r="3677" spans="1:7">
      <c r="A3677">
        <v>3676</v>
      </c>
      <c r="B3677" t="str">
        <f>"016510"</f>
        <v>0</v>
      </c>
      <c r="C3677" t="s">
        <v>6240</v>
      </c>
      <c r="D3677" t="s">
        <v>6241</v>
      </c>
      <c r="E3677" t="str">
        <f>"3259700086871"</f>
        <v>0</v>
      </c>
      <c r="F3677" t="str">
        <f>"000830"</f>
        <v>0</v>
      </c>
      <c r="G3677" t="s">
        <v>21</v>
      </c>
    </row>
    <row r="3678" spans="1:7">
      <c r="A3678">
        <v>3677</v>
      </c>
      <c r="B3678" t="str">
        <f>"017461"</f>
        <v>0</v>
      </c>
      <c r="C3678" t="s">
        <v>6242</v>
      </c>
      <c r="D3678" t="s">
        <v>2620</v>
      </c>
      <c r="E3678" t="str">
        <f>"3360101248085"</f>
        <v>0</v>
      </c>
      <c r="F3678" t="str">
        <f>"000830"</f>
        <v>0</v>
      </c>
      <c r="G3678" t="s">
        <v>21</v>
      </c>
    </row>
    <row r="3679" spans="1:7">
      <c r="A3679">
        <v>3678</v>
      </c>
      <c r="B3679" t="str">
        <f>"017547"</f>
        <v>0</v>
      </c>
      <c r="C3679" t="s">
        <v>6243</v>
      </c>
      <c r="D3679" t="s">
        <v>6244</v>
      </c>
      <c r="E3679" t="str">
        <f>"3260100374495"</f>
        <v>0</v>
      </c>
      <c r="F3679" t="str">
        <f>"000830"</f>
        <v>0</v>
      </c>
      <c r="G3679" t="s">
        <v>21</v>
      </c>
    </row>
    <row r="3680" spans="1:7">
      <c r="A3680">
        <v>3679</v>
      </c>
      <c r="B3680" t="str">
        <f>"018607"</f>
        <v>0</v>
      </c>
      <c r="C3680" t="s">
        <v>6245</v>
      </c>
      <c r="D3680" t="s">
        <v>4849</v>
      </c>
      <c r="E3680" t="str">
        <f>"3260100260589"</f>
        <v>0</v>
      </c>
      <c r="F3680" t="str">
        <f>"000830"</f>
        <v>0</v>
      </c>
      <c r="G3680" t="s">
        <v>21</v>
      </c>
    </row>
    <row r="3681" spans="1:7">
      <c r="A3681">
        <v>3680</v>
      </c>
      <c r="B3681" t="str">
        <f>"018914"</f>
        <v>0</v>
      </c>
      <c r="C3681" t="s">
        <v>2216</v>
      </c>
      <c r="D3681" t="s">
        <v>6246</v>
      </c>
      <c r="E3681" t="str">
        <f>"3260400420191"</f>
        <v>0</v>
      </c>
      <c r="F3681" t="str">
        <f>"000830"</f>
        <v>0</v>
      </c>
      <c r="G3681" t="s">
        <v>21</v>
      </c>
    </row>
    <row r="3682" spans="1:7">
      <c r="A3682">
        <v>3681</v>
      </c>
      <c r="B3682" t="str">
        <f>"020775"</f>
        <v>0</v>
      </c>
      <c r="C3682" t="s">
        <v>6247</v>
      </c>
      <c r="D3682" t="s">
        <v>6248</v>
      </c>
      <c r="E3682" t="str">
        <f>"3260100337191"</f>
        <v>0</v>
      </c>
      <c r="F3682" t="str">
        <f>"000830"</f>
        <v>0</v>
      </c>
      <c r="G3682" t="s">
        <v>21</v>
      </c>
    </row>
    <row r="3683" spans="1:7">
      <c r="A3683">
        <v>3682</v>
      </c>
      <c r="B3683" t="str">
        <f>"021119"</f>
        <v>0</v>
      </c>
      <c r="C3683" t="s">
        <v>6249</v>
      </c>
      <c r="D3683" t="s">
        <v>6250</v>
      </c>
      <c r="E3683" t="str">
        <f>"3850100296545"</f>
        <v>0</v>
      </c>
      <c r="F3683" t="str">
        <f>"000830"</f>
        <v>0</v>
      </c>
      <c r="G3683" t="s">
        <v>21</v>
      </c>
    </row>
    <row r="3684" spans="1:7">
      <c r="A3684">
        <v>3683</v>
      </c>
      <c r="B3684" t="str">
        <f>"021282"</f>
        <v>0</v>
      </c>
      <c r="C3684" t="s">
        <v>3825</v>
      </c>
      <c r="D3684" t="s">
        <v>3703</v>
      </c>
      <c r="E3684" t="str">
        <f>"3510100528333"</f>
        <v>0</v>
      </c>
      <c r="F3684" t="str">
        <f>"000830"</f>
        <v>0</v>
      </c>
      <c r="G3684" t="s">
        <v>21</v>
      </c>
    </row>
    <row r="3685" spans="1:7">
      <c r="A3685">
        <v>3684</v>
      </c>
      <c r="B3685" t="str">
        <f>"021863"</f>
        <v>0</v>
      </c>
      <c r="C3685" t="s">
        <v>6251</v>
      </c>
      <c r="D3685" t="s">
        <v>6252</v>
      </c>
      <c r="E3685" t="str">
        <f>"3269900016150"</f>
        <v>0</v>
      </c>
      <c r="F3685" t="str">
        <f>"000830"</f>
        <v>0</v>
      </c>
      <c r="G3685" t="s">
        <v>21</v>
      </c>
    </row>
    <row r="3686" spans="1:7">
      <c r="A3686">
        <v>3685</v>
      </c>
      <c r="B3686" t="str">
        <f>"022020"</f>
        <v>0</v>
      </c>
      <c r="C3686" t="s">
        <v>4718</v>
      </c>
      <c r="D3686" t="s">
        <v>693</v>
      </c>
      <c r="E3686" t="str">
        <f>"1260300005268"</f>
        <v>0</v>
      </c>
      <c r="F3686" t="str">
        <f>"000830"</f>
        <v>0</v>
      </c>
      <c r="G3686" t="s">
        <v>21</v>
      </c>
    </row>
    <row r="3687" spans="1:7">
      <c r="A3687">
        <v>3686</v>
      </c>
      <c r="B3687" t="str">
        <f>"022325"</f>
        <v>0</v>
      </c>
      <c r="C3687" t="s">
        <v>6253</v>
      </c>
      <c r="D3687" t="s">
        <v>6254</v>
      </c>
      <c r="E3687" t="str">
        <f>"1309900069400"</f>
        <v>0</v>
      </c>
      <c r="F3687" t="str">
        <f>"000830"</f>
        <v>0</v>
      </c>
      <c r="G3687" t="s">
        <v>21</v>
      </c>
    </row>
    <row r="3688" spans="1:7">
      <c r="A3688">
        <v>3687</v>
      </c>
      <c r="B3688" t="str">
        <f>"023265"</f>
        <v>0</v>
      </c>
      <c r="C3688" t="s">
        <v>6255</v>
      </c>
      <c r="D3688" t="s">
        <v>6256</v>
      </c>
      <c r="E3688" t="str">
        <f>"1269900022595"</f>
        <v>0</v>
      </c>
      <c r="F3688" t="str">
        <f>"000830"</f>
        <v>0</v>
      </c>
      <c r="G3688" t="s">
        <v>21</v>
      </c>
    </row>
    <row r="3689" spans="1:7">
      <c r="A3689">
        <v>3688</v>
      </c>
      <c r="B3689" t="str">
        <f>"023336"</f>
        <v>0</v>
      </c>
      <c r="C3689" t="s">
        <v>6257</v>
      </c>
      <c r="D3689" t="s">
        <v>6258</v>
      </c>
      <c r="E3689" t="str">
        <f>"3101100297662"</f>
        <v>0</v>
      </c>
      <c r="F3689" t="str">
        <f>"000830"</f>
        <v>0</v>
      </c>
      <c r="G3689" t="s">
        <v>21</v>
      </c>
    </row>
    <row r="3690" spans="1:7">
      <c r="A3690">
        <v>3689</v>
      </c>
      <c r="B3690" t="str">
        <f>"024201"</f>
        <v>0</v>
      </c>
      <c r="C3690" t="s">
        <v>6259</v>
      </c>
      <c r="D3690" t="s">
        <v>3703</v>
      </c>
      <c r="E3690" t="str">
        <f>"3509900078128"</f>
        <v>0</v>
      </c>
      <c r="F3690" t="str">
        <f>"000830"</f>
        <v>0</v>
      </c>
      <c r="G3690" t="s">
        <v>21</v>
      </c>
    </row>
    <row r="3691" spans="1:7">
      <c r="A3691">
        <v>3690</v>
      </c>
      <c r="B3691" t="str">
        <f>"025157"</f>
        <v>0</v>
      </c>
      <c r="C3691" t="s">
        <v>6260</v>
      </c>
      <c r="D3691" t="s">
        <v>6261</v>
      </c>
      <c r="E3691" t="str">
        <f>"1260300007627"</f>
        <v>0</v>
      </c>
      <c r="F3691" t="str">
        <f>"000830"</f>
        <v>0</v>
      </c>
      <c r="G3691" t="s">
        <v>21</v>
      </c>
    </row>
    <row r="3692" spans="1:7">
      <c r="A3692">
        <v>3691</v>
      </c>
      <c r="B3692" t="str">
        <f>"025103"</f>
        <v>0</v>
      </c>
      <c r="C3692" t="s">
        <v>6262</v>
      </c>
      <c r="D3692" t="s">
        <v>6263</v>
      </c>
      <c r="E3692" t="str">
        <f>"5460590007812"</f>
        <v>0</v>
      </c>
      <c r="F3692" t="str">
        <f>"000830"</f>
        <v>0</v>
      </c>
      <c r="G3692" t="s">
        <v>21</v>
      </c>
    </row>
    <row r="3693" spans="1:7">
      <c r="A3693">
        <v>3692</v>
      </c>
      <c r="B3693" t="str">
        <f>"025212"</f>
        <v>0</v>
      </c>
      <c r="C3693" t="s">
        <v>6264</v>
      </c>
      <c r="D3693" t="s">
        <v>6265</v>
      </c>
      <c r="E3693" t="str">
        <f>"1710600002022"</f>
        <v>0</v>
      </c>
      <c r="F3693" t="str">
        <f>"000830"</f>
        <v>0</v>
      </c>
      <c r="G3693" t="s">
        <v>21</v>
      </c>
    </row>
    <row r="3694" spans="1:7">
      <c r="A3694">
        <v>3693</v>
      </c>
      <c r="B3694" t="str">
        <f>"026992"</f>
        <v>0</v>
      </c>
      <c r="C3694" t="s">
        <v>6266</v>
      </c>
      <c r="D3694" t="s">
        <v>6267</v>
      </c>
      <c r="E3694" t="str">
        <f>"1770400111332"</f>
        <v>0</v>
      </c>
      <c r="F3694" t="str">
        <f>"000830"</f>
        <v>0</v>
      </c>
      <c r="G3694" t="s">
        <v>21</v>
      </c>
    </row>
    <row r="3695" spans="1:7">
      <c r="A3695">
        <v>3694</v>
      </c>
      <c r="B3695" t="str">
        <f>"000199"</f>
        <v>0</v>
      </c>
      <c r="C3695" t="s">
        <v>1972</v>
      </c>
      <c r="D3695" t="s">
        <v>6268</v>
      </c>
      <c r="E3695" t="str">
        <f>"3739900145079"</f>
        <v>0</v>
      </c>
      <c r="F3695" t="str">
        <f>"000840"</f>
        <v>0</v>
      </c>
      <c r="G3695" t="s">
        <v>21</v>
      </c>
    </row>
    <row r="3696" spans="1:7">
      <c r="A3696">
        <v>3695</v>
      </c>
      <c r="B3696" t="str">
        <f>"000449"</f>
        <v>0</v>
      </c>
      <c r="C3696" t="s">
        <v>6269</v>
      </c>
      <c r="D3696" t="s">
        <v>6270</v>
      </c>
      <c r="E3696" t="str">
        <f>"3730300038362"</f>
        <v>0</v>
      </c>
      <c r="F3696" t="str">
        <f>"000840"</f>
        <v>0</v>
      </c>
      <c r="G3696" t="s">
        <v>21</v>
      </c>
    </row>
    <row r="3697" spans="1:7">
      <c r="A3697">
        <v>3696</v>
      </c>
      <c r="B3697" t="str">
        <f>"002746"</f>
        <v>0</v>
      </c>
      <c r="C3697" t="s">
        <v>5247</v>
      </c>
      <c r="D3697" t="s">
        <v>6271</v>
      </c>
      <c r="E3697" t="str">
        <f>"3730600683417"</f>
        <v>0</v>
      </c>
      <c r="F3697" t="str">
        <f>"000840"</f>
        <v>0</v>
      </c>
      <c r="G3697" t="s">
        <v>21</v>
      </c>
    </row>
    <row r="3698" spans="1:7">
      <c r="A3698">
        <v>3697</v>
      </c>
      <c r="B3698" t="str">
        <f>"003407"</f>
        <v>0</v>
      </c>
      <c r="C3698" t="s">
        <v>4201</v>
      </c>
      <c r="D3698" t="s">
        <v>6272</v>
      </c>
      <c r="E3698" t="str">
        <f>"5730500011898"</f>
        <v>0</v>
      </c>
      <c r="F3698" t="str">
        <f>"000840"</f>
        <v>0</v>
      </c>
      <c r="G3698" t="s">
        <v>21</v>
      </c>
    </row>
    <row r="3699" spans="1:7">
      <c r="A3699">
        <v>3698</v>
      </c>
      <c r="B3699" t="str">
        <f>"003809"</f>
        <v>0</v>
      </c>
      <c r="C3699" t="s">
        <v>435</v>
      </c>
      <c r="D3699" t="s">
        <v>2013</v>
      </c>
      <c r="E3699" t="str">
        <f>"3709700103577"</f>
        <v>0</v>
      </c>
      <c r="F3699" t="str">
        <f>"000840"</f>
        <v>0</v>
      </c>
      <c r="G3699" t="s">
        <v>21</v>
      </c>
    </row>
    <row r="3700" spans="1:7">
      <c r="A3700">
        <v>3699</v>
      </c>
      <c r="B3700" t="str">
        <f>"004354"</f>
        <v>0</v>
      </c>
      <c r="C3700" t="s">
        <v>6197</v>
      </c>
      <c r="D3700" t="s">
        <v>6273</v>
      </c>
      <c r="E3700" t="str">
        <f>"3730101002341"</f>
        <v>0</v>
      </c>
      <c r="F3700" t="str">
        <f>"000840"</f>
        <v>0</v>
      </c>
      <c r="G3700" t="s">
        <v>21</v>
      </c>
    </row>
    <row r="3701" spans="1:7">
      <c r="A3701">
        <v>3700</v>
      </c>
      <c r="B3701" t="str">
        <f>"004819"</f>
        <v>0</v>
      </c>
      <c r="C3701" t="s">
        <v>3913</v>
      </c>
      <c r="D3701" t="s">
        <v>6274</v>
      </c>
      <c r="E3701" t="str">
        <f>"3709700057567"</f>
        <v>0</v>
      </c>
      <c r="F3701" t="str">
        <f>"000840"</f>
        <v>0</v>
      </c>
      <c r="G3701" t="s">
        <v>21</v>
      </c>
    </row>
    <row r="3702" spans="1:7">
      <c r="A3702">
        <v>3701</v>
      </c>
      <c r="B3702" t="str">
        <f>"005104"</f>
        <v>0</v>
      </c>
      <c r="C3702" t="s">
        <v>2905</v>
      </c>
      <c r="D3702" t="s">
        <v>6275</v>
      </c>
      <c r="E3702" t="str">
        <f>"3779800039153"</f>
        <v>0</v>
      </c>
      <c r="F3702" t="str">
        <f>"000840"</f>
        <v>0</v>
      </c>
      <c r="G3702" t="s">
        <v>21</v>
      </c>
    </row>
    <row r="3703" spans="1:7">
      <c r="A3703">
        <v>3702</v>
      </c>
      <c r="B3703" t="str">
        <f>"005407"</f>
        <v>0</v>
      </c>
      <c r="C3703" t="s">
        <v>235</v>
      </c>
      <c r="D3703" t="s">
        <v>6276</v>
      </c>
      <c r="E3703" t="str">
        <f>"3730600936617"</f>
        <v>0</v>
      </c>
      <c r="F3703" t="str">
        <f>"000840"</f>
        <v>0</v>
      </c>
      <c r="G3703" t="s">
        <v>21</v>
      </c>
    </row>
    <row r="3704" spans="1:7">
      <c r="A3704">
        <v>3703</v>
      </c>
      <c r="B3704" t="str">
        <f>"005408"</f>
        <v>0</v>
      </c>
      <c r="C3704" t="s">
        <v>6277</v>
      </c>
      <c r="D3704" t="s">
        <v>6278</v>
      </c>
      <c r="E3704" t="str">
        <f>"3730500099489"</f>
        <v>0</v>
      </c>
      <c r="F3704" t="str">
        <f>"000840"</f>
        <v>0</v>
      </c>
      <c r="G3704" t="s">
        <v>21</v>
      </c>
    </row>
    <row r="3705" spans="1:7">
      <c r="A3705">
        <v>3704</v>
      </c>
      <c r="B3705" t="str">
        <f>"005457"</f>
        <v>0</v>
      </c>
      <c r="C3705" t="s">
        <v>6279</v>
      </c>
      <c r="D3705" t="s">
        <v>6280</v>
      </c>
      <c r="E3705" t="str">
        <f>"3700400608063"</f>
        <v>0</v>
      </c>
      <c r="F3705" t="str">
        <f>"000840"</f>
        <v>0</v>
      </c>
      <c r="G3705" t="s">
        <v>21</v>
      </c>
    </row>
    <row r="3706" spans="1:7">
      <c r="A3706">
        <v>3705</v>
      </c>
      <c r="B3706" t="str">
        <f>"005503"</f>
        <v>0</v>
      </c>
      <c r="C3706" t="s">
        <v>3337</v>
      </c>
      <c r="D3706" t="s">
        <v>6281</v>
      </c>
      <c r="E3706" t="str">
        <f>"3730500696614"</f>
        <v>0</v>
      </c>
      <c r="F3706" t="str">
        <f>"000840"</f>
        <v>0</v>
      </c>
      <c r="G3706" t="s">
        <v>21</v>
      </c>
    </row>
    <row r="3707" spans="1:7">
      <c r="A3707">
        <v>3706</v>
      </c>
      <c r="B3707" t="str">
        <f>"005506"</f>
        <v>0</v>
      </c>
      <c r="C3707" t="s">
        <v>447</v>
      </c>
      <c r="D3707" t="s">
        <v>6282</v>
      </c>
      <c r="E3707" t="str">
        <f>"3730200679145"</f>
        <v>0</v>
      </c>
      <c r="F3707" t="str">
        <f>"000840"</f>
        <v>0</v>
      </c>
      <c r="G3707" t="s">
        <v>21</v>
      </c>
    </row>
    <row r="3708" spans="1:7">
      <c r="A3708">
        <v>3707</v>
      </c>
      <c r="B3708" t="str">
        <f>"005964"</f>
        <v>0</v>
      </c>
      <c r="C3708" t="s">
        <v>6283</v>
      </c>
      <c r="D3708" t="s">
        <v>6284</v>
      </c>
      <c r="E3708" t="str">
        <f>"5361390003203"</f>
        <v>0</v>
      </c>
      <c r="F3708" t="str">
        <f>"000840"</f>
        <v>0</v>
      </c>
      <c r="G3708" t="s">
        <v>21</v>
      </c>
    </row>
    <row r="3709" spans="1:7">
      <c r="A3709">
        <v>3708</v>
      </c>
      <c r="B3709" t="str">
        <f>"006225"</f>
        <v>0</v>
      </c>
      <c r="C3709" t="s">
        <v>5901</v>
      </c>
      <c r="D3709" t="s">
        <v>6285</v>
      </c>
      <c r="E3709" t="str">
        <f>"3770300415352"</f>
        <v>0</v>
      </c>
      <c r="F3709" t="str">
        <f>"000840"</f>
        <v>0</v>
      </c>
      <c r="G3709" t="s">
        <v>21</v>
      </c>
    </row>
    <row r="3710" spans="1:7">
      <c r="A3710">
        <v>3709</v>
      </c>
      <c r="B3710" t="str">
        <f>"008318"</f>
        <v>0</v>
      </c>
      <c r="C3710" t="s">
        <v>755</v>
      </c>
      <c r="D3710" t="s">
        <v>6286</v>
      </c>
      <c r="E3710" t="str">
        <f>"3730100397237"</f>
        <v>0</v>
      </c>
      <c r="F3710" t="str">
        <f>"000840"</f>
        <v>0</v>
      </c>
      <c r="G3710" t="s">
        <v>21</v>
      </c>
    </row>
    <row r="3711" spans="1:7">
      <c r="A3711">
        <v>3710</v>
      </c>
      <c r="B3711" t="str">
        <f>"009173"</f>
        <v>0</v>
      </c>
      <c r="C3711" t="s">
        <v>6287</v>
      </c>
      <c r="D3711" t="s">
        <v>6288</v>
      </c>
      <c r="E3711" t="str">
        <f>"3100602756077"</f>
        <v>0</v>
      </c>
      <c r="F3711" t="str">
        <f>"000840"</f>
        <v>0</v>
      </c>
      <c r="G3711" t="s">
        <v>21</v>
      </c>
    </row>
    <row r="3712" spans="1:7">
      <c r="A3712">
        <v>3711</v>
      </c>
      <c r="B3712" t="str">
        <f>"009428"</f>
        <v>0</v>
      </c>
      <c r="C3712" t="s">
        <v>6289</v>
      </c>
      <c r="D3712" t="s">
        <v>6290</v>
      </c>
      <c r="E3712" t="str">
        <f>"3650801029103"</f>
        <v>0</v>
      </c>
      <c r="F3712" t="str">
        <f>"000840"</f>
        <v>0</v>
      </c>
      <c r="G3712" t="s">
        <v>21</v>
      </c>
    </row>
    <row r="3713" spans="1:7">
      <c r="A3713">
        <v>3712</v>
      </c>
      <c r="B3713" t="str">
        <f>"010196"</f>
        <v>0</v>
      </c>
      <c r="C3713" t="s">
        <v>6291</v>
      </c>
      <c r="D3713" t="s">
        <v>6292</v>
      </c>
      <c r="E3713" t="str">
        <f>"3730200682928"</f>
        <v>0</v>
      </c>
      <c r="F3713" t="str">
        <f>"000840"</f>
        <v>0</v>
      </c>
      <c r="G3713" t="s">
        <v>21</v>
      </c>
    </row>
    <row r="3714" spans="1:7">
      <c r="A3714">
        <v>3713</v>
      </c>
      <c r="B3714" t="str">
        <f>"010269"</f>
        <v>0</v>
      </c>
      <c r="C3714" t="s">
        <v>6293</v>
      </c>
      <c r="D3714" t="s">
        <v>6294</v>
      </c>
      <c r="E3714" t="str">
        <f>"3730300281721"</f>
        <v>0</v>
      </c>
      <c r="F3714" t="str">
        <f>"000840"</f>
        <v>0</v>
      </c>
      <c r="G3714" t="s">
        <v>21</v>
      </c>
    </row>
    <row r="3715" spans="1:7">
      <c r="A3715">
        <v>3714</v>
      </c>
      <c r="B3715" t="str">
        <f>"010271"</f>
        <v>0</v>
      </c>
      <c r="C3715" t="s">
        <v>458</v>
      </c>
      <c r="D3715" t="s">
        <v>4601</v>
      </c>
      <c r="E3715" t="str">
        <f>"3730400264861"</f>
        <v>0</v>
      </c>
      <c r="F3715" t="str">
        <f>"000840"</f>
        <v>0</v>
      </c>
      <c r="G3715" t="s">
        <v>21</v>
      </c>
    </row>
    <row r="3716" spans="1:7">
      <c r="A3716">
        <v>3715</v>
      </c>
      <c r="B3716" t="str">
        <f>"012467"</f>
        <v>0</v>
      </c>
      <c r="C3716" t="s">
        <v>6295</v>
      </c>
      <c r="D3716" t="s">
        <v>6296</v>
      </c>
      <c r="E3716" t="str">
        <f>"3101203201374"</f>
        <v>0</v>
      </c>
      <c r="F3716" t="str">
        <f>"000840"</f>
        <v>0</v>
      </c>
      <c r="G3716" t="s">
        <v>21</v>
      </c>
    </row>
    <row r="3717" spans="1:7">
      <c r="A3717">
        <v>3716</v>
      </c>
      <c r="B3717" t="str">
        <f>"013390"</f>
        <v>0</v>
      </c>
      <c r="C3717" t="s">
        <v>6297</v>
      </c>
      <c r="D3717" t="s">
        <v>6298</v>
      </c>
      <c r="E3717" t="str">
        <f>"5730300004685"</f>
        <v>0</v>
      </c>
      <c r="F3717" t="str">
        <f>"000840"</f>
        <v>0</v>
      </c>
      <c r="G3717" t="s">
        <v>21</v>
      </c>
    </row>
    <row r="3718" spans="1:7">
      <c r="A3718">
        <v>3717</v>
      </c>
      <c r="B3718" t="str">
        <f>"013459"</f>
        <v>0</v>
      </c>
      <c r="C3718" t="s">
        <v>130</v>
      </c>
      <c r="D3718" t="s">
        <v>6299</v>
      </c>
      <c r="E3718" t="str">
        <f>"3700400546661"</f>
        <v>0</v>
      </c>
      <c r="F3718" t="str">
        <f>"000840"</f>
        <v>0</v>
      </c>
      <c r="G3718" t="s">
        <v>21</v>
      </c>
    </row>
    <row r="3719" spans="1:7">
      <c r="A3719">
        <v>3718</v>
      </c>
      <c r="B3719" t="str">
        <f>"013558"</f>
        <v>0</v>
      </c>
      <c r="C3719" t="s">
        <v>6300</v>
      </c>
      <c r="D3719" t="s">
        <v>5159</v>
      </c>
      <c r="E3719" t="str">
        <f>"3730300976818"</f>
        <v>0</v>
      </c>
      <c r="F3719" t="str">
        <f>"000840"</f>
        <v>0</v>
      </c>
      <c r="G3719" t="s">
        <v>21</v>
      </c>
    </row>
    <row r="3720" spans="1:7">
      <c r="A3720">
        <v>3719</v>
      </c>
      <c r="B3720" t="str">
        <f>"013688"</f>
        <v>0</v>
      </c>
      <c r="C3720" t="s">
        <v>6301</v>
      </c>
      <c r="D3720" t="s">
        <v>6302</v>
      </c>
      <c r="E3720" t="str">
        <f>"3470600323944"</f>
        <v>0</v>
      </c>
      <c r="F3720" t="str">
        <f>"000840"</f>
        <v>0</v>
      </c>
      <c r="G3720" t="s">
        <v>21</v>
      </c>
    </row>
    <row r="3721" spans="1:7">
      <c r="A3721">
        <v>3720</v>
      </c>
      <c r="B3721" t="str">
        <f>"014164"</f>
        <v>0</v>
      </c>
      <c r="C3721" t="s">
        <v>2622</v>
      </c>
      <c r="D3721" t="s">
        <v>6303</v>
      </c>
      <c r="E3721" t="str">
        <f>"3730101640143"</f>
        <v>0</v>
      </c>
      <c r="F3721" t="str">
        <f>"000840"</f>
        <v>0</v>
      </c>
      <c r="G3721" t="s">
        <v>21</v>
      </c>
    </row>
    <row r="3722" spans="1:7">
      <c r="A3722">
        <v>3721</v>
      </c>
      <c r="B3722" t="str">
        <f>"014293"</f>
        <v>0</v>
      </c>
      <c r="C3722" t="s">
        <v>520</v>
      </c>
      <c r="D3722" t="s">
        <v>6304</v>
      </c>
      <c r="E3722" t="str">
        <f>"3730100015172"</f>
        <v>0</v>
      </c>
      <c r="F3722" t="str">
        <f>"000840"</f>
        <v>0</v>
      </c>
      <c r="G3722" t="s">
        <v>21</v>
      </c>
    </row>
    <row r="3723" spans="1:7">
      <c r="A3723">
        <v>3722</v>
      </c>
      <c r="B3723" t="str">
        <f>"014437"</f>
        <v>0</v>
      </c>
      <c r="C3723" t="s">
        <v>6305</v>
      </c>
      <c r="D3723" t="s">
        <v>6306</v>
      </c>
      <c r="E3723" t="str">
        <f>"3259900077337"</f>
        <v>0</v>
      </c>
      <c r="F3723" t="str">
        <f>"000840"</f>
        <v>0</v>
      </c>
      <c r="G3723" t="s">
        <v>21</v>
      </c>
    </row>
    <row r="3724" spans="1:7">
      <c r="A3724">
        <v>3723</v>
      </c>
      <c r="B3724" t="str">
        <f>"014547"</f>
        <v>0</v>
      </c>
      <c r="C3724" t="s">
        <v>2193</v>
      </c>
      <c r="D3724" t="s">
        <v>6307</v>
      </c>
      <c r="E3724" t="str">
        <f>"3100600736036"</f>
        <v>0</v>
      </c>
      <c r="F3724" t="str">
        <f>"000840"</f>
        <v>0</v>
      </c>
      <c r="G3724" t="s">
        <v>21</v>
      </c>
    </row>
    <row r="3725" spans="1:7">
      <c r="A3725">
        <v>3724</v>
      </c>
      <c r="B3725" t="str">
        <f>"015685"</f>
        <v>0</v>
      </c>
      <c r="C3725" t="s">
        <v>46</v>
      </c>
      <c r="D3725" t="s">
        <v>6308</v>
      </c>
      <c r="E3725" t="str">
        <f>"3739900145273"</f>
        <v>0</v>
      </c>
      <c r="F3725" t="str">
        <f>"000840"</f>
        <v>0</v>
      </c>
      <c r="G3725" t="s">
        <v>21</v>
      </c>
    </row>
    <row r="3726" spans="1:7">
      <c r="A3726">
        <v>3725</v>
      </c>
      <c r="B3726" t="str">
        <f>"016320"</f>
        <v>0</v>
      </c>
      <c r="C3726" t="s">
        <v>6309</v>
      </c>
      <c r="D3726" t="s">
        <v>6310</v>
      </c>
      <c r="E3726" t="str">
        <f>"3740100088439"</f>
        <v>0</v>
      </c>
      <c r="F3726" t="str">
        <f>"000840"</f>
        <v>0</v>
      </c>
      <c r="G3726" t="s">
        <v>21</v>
      </c>
    </row>
    <row r="3727" spans="1:7">
      <c r="A3727">
        <v>3726</v>
      </c>
      <c r="B3727" t="str">
        <f>"016422"</f>
        <v>0</v>
      </c>
      <c r="C3727" t="s">
        <v>3020</v>
      </c>
      <c r="D3727" t="s">
        <v>6311</v>
      </c>
      <c r="E3727" t="str">
        <f>"3730100730394"</f>
        <v>0</v>
      </c>
      <c r="F3727" t="str">
        <f>"000840"</f>
        <v>0</v>
      </c>
      <c r="G3727" t="s">
        <v>21</v>
      </c>
    </row>
    <row r="3728" spans="1:7">
      <c r="A3728">
        <v>3727</v>
      </c>
      <c r="B3728" t="str">
        <f>"016768"</f>
        <v>0</v>
      </c>
      <c r="C3728" t="s">
        <v>6312</v>
      </c>
      <c r="D3728" t="s">
        <v>6313</v>
      </c>
      <c r="E3728" t="str">
        <f>"3720300154371"</f>
        <v>0</v>
      </c>
      <c r="F3728" t="str">
        <f>"000840"</f>
        <v>0</v>
      </c>
      <c r="G3728" t="s">
        <v>21</v>
      </c>
    </row>
    <row r="3729" spans="1:7">
      <c r="A3729">
        <v>3728</v>
      </c>
      <c r="B3729" t="str">
        <f>"017248"</f>
        <v>0</v>
      </c>
      <c r="C3729" t="s">
        <v>837</v>
      </c>
      <c r="D3729" t="s">
        <v>6314</v>
      </c>
      <c r="E3729" t="str">
        <f>"3730601047573"</f>
        <v>0</v>
      </c>
      <c r="F3729" t="str">
        <f>"000840"</f>
        <v>0</v>
      </c>
      <c r="G3729" t="s">
        <v>21</v>
      </c>
    </row>
    <row r="3730" spans="1:7">
      <c r="A3730">
        <v>3729</v>
      </c>
      <c r="B3730" t="str">
        <f>"017720"</f>
        <v>0</v>
      </c>
      <c r="C3730" t="s">
        <v>5951</v>
      </c>
      <c r="D3730" t="s">
        <v>1913</v>
      </c>
      <c r="E3730" t="str">
        <f>"3110400542483"</f>
        <v>0</v>
      </c>
      <c r="F3730" t="str">
        <f>"000840"</f>
        <v>0</v>
      </c>
      <c r="G3730" t="s">
        <v>21</v>
      </c>
    </row>
    <row r="3731" spans="1:7">
      <c r="A3731">
        <v>3730</v>
      </c>
      <c r="B3731" t="str">
        <f>"018251"</f>
        <v>0</v>
      </c>
      <c r="C3731" t="s">
        <v>6315</v>
      </c>
      <c r="D3731" t="s">
        <v>4910</v>
      </c>
      <c r="E3731" t="str">
        <f>"3730200401511"</f>
        <v>0</v>
      </c>
      <c r="F3731" t="str">
        <f>"000840"</f>
        <v>0</v>
      </c>
      <c r="G3731" t="s">
        <v>21</v>
      </c>
    </row>
    <row r="3732" spans="1:7">
      <c r="A3732">
        <v>3731</v>
      </c>
      <c r="B3732" t="str">
        <f>"018540"</f>
        <v>0</v>
      </c>
      <c r="C3732" t="s">
        <v>352</v>
      </c>
      <c r="D3732" t="s">
        <v>6316</v>
      </c>
      <c r="E3732" t="str">
        <f>"3730300057197"</f>
        <v>0</v>
      </c>
      <c r="F3732" t="str">
        <f>"000840"</f>
        <v>0</v>
      </c>
      <c r="G3732" t="s">
        <v>21</v>
      </c>
    </row>
    <row r="3733" spans="1:7">
      <c r="A3733">
        <v>3732</v>
      </c>
      <c r="B3733" t="str">
        <f>"019229"</f>
        <v>0</v>
      </c>
      <c r="C3733" t="s">
        <v>6317</v>
      </c>
      <c r="D3733" t="s">
        <v>6318</v>
      </c>
      <c r="E3733" t="str">
        <f>"3739900243062"</f>
        <v>0</v>
      </c>
      <c r="F3733" t="str">
        <f>"000840"</f>
        <v>0</v>
      </c>
      <c r="G3733" t="s">
        <v>21</v>
      </c>
    </row>
    <row r="3734" spans="1:7">
      <c r="A3734">
        <v>3733</v>
      </c>
      <c r="B3734" t="str">
        <f>"024587"</f>
        <v>0</v>
      </c>
      <c r="C3734" t="s">
        <v>6319</v>
      </c>
      <c r="D3734" t="s">
        <v>6320</v>
      </c>
      <c r="E3734" t="str">
        <f>"3190900174921"</f>
        <v>0</v>
      </c>
      <c r="F3734" t="str">
        <f>"000840"</f>
        <v>0</v>
      </c>
      <c r="G3734" t="s">
        <v>21</v>
      </c>
    </row>
    <row r="3735" spans="1:7">
      <c r="A3735">
        <v>3734</v>
      </c>
      <c r="B3735" t="str">
        <f>"025205"</f>
        <v>0</v>
      </c>
      <c r="C3735" t="s">
        <v>6321</v>
      </c>
      <c r="D3735" t="s">
        <v>6322</v>
      </c>
      <c r="E3735" t="str">
        <f>"3249900201542"</f>
        <v>0</v>
      </c>
      <c r="F3735" t="str">
        <f>"000840"</f>
        <v>0</v>
      </c>
      <c r="G3735" t="s">
        <v>21</v>
      </c>
    </row>
    <row r="3736" spans="1:7">
      <c r="A3736">
        <v>3735</v>
      </c>
      <c r="B3736" t="str">
        <f>"027039"</f>
        <v>0</v>
      </c>
      <c r="C3736" t="s">
        <v>6323</v>
      </c>
      <c r="D3736" t="s">
        <v>6324</v>
      </c>
      <c r="E3736" t="str">
        <f>"3841000082170"</f>
        <v>0</v>
      </c>
      <c r="F3736" t="str">
        <f>"000840"</f>
        <v>0</v>
      </c>
      <c r="G3736" t="s">
        <v>21</v>
      </c>
    </row>
    <row r="3737" spans="1:7">
      <c r="A3737">
        <v>3736</v>
      </c>
      <c r="B3737" t="str">
        <f>"007724"</f>
        <v>0</v>
      </c>
      <c r="C3737" t="s">
        <v>6325</v>
      </c>
      <c r="D3737" t="s">
        <v>6326</v>
      </c>
      <c r="E3737" t="str">
        <f>"3869800013765"</f>
        <v>0</v>
      </c>
      <c r="F3737" t="str">
        <f>"000840"</f>
        <v>0</v>
      </c>
      <c r="G3737" t="s">
        <v>21</v>
      </c>
    </row>
    <row r="3738" spans="1:7">
      <c r="A3738">
        <v>3737</v>
      </c>
      <c r="B3738" t="str">
        <f>"012707"</f>
        <v>0</v>
      </c>
      <c r="C3738" t="s">
        <v>6327</v>
      </c>
      <c r="D3738" t="s">
        <v>6328</v>
      </c>
      <c r="E3738" t="str">
        <f>"3730100516619"</f>
        <v>0</v>
      </c>
      <c r="F3738" t="str">
        <f>"000840"</f>
        <v>0</v>
      </c>
      <c r="G3738" t="s">
        <v>21</v>
      </c>
    </row>
    <row r="3739" spans="1:7">
      <c r="A3739">
        <v>3738</v>
      </c>
      <c r="B3739" t="str">
        <f>"014132"</f>
        <v>0</v>
      </c>
      <c r="C3739" t="s">
        <v>6329</v>
      </c>
      <c r="D3739" t="s">
        <v>6330</v>
      </c>
      <c r="E3739" t="str">
        <f>"3739900091068"</f>
        <v>0</v>
      </c>
      <c r="F3739" t="str">
        <f>"000840"</f>
        <v>0</v>
      </c>
      <c r="G3739" t="s">
        <v>21</v>
      </c>
    </row>
    <row r="3740" spans="1:7">
      <c r="A3740">
        <v>3739</v>
      </c>
      <c r="B3740" t="str">
        <f>"014545"</f>
        <v>0</v>
      </c>
      <c r="C3740" t="s">
        <v>1021</v>
      </c>
      <c r="D3740" t="s">
        <v>6331</v>
      </c>
      <c r="E3740" t="str">
        <f>"3739900137467"</f>
        <v>0</v>
      </c>
      <c r="F3740" t="str">
        <f>"000840"</f>
        <v>0</v>
      </c>
      <c r="G3740" t="s">
        <v>21</v>
      </c>
    </row>
    <row r="3741" spans="1:7">
      <c r="A3741">
        <v>3740</v>
      </c>
      <c r="B3741" t="str">
        <f>"014546"</f>
        <v>0</v>
      </c>
      <c r="C3741" t="s">
        <v>3812</v>
      </c>
      <c r="D3741" t="s">
        <v>6332</v>
      </c>
      <c r="E3741" t="str">
        <f>"3730100986615"</f>
        <v>0</v>
      </c>
      <c r="F3741" t="str">
        <f>"000840"</f>
        <v>0</v>
      </c>
      <c r="G3741" t="s">
        <v>21</v>
      </c>
    </row>
    <row r="3742" spans="1:7">
      <c r="A3742">
        <v>3741</v>
      </c>
      <c r="B3742" t="str">
        <f>"021042"</f>
        <v>0</v>
      </c>
      <c r="C3742" t="s">
        <v>3791</v>
      </c>
      <c r="D3742" t="s">
        <v>6333</v>
      </c>
      <c r="E3742" t="str">
        <f>"3739900144986"</f>
        <v>0</v>
      </c>
      <c r="F3742" t="str">
        <f>"000840"</f>
        <v>0</v>
      </c>
      <c r="G3742" t="s">
        <v>21</v>
      </c>
    </row>
    <row r="3743" spans="1:7">
      <c r="A3743">
        <v>3742</v>
      </c>
      <c r="B3743" t="str">
        <f>"024573"</f>
        <v>0</v>
      </c>
      <c r="C3743" t="s">
        <v>6334</v>
      </c>
      <c r="D3743" t="s">
        <v>6335</v>
      </c>
      <c r="E3743" t="str">
        <f>"3730101297996"</f>
        <v>0</v>
      </c>
      <c r="F3743" t="str">
        <f>"000840"</f>
        <v>0</v>
      </c>
      <c r="G3743" t="s">
        <v>21</v>
      </c>
    </row>
    <row r="3744" spans="1:7">
      <c r="A3744">
        <v>3743</v>
      </c>
      <c r="B3744" t="str">
        <f>"020788"</f>
        <v>0</v>
      </c>
      <c r="C3744" t="s">
        <v>3513</v>
      </c>
      <c r="D3744" t="s">
        <v>6336</v>
      </c>
      <c r="E3744" t="str">
        <f>"3901200010228"</f>
        <v>0</v>
      </c>
      <c r="F3744" t="str">
        <f>"000840"</f>
        <v>0</v>
      </c>
      <c r="G3744" t="s">
        <v>21</v>
      </c>
    </row>
    <row r="3745" spans="1:7">
      <c r="A3745">
        <v>3744</v>
      </c>
      <c r="B3745" t="str">
        <f>"018758"</f>
        <v>0</v>
      </c>
      <c r="C3745" t="s">
        <v>1947</v>
      </c>
      <c r="D3745" t="s">
        <v>6337</v>
      </c>
      <c r="E3745" t="str">
        <f>"3801400520344"</f>
        <v>0</v>
      </c>
      <c r="F3745" t="str">
        <f>"000840"</f>
        <v>0</v>
      </c>
      <c r="G3745" t="s">
        <v>21</v>
      </c>
    </row>
    <row r="3746" spans="1:7">
      <c r="A3746">
        <v>3745</v>
      </c>
      <c r="B3746" t="str">
        <f>"022414"</f>
        <v>0</v>
      </c>
      <c r="C3746" t="s">
        <v>3133</v>
      </c>
      <c r="D3746" t="s">
        <v>6338</v>
      </c>
      <c r="E3746" t="str">
        <f>"5730290010033"</f>
        <v>0</v>
      </c>
      <c r="F3746" t="str">
        <f>"000840"</f>
        <v>0</v>
      </c>
      <c r="G3746" t="s">
        <v>21</v>
      </c>
    </row>
    <row r="3747" spans="1:7">
      <c r="A3747">
        <v>3746</v>
      </c>
      <c r="B3747" t="str">
        <f>"021163"</f>
        <v>0</v>
      </c>
      <c r="C3747" t="s">
        <v>4109</v>
      </c>
      <c r="D3747" t="s">
        <v>6339</v>
      </c>
      <c r="E3747" t="str">
        <f>"3309800038517"</f>
        <v>0</v>
      </c>
      <c r="F3747" t="str">
        <f>"000840"</f>
        <v>0</v>
      </c>
      <c r="G3747" t="s">
        <v>21</v>
      </c>
    </row>
    <row r="3748" spans="1:7">
      <c r="A3748">
        <v>3747</v>
      </c>
      <c r="B3748" t="str">
        <f>"021714"</f>
        <v>0</v>
      </c>
      <c r="C3748" t="s">
        <v>6340</v>
      </c>
      <c r="D3748" t="s">
        <v>6341</v>
      </c>
      <c r="E3748" t="str">
        <f>"3309901403571"</f>
        <v>0</v>
      </c>
      <c r="F3748" t="str">
        <f>"000840"</f>
        <v>0</v>
      </c>
      <c r="G3748" t="s">
        <v>21</v>
      </c>
    </row>
    <row r="3749" spans="1:7">
      <c r="A3749">
        <v>3748</v>
      </c>
      <c r="B3749" t="str">
        <f>"025876"</f>
        <v>0</v>
      </c>
      <c r="C3749" t="s">
        <v>6342</v>
      </c>
      <c r="D3749" t="s">
        <v>6343</v>
      </c>
      <c r="E3749" t="str">
        <f>"1439900148601"</f>
        <v>0</v>
      </c>
      <c r="F3749" t="str">
        <f>"000840"</f>
        <v>0</v>
      </c>
      <c r="G3749" t="s">
        <v>21</v>
      </c>
    </row>
    <row r="3750" spans="1:7">
      <c r="A3750">
        <v>3749</v>
      </c>
      <c r="B3750" t="str">
        <f>"024607"</f>
        <v>0</v>
      </c>
      <c r="C3750" t="s">
        <v>6344</v>
      </c>
      <c r="D3750" t="s">
        <v>6345</v>
      </c>
      <c r="E3750" t="str">
        <f>"1509900262623"</f>
        <v>0</v>
      </c>
      <c r="F3750" t="str">
        <f>"000840"</f>
        <v>0</v>
      </c>
      <c r="G3750" t="s">
        <v>21</v>
      </c>
    </row>
    <row r="3751" spans="1:7">
      <c r="A3751">
        <v>3750</v>
      </c>
      <c r="B3751" t="str">
        <f>"023445"</f>
        <v>0</v>
      </c>
      <c r="C3751" t="s">
        <v>6346</v>
      </c>
      <c r="D3751" t="s">
        <v>6347</v>
      </c>
      <c r="E3751" t="str">
        <f>"1600900006369"</f>
        <v>0</v>
      </c>
      <c r="F3751" t="str">
        <f>"000840"</f>
        <v>0</v>
      </c>
      <c r="G3751" t="s">
        <v>21</v>
      </c>
    </row>
    <row r="3752" spans="1:7">
      <c r="A3752">
        <v>3751</v>
      </c>
      <c r="B3752" t="str">
        <f>"022457"</f>
        <v>0</v>
      </c>
      <c r="C3752" t="s">
        <v>3727</v>
      </c>
      <c r="D3752" t="s">
        <v>6348</v>
      </c>
      <c r="E3752" t="str">
        <f>"3659900643169"</f>
        <v>0</v>
      </c>
      <c r="F3752" t="str">
        <f>"000840"</f>
        <v>0</v>
      </c>
      <c r="G3752" t="s">
        <v>21</v>
      </c>
    </row>
    <row r="3753" spans="1:7">
      <c r="A3753">
        <v>3752</v>
      </c>
      <c r="B3753" t="str">
        <f>"011434"</f>
        <v>0</v>
      </c>
      <c r="C3753" t="s">
        <v>409</v>
      </c>
      <c r="D3753" t="s">
        <v>6349</v>
      </c>
      <c r="E3753" t="str">
        <f>"3700700576477"</f>
        <v>0</v>
      </c>
      <c r="F3753" t="str">
        <f>"000840"</f>
        <v>0</v>
      </c>
      <c r="G3753" t="s">
        <v>21</v>
      </c>
    </row>
    <row r="3754" spans="1:7">
      <c r="A3754">
        <v>3753</v>
      </c>
      <c r="B3754" t="str">
        <f>"023337"</f>
        <v>0</v>
      </c>
      <c r="C3754" t="s">
        <v>6350</v>
      </c>
      <c r="D3754" t="s">
        <v>6351</v>
      </c>
      <c r="E3754" t="str">
        <f>"3700500628937"</f>
        <v>0</v>
      </c>
      <c r="F3754" t="str">
        <f>"000840"</f>
        <v>0</v>
      </c>
      <c r="G3754" t="s">
        <v>21</v>
      </c>
    </row>
    <row r="3755" spans="1:7">
      <c r="A3755">
        <v>3754</v>
      </c>
      <c r="B3755" t="str">
        <f>"024007"</f>
        <v>0</v>
      </c>
      <c r="C3755" t="s">
        <v>731</v>
      </c>
      <c r="D3755" t="s">
        <v>6352</v>
      </c>
      <c r="E3755" t="str">
        <f>"1349700005343"</f>
        <v>0</v>
      </c>
      <c r="F3755" t="str">
        <f>"000840"</f>
        <v>0</v>
      </c>
      <c r="G3755" t="s">
        <v>21</v>
      </c>
    </row>
    <row r="3756" spans="1:7">
      <c r="A3756">
        <v>3755</v>
      </c>
      <c r="B3756" t="str">
        <f>"019431"</f>
        <v>0</v>
      </c>
      <c r="C3756" t="s">
        <v>4324</v>
      </c>
      <c r="D3756" t="s">
        <v>6353</v>
      </c>
      <c r="E3756" t="str">
        <f>"3420500064335"</f>
        <v>0</v>
      </c>
      <c r="F3756" t="str">
        <f>"000840"</f>
        <v>0</v>
      </c>
      <c r="G3756" t="s">
        <v>21</v>
      </c>
    </row>
    <row r="3757" spans="1:7">
      <c r="A3757">
        <v>3756</v>
      </c>
      <c r="B3757" t="str">
        <f>"026485"</f>
        <v>0</v>
      </c>
      <c r="C3757" t="s">
        <v>6354</v>
      </c>
      <c r="D3757" t="s">
        <v>6355</v>
      </c>
      <c r="E3757" t="str">
        <f>"1719900236868"</f>
        <v>0</v>
      </c>
      <c r="F3757" t="str">
        <f>"000840"</f>
        <v>0</v>
      </c>
      <c r="G3757" t="s">
        <v>21</v>
      </c>
    </row>
    <row r="3758" spans="1:7">
      <c r="A3758">
        <v>3757</v>
      </c>
      <c r="B3758" t="str">
        <f>"009763"</f>
        <v>0</v>
      </c>
      <c r="C3758" t="s">
        <v>5340</v>
      </c>
      <c r="D3758" t="s">
        <v>6356</v>
      </c>
      <c r="E3758" t="str">
        <f>"5720600009801"</f>
        <v>0</v>
      </c>
      <c r="F3758" t="str">
        <f>"000840"</f>
        <v>0</v>
      </c>
      <c r="G3758" t="s">
        <v>21</v>
      </c>
    </row>
    <row r="3759" spans="1:7">
      <c r="A3759">
        <v>3758</v>
      </c>
      <c r="B3759" t="str">
        <f>"024608"</f>
        <v>0</v>
      </c>
      <c r="C3759" t="s">
        <v>5647</v>
      </c>
      <c r="D3759" t="s">
        <v>6357</v>
      </c>
      <c r="E3759" t="str">
        <f>"1710500161510"</f>
        <v>0</v>
      </c>
      <c r="F3759" t="str">
        <f>"000840"</f>
        <v>0</v>
      </c>
      <c r="G3759" t="s">
        <v>21</v>
      </c>
    </row>
    <row r="3760" spans="1:7">
      <c r="A3760">
        <v>3759</v>
      </c>
      <c r="B3760" t="str">
        <f>"025617"</f>
        <v>0</v>
      </c>
      <c r="C3760" t="s">
        <v>6358</v>
      </c>
      <c r="D3760" t="s">
        <v>6359</v>
      </c>
      <c r="E3760" t="str">
        <f>"1101800275398"</f>
        <v>0</v>
      </c>
      <c r="F3760" t="str">
        <f>"000840"</f>
        <v>0</v>
      </c>
      <c r="G3760" t="s">
        <v>21</v>
      </c>
    </row>
    <row r="3761" spans="1:7">
      <c r="A3761">
        <v>3760</v>
      </c>
      <c r="B3761" t="str">
        <f>"010180"</f>
        <v>0</v>
      </c>
      <c r="C3761" t="s">
        <v>1804</v>
      </c>
      <c r="D3761" t="s">
        <v>6360</v>
      </c>
      <c r="E3761" t="str">
        <f>"3730400176601"</f>
        <v>0</v>
      </c>
      <c r="F3761" t="str">
        <f>"000840"</f>
        <v>0</v>
      </c>
      <c r="G3761" t="s">
        <v>21</v>
      </c>
    </row>
    <row r="3762" spans="1:7">
      <c r="A3762">
        <v>3761</v>
      </c>
      <c r="B3762" t="str">
        <f>"011369"</f>
        <v>0</v>
      </c>
      <c r="C3762" t="s">
        <v>6361</v>
      </c>
      <c r="D3762" t="s">
        <v>6362</v>
      </c>
      <c r="E3762" t="str">
        <f>"3730400013426"</f>
        <v>0</v>
      </c>
      <c r="F3762" t="str">
        <f>"000840"</f>
        <v>0</v>
      </c>
      <c r="G3762" t="s">
        <v>21</v>
      </c>
    </row>
    <row r="3763" spans="1:7">
      <c r="A3763">
        <v>3762</v>
      </c>
      <c r="B3763" t="str">
        <f>"011417"</f>
        <v>0</v>
      </c>
      <c r="C3763" t="s">
        <v>4395</v>
      </c>
      <c r="D3763" t="s">
        <v>6363</v>
      </c>
      <c r="E3763" t="str">
        <f>"3710500961920"</f>
        <v>0</v>
      </c>
      <c r="F3763" t="str">
        <f>"000840"</f>
        <v>0</v>
      </c>
      <c r="G3763" t="s">
        <v>21</v>
      </c>
    </row>
    <row r="3764" spans="1:7">
      <c r="A3764">
        <v>3763</v>
      </c>
      <c r="B3764" t="str">
        <f>"011999"</f>
        <v>0</v>
      </c>
      <c r="C3764" t="s">
        <v>6364</v>
      </c>
      <c r="D3764" t="s">
        <v>6365</v>
      </c>
      <c r="E3764" t="str">
        <f>"3100502566012"</f>
        <v>0</v>
      </c>
      <c r="F3764" t="str">
        <f>"000840"</f>
        <v>0</v>
      </c>
      <c r="G3764" t="s">
        <v>21</v>
      </c>
    </row>
    <row r="3765" spans="1:7">
      <c r="A3765">
        <v>3764</v>
      </c>
      <c r="B3765" t="str">
        <f>"012078"</f>
        <v>0</v>
      </c>
      <c r="C3765" t="s">
        <v>6366</v>
      </c>
      <c r="D3765" t="s">
        <v>6367</v>
      </c>
      <c r="E3765" t="str">
        <f>"3820500015217"</f>
        <v>0</v>
      </c>
      <c r="F3765" t="str">
        <f>"000840"</f>
        <v>0</v>
      </c>
      <c r="G3765" t="s">
        <v>21</v>
      </c>
    </row>
    <row r="3766" spans="1:7">
      <c r="A3766">
        <v>3765</v>
      </c>
      <c r="B3766" t="str">
        <f>"015037"</f>
        <v>0</v>
      </c>
      <c r="C3766" t="s">
        <v>6368</v>
      </c>
      <c r="D3766" t="s">
        <v>6369</v>
      </c>
      <c r="E3766" t="str">
        <f>"3730300262432"</f>
        <v>0</v>
      </c>
      <c r="F3766" t="str">
        <f>"000840"</f>
        <v>0</v>
      </c>
      <c r="G3766" t="s">
        <v>21</v>
      </c>
    </row>
    <row r="3767" spans="1:7">
      <c r="A3767">
        <v>3766</v>
      </c>
      <c r="B3767" t="str">
        <f>"015919"</f>
        <v>0</v>
      </c>
      <c r="C3767" t="s">
        <v>6370</v>
      </c>
      <c r="D3767" t="s">
        <v>6371</v>
      </c>
      <c r="E3767" t="str">
        <f>"3770300018647"</f>
        <v>0</v>
      </c>
      <c r="F3767" t="str">
        <f>"000840"</f>
        <v>0</v>
      </c>
      <c r="G3767" t="s">
        <v>21</v>
      </c>
    </row>
    <row r="3768" spans="1:7">
      <c r="A3768">
        <v>3767</v>
      </c>
      <c r="B3768" t="str">
        <f>"016106"</f>
        <v>0</v>
      </c>
      <c r="C3768" t="s">
        <v>5129</v>
      </c>
      <c r="D3768" t="s">
        <v>6372</v>
      </c>
      <c r="E3768" t="str">
        <f>"3730500233975"</f>
        <v>0</v>
      </c>
      <c r="F3768" t="str">
        <f>"000840"</f>
        <v>0</v>
      </c>
      <c r="G3768" t="s">
        <v>21</v>
      </c>
    </row>
    <row r="3769" spans="1:7">
      <c r="A3769">
        <v>3768</v>
      </c>
      <c r="B3769" t="str">
        <f>"016706"</f>
        <v>0</v>
      </c>
      <c r="C3769" t="s">
        <v>6373</v>
      </c>
      <c r="D3769" t="s">
        <v>6374</v>
      </c>
      <c r="E3769" t="str">
        <f>"3710501132889"</f>
        <v>0</v>
      </c>
      <c r="F3769" t="str">
        <f>"000840"</f>
        <v>0</v>
      </c>
      <c r="G3769" t="s">
        <v>21</v>
      </c>
    </row>
    <row r="3770" spans="1:7">
      <c r="A3770">
        <v>3769</v>
      </c>
      <c r="B3770" t="str">
        <f>"017224"</f>
        <v>0</v>
      </c>
      <c r="C3770" t="s">
        <v>6375</v>
      </c>
      <c r="D3770" t="s">
        <v>6376</v>
      </c>
      <c r="E3770" t="str">
        <f>"3829900024718"</f>
        <v>0</v>
      </c>
      <c r="F3770" t="str">
        <f>"000840"</f>
        <v>0</v>
      </c>
      <c r="G3770" t="s">
        <v>21</v>
      </c>
    </row>
    <row r="3771" spans="1:7">
      <c r="A3771">
        <v>3770</v>
      </c>
      <c r="B3771" t="str">
        <f>"017763"</f>
        <v>0</v>
      </c>
      <c r="C3771" t="s">
        <v>6377</v>
      </c>
      <c r="D3771" t="s">
        <v>6378</v>
      </c>
      <c r="E3771" t="str">
        <f>"3730101591339"</f>
        <v>0</v>
      </c>
      <c r="F3771" t="str">
        <f>"000840"</f>
        <v>0</v>
      </c>
      <c r="G3771" t="s">
        <v>21</v>
      </c>
    </row>
    <row r="3772" spans="1:7">
      <c r="A3772">
        <v>3771</v>
      </c>
      <c r="B3772" t="str">
        <f>"018502"</f>
        <v>0</v>
      </c>
      <c r="C3772" t="s">
        <v>798</v>
      </c>
      <c r="D3772" t="s">
        <v>6379</v>
      </c>
      <c r="E3772" t="str">
        <f>"3730101064908"</f>
        <v>0</v>
      </c>
      <c r="F3772" t="str">
        <f>"000840"</f>
        <v>0</v>
      </c>
      <c r="G3772" t="s">
        <v>21</v>
      </c>
    </row>
    <row r="3773" spans="1:7">
      <c r="A3773">
        <v>3772</v>
      </c>
      <c r="B3773" t="str">
        <f>"018531"</f>
        <v>0</v>
      </c>
      <c r="C3773" t="s">
        <v>144</v>
      </c>
      <c r="D3773" t="s">
        <v>6380</v>
      </c>
      <c r="E3773" t="str">
        <f>"3401600668551"</f>
        <v>0</v>
      </c>
      <c r="F3773" t="str">
        <f>"000840"</f>
        <v>0</v>
      </c>
      <c r="G3773" t="s">
        <v>21</v>
      </c>
    </row>
    <row r="3774" spans="1:7">
      <c r="A3774">
        <v>3773</v>
      </c>
      <c r="B3774" t="str">
        <f>"019469"</f>
        <v>0</v>
      </c>
      <c r="C3774" t="s">
        <v>6381</v>
      </c>
      <c r="D3774" t="s">
        <v>6382</v>
      </c>
      <c r="E3774" t="str">
        <f>"3720300063383"</f>
        <v>0</v>
      </c>
      <c r="F3774" t="str">
        <f>"000840"</f>
        <v>0</v>
      </c>
      <c r="G3774" t="s">
        <v>21</v>
      </c>
    </row>
    <row r="3775" spans="1:7">
      <c r="A3775">
        <v>3774</v>
      </c>
      <c r="B3775" t="str">
        <f>"020701"</f>
        <v>0</v>
      </c>
      <c r="C3775" t="s">
        <v>6383</v>
      </c>
      <c r="D3775" t="s">
        <v>6384</v>
      </c>
      <c r="E3775" t="str">
        <f>"3730200112579"</f>
        <v>0</v>
      </c>
      <c r="F3775" t="str">
        <f>"000840"</f>
        <v>0</v>
      </c>
      <c r="G3775" t="s">
        <v>21</v>
      </c>
    </row>
    <row r="3776" spans="1:7">
      <c r="A3776">
        <v>3775</v>
      </c>
      <c r="B3776" t="str">
        <f>"021161"</f>
        <v>0</v>
      </c>
      <c r="C3776" t="s">
        <v>1326</v>
      </c>
      <c r="D3776" t="s">
        <v>6385</v>
      </c>
      <c r="E3776" t="str">
        <f>"3730200046673"</f>
        <v>0</v>
      </c>
      <c r="F3776" t="str">
        <f>"000840"</f>
        <v>0</v>
      </c>
      <c r="G3776" t="s">
        <v>21</v>
      </c>
    </row>
    <row r="3777" spans="1:7">
      <c r="A3777">
        <v>3776</v>
      </c>
      <c r="B3777" t="str">
        <f>"021742"</f>
        <v>0</v>
      </c>
      <c r="C3777" t="s">
        <v>6386</v>
      </c>
      <c r="D3777" t="s">
        <v>6387</v>
      </c>
      <c r="E3777" t="str">
        <f>"3801300791940"</f>
        <v>0</v>
      </c>
      <c r="F3777" t="str">
        <f>"000840"</f>
        <v>0</v>
      </c>
      <c r="G3777" t="s">
        <v>21</v>
      </c>
    </row>
    <row r="3778" spans="1:7">
      <c r="A3778">
        <v>3777</v>
      </c>
      <c r="B3778" t="str">
        <f>"021754"</f>
        <v>0</v>
      </c>
      <c r="C3778" t="s">
        <v>50</v>
      </c>
      <c r="D3778" t="s">
        <v>712</v>
      </c>
      <c r="E3778" t="str">
        <f>"3730600099502"</f>
        <v>0</v>
      </c>
      <c r="F3778" t="str">
        <f>"000840"</f>
        <v>0</v>
      </c>
      <c r="G3778" t="s">
        <v>21</v>
      </c>
    </row>
    <row r="3779" spans="1:7">
      <c r="A3779">
        <v>3778</v>
      </c>
      <c r="B3779" t="str">
        <f>"021914"</f>
        <v>0</v>
      </c>
      <c r="C3779" t="s">
        <v>6388</v>
      </c>
      <c r="D3779" t="s">
        <v>6389</v>
      </c>
      <c r="E3779" t="str">
        <f>"3730400358750"</f>
        <v>0</v>
      </c>
      <c r="F3779" t="str">
        <f>"000840"</f>
        <v>0</v>
      </c>
      <c r="G3779" t="s">
        <v>21</v>
      </c>
    </row>
    <row r="3780" spans="1:7">
      <c r="A3780">
        <v>3779</v>
      </c>
      <c r="B3780" t="str">
        <f>"021923"</f>
        <v>0</v>
      </c>
      <c r="C3780" t="s">
        <v>1605</v>
      </c>
      <c r="D3780" t="s">
        <v>6390</v>
      </c>
      <c r="E3780" t="str">
        <f>"3730600149585"</f>
        <v>0</v>
      </c>
      <c r="F3780" t="str">
        <f>"000840"</f>
        <v>0</v>
      </c>
      <c r="G3780" t="s">
        <v>21</v>
      </c>
    </row>
    <row r="3781" spans="1:7">
      <c r="A3781">
        <v>3780</v>
      </c>
      <c r="B3781" t="str">
        <f>"022157"</f>
        <v>0</v>
      </c>
      <c r="C3781" t="s">
        <v>6391</v>
      </c>
      <c r="D3781" t="s">
        <v>6392</v>
      </c>
      <c r="E3781" t="str">
        <f>"3301500480942"</f>
        <v>0</v>
      </c>
      <c r="F3781" t="str">
        <f>"000840"</f>
        <v>0</v>
      </c>
      <c r="G3781" t="s">
        <v>21</v>
      </c>
    </row>
    <row r="3782" spans="1:7">
      <c r="A3782">
        <v>3781</v>
      </c>
      <c r="B3782" t="str">
        <f>"022476"</f>
        <v>0</v>
      </c>
      <c r="C3782" t="s">
        <v>6393</v>
      </c>
      <c r="D3782" t="s">
        <v>6394</v>
      </c>
      <c r="E3782" t="str">
        <f>"3730200956599"</f>
        <v>0</v>
      </c>
      <c r="F3782" t="str">
        <f>"000840"</f>
        <v>0</v>
      </c>
      <c r="G3782" t="s">
        <v>21</v>
      </c>
    </row>
    <row r="3783" spans="1:7">
      <c r="A3783">
        <v>3782</v>
      </c>
      <c r="B3783" t="str">
        <f>"022709"</f>
        <v>0</v>
      </c>
      <c r="C3783" t="s">
        <v>6395</v>
      </c>
      <c r="D3783" t="s">
        <v>6396</v>
      </c>
      <c r="E3783" t="str">
        <f>"3730100622095"</f>
        <v>0</v>
      </c>
      <c r="F3783" t="str">
        <f>"000840"</f>
        <v>0</v>
      </c>
      <c r="G3783" t="s">
        <v>21</v>
      </c>
    </row>
    <row r="3784" spans="1:7">
      <c r="A3784">
        <v>3783</v>
      </c>
      <c r="B3784" t="str">
        <f>"022815"</f>
        <v>0</v>
      </c>
      <c r="C3784" t="s">
        <v>6397</v>
      </c>
      <c r="D3784" t="s">
        <v>6398</v>
      </c>
      <c r="E3784" t="str">
        <f>"1739900041242"</f>
        <v>0</v>
      </c>
      <c r="F3784" t="str">
        <f>"000840"</f>
        <v>0</v>
      </c>
      <c r="G3784" t="s">
        <v>21</v>
      </c>
    </row>
    <row r="3785" spans="1:7">
      <c r="A3785">
        <v>3784</v>
      </c>
      <c r="B3785" t="str">
        <f>"023020"</f>
        <v>0</v>
      </c>
      <c r="C3785" t="s">
        <v>6255</v>
      </c>
      <c r="D3785" t="s">
        <v>6399</v>
      </c>
      <c r="E3785" t="str">
        <f>"3730200170382"</f>
        <v>0</v>
      </c>
      <c r="F3785" t="str">
        <f>"000840"</f>
        <v>0</v>
      </c>
      <c r="G3785" t="s">
        <v>21</v>
      </c>
    </row>
    <row r="3786" spans="1:7">
      <c r="A3786">
        <v>3785</v>
      </c>
      <c r="B3786" t="str">
        <f>"023393"</f>
        <v>0</v>
      </c>
      <c r="C3786" t="s">
        <v>6400</v>
      </c>
      <c r="D3786" t="s">
        <v>6401</v>
      </c>
      <c r="E3786" t="str">
        <f>"3730300202723"</f>
        <v>0</v>
      </c>
      <c r="F3786" t="str">
        <f>"000840"</f>
        <v>0</v>
      </c>
      <c r="G3786" t="s">
        <v>21</v>
      </c>
    </row>
    <row r="3787" spans="1:7">
      <c r="A3787">
        <v>3786</v>
      </c>
      <c r="B3787" t="str">
        <f>"023569"</f>
        <v>0</v>
      </c>
      <c r="C3787" t="s">
        <v>6402</v>
      </c>
      <c r="D3787" t="s">
        <v>6403</v>
      </c>
      <c r="E3787" t="str">
        <f>"1100500306441"</f>
        <v>0</v>
      </c>
      <c r="F3787" t="str">
        <f>"000840"</f>
        <v>0</v>
      </c>
      <c r="G3787" t="s">
        <v>21</v>
      </c>
    </row>
    <row r="3788" spans="1:7">
      <c r="A3788">
        <v>3787</v>
      </c>
      <c r="B3788" t="str">
        <f>"023647"</f>
        <v>0</v>
      </c>
      <c r="C3788" t="s">
        <v>6404</v>
      </c>
      <c r="D3788" t="s">
        <v>6405</v>
      </c>
      <c r="E3788" t="str">
        <f>"3730100338052"</f>
        <v>0</v>
      </c>
      <c r="F3788" t="str">
        <f>"000840"</f>
        <v>0</v>
      </c>
      <c r="G3788" t="s">
        <v>21</v>
      </c>
    </row>
    <row r="3789" spans="1:7">
      <c r="A3789">
        <v>3788</v>
      </c>
      <c r="B3789" t="str">
        <f>"023664"</f>
        <v>0</v>
      </c>
      <c r="C3789" t="s">
        <v>6225</v>
      </c>
      <c r="D3789" t="s">
        <v>6406</v>
      </c>
      <c r="E3789" t="str">
        <f>"3730600632472"</f>
        <v>0</v>
      </c>
      <c r="F3789" t="str">
        <f>"000840"</f>
        <v>0</v>
      </c>
      <c r="G3789" t="s">
        <v>21</v>
      </c>
    </row>
    <row r="3790" spans="1:7">
      <c r="A3790">
        <v>3789</v>
      </c>
      <c r="B3790" t="str">
        <f>"023961"</f>
        <v>0</v>
      </c>
      <c r="C3790" t="s">
        <v>2241</v>
      </c>
      <c r="D3790" t="s">
        <v>6407</v>
      </c>
      <c r="E3790" t="str">
        <f>"1739900032031"</f>
        <v>0</v>
      </c>
      <c r="F3790" t="str">
        <f>"000840"</f>
        <v>0</v>
      </c>
      <c r="G3790" t="s">
        <v>21</v>
      </c>
    </row>
    <row r="3791" spans="1:7">
      <c r="A3791">
        <v>3790</v>
      </c>
      <c r="B3791" t="str">
        <f>"023964"</f>
        <v>0</v>
      </c>
      <c r="C3791" t="s">
        <v>6408</v>
      </c>
      <c r="D3791" t="s">
        <v>6379</v>
      </c>
      <c r="E3791" t="str">
        <f>"3730101064959"</f>
        <v>0</v>
      </c>
      <c r="F3791" t="str">
        <f>"000840"</f>
        <v>0</v>
      </c>
      <c r="G3791" t="s">
        <v>21</v>
      </c>
    </row>
    <row r="3792" spans="1:7">
      <c r="A3792">
        <v>3791</v>
      </c>
      <c r="B3792" t="str">
        <f>"024045"</f>
        <v>0</v>
      </c>
      <c r="C3792" t="s">
        <v>6409</v>
      </c>
      <c r="D3792" t="s">
        <v>6410</v>
      </c>
      <c r="E3792" t="str">
        <f>"3730100991937"</f>
        <v>0</v>
      </c>
      <c r="F3792" t="str">
        <f>"000840"</f>
        <v>0</v>
      </c>
      <c r="G3792" t="s">
        <v>21</v>
      </c>
    </row>
    <row r="3793" spans="1:7">
      <c r="A3793">
        <v>3792</v>
      </c>
      <c r="B3793" t="str">
        <f>"024056"</f>
        <v>0</v>
      </c>
      <c r="C3793" t="s">
        <v>6411</v>
      </c>
      <c r="D3793" t="s">
        <v>6412</v>
      </c>
      <c r="E3793" t="str">
        <f>"3730100621510"</f>
        <v>0</v>
      </c>
      <c r="F3793" t="str">
        <f>"000840"</f>
        <v>0</v>
      </c>
      <c r="G3793" t="s">
        <v>21</v>
      </c>
    </row>
    <row r="3794" spans="1:7">
      <c r="A3794">
        <v>3793</v>
      </c>
      <c r="B3794" t="str">
        <f>"024132"</f>
        <v>0</v>
      </c>
      <c r="C3794" t="s">
        <v>3957</v>
      </c>
      <c r="D3794" t="s">
        <v>6413</v>
      </c>
      <c r="E3794" t="str">
        <f>"1739900151030"</f>
        <v>0</v>
      </c>
      <c r="F3794" t="str">
        <f>"000840"</f>
        <v>0</v>
      </c>
      <c r="G3794" t="s">
        <v>21</v>
      </c>
    </row>
    <row r="3795" spans="1:7">
      <c r="A3795">
        <v>3794</v>
      </c>
      <c r="B3795" t="str">
        <f>"024326"</f>
        <v>0</v>
      </c>
      <c r="C3795" t="s">
        <v>6414</v>
      </c>
      <c r="D3795" t="s">
        <v>6415</v>
      </c>
      <c r="E3795" t="str">
        <f>"1102200052160"</f>
        <v>0</v>
      </c>
      <c r="F3795" t="str">
        <f>"000840"</f>
        <v>0</v>
      </c>
      <c r="G3795" t="s">
        <v>21</v>
      </c>
    </row>
    <row r="3796" spans="1:7">
      <c r="A3796">
        <v>3795</v>
      </c>
      <c r="B3796" t="str">
        <f>"024483"</f>
        <v>0</v>
      </c>
      <c r="C3796" t="s">
        <v>606</v>
      </c>
      <c r="D3796" t="s">
        <v>6416</v>
      </c>
      <c r="E3796" t="str">
        <f>"3730200558798"</f>
        <v>0</v>
      </c>
      <c r="F3796" t="str">
        <f>"000840"</f>
        <v>0</v>
      </c>
      <c r="G3796" t="s">
        <v>21</v>
      </c>
    </row>
    <row r="3797" spans="1:7">
      <c r="A3797">
        <v>3796</v>
      </c>
      <c r="B3797" t="str">
        <f>"024720"</f>
        <v>0</v>
      </c>
      <c r="C3797" t="s">
        <v>6417</v>
      </c>
      <c r="D3797" t="s">
        <v>6418</v>
      </c>
      <c r="E3797" t="str">
        <f>"3730400357494"</f>
        <v>0</v>
      </c>
      <c r="F3797" t="str">
        <f>"000840"</f>
        <v>0</v>
      </c>
      <c r="G3797" t="s">
        <v>21</v>
      </c>
    </row>
    <row r="3798" spans="1:7">
      <c r="A3798">
        <v>3797</v>
      </c>
      <c r="B3798" t="str">
        <f>"024766"</f>
        <v>0</v>
      </c>
      <c r="C3798" t="s">
        <v>6419</v>
      </c>
      <c r="D3798" t="s">
        <v>6420</v>
      </c>
      <c r="E3798" t="str">
        <f>"1730300021218"</f>
        <v>0</v>
      </c>
      <c r="F3798" t="str">
        <f>"000840"</f>
        <v>0</v>
      </c>
      <c r="G3798" t="s">
        <v>21</v>
      </c>
    </row>
    <row r="3799" spans="1:7">
      <c r="A3799">
        <v>3798</v>
      </c>
      <c r="B3799" t="str">
        <f>"025378"</f>
        <v>0</v>
      </c>
      <c r="C3799" t="s">
        <v>3486</v>
      </c>
      <c r="D3799" t="s">
        <v>6421</v>
      </c>
      <c r="E3799" t="str">
        <f>"3730100323721"</f>
        <v>0</v>
      </c>
      <c r="F3799" t="str">
        <f>"000840"</f>
        <v>0</v>
      </c>
      <c r="G3799" t="s">
        <v>21</v>
      </c>
    </row>
    <row r="3800" spans="1:7">
      <c r="A3800">
        <v>3799</v>
      </c>
      <c r="B3800" t="str">
        <f>"025592"</f>
        <v>0</v>
      </c>
      <c r="C3800" t="s">
        <v>2749</v>
      </c>
      <c r="D3800" t="s">
        <v>6422</v>
      </c>
      <c r="E3800" t="str">
        <f>"3730100506095"</f>
        <v>0</v>
      </c>
      <c r="F3800" t="str">
        <f>"000840"</f>
        <v>0</v>
      </c>
      <c r="G3800" t="s">
        <v>21</v>
      </c>
    </row>
    <row r="3801" spans="1:7">
      <c r="A3801">
        <v>3800</v>
      </c>
      <c r="B3801" t="str">
        <f>"025593"</f>
        <v>0</v>
      </c>
      <c r="C3801" t="s">
        <v>6423</v>
      </c>
      <c r="D3801" t="s">
        <v>6424</v>
      </c>
      <c r="E3801" t="str">
        <f>"1739900150211"</f>
        <v>0</v>
      </c>
      <c r="F3801" t="str">
        <f>"000840"</f>
        <v>0</v>
      </c>
      <c r="G3801" t="s">
        <v>21</v>
      </c>
    </row>
    <row r="3802" spans="1:7">
      <c r="A3802">
        <v>3801</v>
      </c>
      <c r="B3802" t="str">
        <f>"025739"</f>
        <v>0</v>
      </c>
      <c r="C3802" t="s">
        <v>6425</v>
      </c>
      <c r="D3802" t="s">
        <v>6426</v>
      </c>
      <c r="E3802" t="str">
        <f>"1440900139212"</f>
        <v>0</v>
      </c>
      <c r="F3802" t="str">
        <f>"000840"</f>
        <v>0</v>
      </c>
      <c r="G3802" t="s">
        <v>21</v>
      </c>
    </row>
    <row r="3803" spans="1:7">
      <c r="A3803">
        <v>3802</v>
      </c>
      <c r="B3803" t="str">
        <f>"023548"</f>
        <v>0</v>
      </c>
      <c r="C3803" t="s">
        <v>6427</v>
      </c>
      <c r="D3803" t="s">
        <v>6428</v>
      </c>
      <c r="E3803" t="str">
        <f>"3309901543411"</f>
        <v>0</v>
      </c>
      <c r="F3803" t="str">
        <f>"000840"</f>
        <v>0</v>
      </c>
      <c r="G3803" t="s">
        <v>21</v>
      </c>
    </row>
    <row r="3804" spans="1:7">
      <c r="A3804">
        <v>3803</v>
      </c>
      <c r="B3804" t="str">
        <f>"024191"</f>
        <v>0</v>
      </c>
      <c r="C3804" t="s">
        <v>3073</v>
      </c>
      <c r="D3804" t="s">
        <v>6429</v>
      </c>
      <c r="E3804" t="str">
        <f>"3102300020592"</f>
        <v>0</v>
      </c>
      <c r="F3804" t="str">
        <f>"000840"</f>
        <v>0</v>
      </c>
      <c r="G3804" t="s">
        <v>21</v>
      </c>
    </row>
    <row r="3805" spans="1:7">
      <c r="A3805">
        <v>3804</v>
      </c>
      <c r="B3805" t="str">
        <f>"020857"</f>
        <v>0</v>
      </c>
      <c r="C3805" t="s">
        <v>3740</v>
      </c>
      <c r="D3805" t="s">
        <v>6430</v>
      </c>
      <c r="E3805" t="str">
        <f>"3759900267042"</f>
        <v>0</v>
      </c>
      <c r="F3805" t="str">
        <f>"000840"</f>
        <v>0</v>
      </c>
      <c r="G3805" t="s">
        <v>21</v>
      </c>
    </row>
    <row r="3806" spans="1:7">
      <c r="A3806">
        <v>3805</v>
      </c>
      <c r="B3806" t="str">
        <f>"025640"</f>
        <v>0</v>
      </c>
      <c r="C3806" t="s">
        <v>6431</v>
      </c>
      <c r="D3806" t="s">
        <v>6432</v>
      </c>
      <c r="E3806" t="str">
        <f>"1709900542926"</f>
        <v>0</v>
      </c>
      <c r="F3806" t="str">
        <f>"000840"</f>
        <v>0</v>
      </c>
      <c r="G3806" t="s">
        <v>21</v>
      </c>
    </row>
    <row r="3807" spans="1:7">
      <c r="A3807">
        <v>3806</v>
      </c>
      <c r="B3807" t="str">
        <f>"000568"</f>
        <v>0</v>
      </c>
      <c r="C3807" t="s">
        <v>6433</v>
      </c>
      <c r="D3807" t="s">
        <v>6434</v>
      </c>
      <c r="E3807" t="str">
        <f>"5480190006819"</f>
        <v>0</v>
      </c>
      <c r="F3807" t="str">
        <f>"000850"</f>
        <v>0</v>
      </c>
      <c r="G3807" t="s">
        <v>21</v>
      </c>
    </row>
    <row r="3808" spans="1:7">
      <c r="A3808">
        <v>3807</v>
      </c>
      <c r="B3808" t="str">
        <f>"002086"</f>
        <v>0</v>
      </c>
      <c r="C3808" t="s">
        <v>6435</v>
      </c>
      <c r="D3808" t="s">
        <v>2834</v>
      </c>
      <c r="E3808" t="str">
        <f>"3480600086462"</f>
        <v>0</v>
      </c>
      <c r="F3808" t="str">
        <f>"000850"</f>
        <v>0</v>
      </c>
      <c r="G3808" t="s">
        <v>21</v>
      </c>
    </row>
    <row r="3809" spans="1:7">
      <c r="A3809">
        <v>3808</v>
      </c>
      <c r="B3809" t="str">
        <f>"003707"</f>
        <v>0</v>
      </c>
      <c r="C3809" t="s">
        <v>6436</v>
      </c>
      <c r="D3809" t="s">
        <v>6437</v>
      </c>
      <c r="E3809" t="str">
        <f>"3480100086307"</f>
        <v>0</v>
      </c>
      <c r="F3809" t="str">
        <f>"000850"</f>
        <v>0</v>
      </c>
      <c r="G3809" t="s">
        <v>21</v>
      </c>
    </row>
    <row r="3810" spans="1:7">
      <c r="A3810">
        <v>3809</v>
      </c>
      <c r="B3810" t="str">
        <f>"004035"</f>
        <v>0</v>
      </c>
      <c r="C3810" t="s">
        <v>6438</v>
      </c>
      <c r="D3810" t="s">
        <v>6439</v>
      </c>
      <c r="E3810" t="str">
        <f>"3480300101032"</f>
        <v>0</v>
      </c>
      <c r="F3810" t="str">
        <f>"000850"</f>
        <v>0</v>
      </c>
      <c r="G3810" t="s">
        <v>21</v>
      </c>
    </row>
    <row r="3811" spans="1:7">
      <c r="A3811">
        <v>3810</v>
      </c>
      <c r="B3811" t="str">
        <f>"004901"</f>
        <v>0</v>
      </c>
      <c r="C3811" t="s">
        <v>189</v>
      </c>
      <c r="D3811" t="s">
        <v>6440</v>
      </c>
      <c r="E3811" t="str">
        <f>"3489900036841"</f>
        <v>0</v>
      </c>
      <c r="F3811" t="str">
        <f>"000850"</f>
        <v>0</v>
      </c>
      <c r="G3811" t="s">
        <v>21</v>
      </c>
    </row>
    <row r="3812" spans="1:7">
      <c r="A3812">
        <v>3811</v>
      </c>
      <c r="B3812" t="str">
        <f>"005413"</f>
        <v>0</v>
      </c>
      <c r="C3812" t="s">
        <v>3841</v>
      </c>
      <c r="D3812" t="s">
        <v>4835</v>
      </c>
      <c r="E3812" t="str">
        <f>"3480300405996"</f>
        <v>0</v>
      </c>
      <c r="F3812" t="str">
        <f>"000850"</f>
        <v>0</v>
      </c>
      <c r="G3812" t="s">
        <v>21</v>
      </c>
    </row>
    <row r="3813" spans="1:7">
      <c r="A3813">
        <v>3812</v>
      </c>
      <c r="B3813" t="str">
        <f>"005847"</f>
        <v>0</v>
      </c>
      <c r="C3813" t="s">
        <v>3799</v>
      </c>
      <c r="D3813" t="s">
        <v>6441</v>
      </c>
      <c r="E3813" t="str">
        <f>"3489900179553"</f>
        <v>0</v>
      </c>
      <c r="F3813" t="str">
        <f>"000850"</f>
        <v>0</v>
      </c>
      <c r="G3813" t="s">
        <v>21</v>
      </c>
    </row>
    <row r="3814" spans="1:7">
      <c r="A3814">
        <v>3813</v>
      </c>
      <c r="B3814" t="str">
        <f>"006464"</f>
        <v>0</v>
      </c>
      <c r="C3814" t="s">
        <v>6442</v>
      </c>
      <c r="D3814" t="s">
        <v>6443</v>
      </c>
      <c r="E3814" t="str">
        <f>"3489900040491"</f>
        <v>0</v>
      </c>
      <c r="F3814" t="str">
        <f>"000850"</f>
        <v>0</v>
      </c>
      <c r="G3814" t="s">
        <v>21</v>
      </c>
    </row>
    <row r="3815" spans="1:7">
      <c r="A3815">
        <v>3814</v>
      </c>
      <c r="B3815" t="str">
        <f>"006652"</f>
        <v>0</v>
      </c>
      <c r="C3815" t="s">
        <v>326</v>
      </c>
      <c r="D3815" t="s">
        <v>6444</v>
      </c>
      <c r="E3815" t="str">
        <f>"3480700176471"</f>
        <v>0</v>
      </c>
      <c r="F3815" t="str">
        <f>"000850"</f>
        <v>0</v>
      </c>
      <c r="G3815" t="s">
        <v>21</v>
      </c>
    </row>
    <row r="3816" spans="1:7">
      <c r="A3816">
        <v>3815</v>
      </c>
      <c r="B3816" t="str">
        <f>"006817"</f>
        <v>0</v>
      </c>
      <c r="C3816" t="s">
        <v>6445</v>
      </c>
      <c r="D3816" t="s">
        <v>6440</v>
      </c>
      <c r="E3816" t="str">
        <f>"3489900036850"</f>
        <v>0</v>
      </c>
      <c r="F3816" t="str">
        <f>"000850"</f>
        <v>0</v>
      </c>
      <c r="G3816" t="s">
        <v>21</v>
      </c>
    </row>
    <row r="3817" spans="1:7">
      <c r="A3817">
        <v>3816</v>
      </c>
      <c r="B3817" t="str">
        <f>"007361"</f>
        <v>0</v>
      </c>
      <c r="C3817" t="s">
        <v>6446</v>
      </c>
      <c r="D3817" t="s">
        <v>2269</v>
      </c>
      <c r="E3817" t="str">
        <f>"3461000157823"</f>
        <v>0</v>
      </c>
      <c r="F3817" t="str">
        <f>"000850"</f>
        <v>0</v>
      </c>
      <c r="G3817" t="s">
        <v>21</v>
      </c>
    </row>
    <row r="3818" spans="1:7">
      <c r="A3818">
        <v>3817</v>
      </c>
      <c r="B3818" t="str">
        <f>"007622"</f>
        <v>0</v>
      </c>
      <c r="C3818" t="s">
        <v>6447</v>
      </c>
      <c r="D3818" t="s">
        <v>6448</v>
      </c>
      <c r="E3818" t="str">
        <f>"3489900186754"</f>
        <v>0</v>
      </c>
      <c r="F3818" t="str">
        <f>"000850"</f>
        <v>0</v>
      </c>
      <c r="G3818" t="s">
        <v>21</v>
      </c>
    </row>
    <row r="3819" spans="1:7">
      <c r="A3819">
        <v>3818</v>
      </c>
      <c r="B3819" t="str">
        <f>"008154"</f>
        <v>0</v>
      </c>
      <c r="C3819" t="s">
        <v>3212</v>
      </c>
      <c r="D3819" t="s">
        <v>6449</v>
      </c>
      <c r="E3819" t="str">
        <f>"3480600054251"</f>
        <v>0</v>
      </c>
      <c r="F3819" t="str">
        <f>"000850"</f>
        <v>0</v>
      </c>
      <c r="G3819" t="s">
        <v>21</v>
      </c>
    </row>
    <row r="3820" spans="1:7">
      <c r="A3820">
        <v>3819</v>
      </c>
      <c r="B3820" t="str">
        <f>"008210"</f>
        <v>0</v>
      </c>
      <c r="C3820" t="s">
        <v>1498</v>
      </c>
      <c r="D3820" t="s">
        <v>6450</v>
      </c>
      <c r="E3820" t="str">
        <f>"3480800011717"</f>
        <v>0</v>
      </c>
      <c r="F3820" t="str">
        <f>"000850"</f>
        <v>0</v>
      </c>
      <c r="G3820" t="s">
        <v>21</v>
      </c>
    </row>
    <row r="3821" spans="1:7">
      <c r="A3821">
        <v>3820</v>
      </c>
      <c r="B3821" t="str">
        <f>"008865"</f>
        <v>0</v>
      </c>
      <c r="C3821" t="s">
        <v>462</v>
      </c>
      <c r="D3821" t="s">
        <v>6451</v>
      </c>
      <c r="E3821" t="str">
        <f>"3102001473153"</f>
        <v>0</v>
      </c>
      <c r="F3821" t="str">
        <f>"000850"</f>
        <v>0</v>
      </c>
      <c r="G3821" t="s">
        <v>21</v>
      </c>
    </row>
    <row r="3822" spans="1:7">
      <c r="A3822">
        <v>3821</v>
      </c>
      <c r="B3822" t="str">
        <f>"009092"</f>
        <v>0</v>
      </c>
      <c r="C3822" t="s">
        <v>4577</v>
      </c>
      <c r="D3822" t="s">
        <v>6452</v>
      </c>
      <c r="E3822" t="str">
        <f>"3480400091055"</f>
        <v>0</v>
      </c>
      <c r="F3822" t="str">
        <f>"000850"</f>
        <v>0</v>
      </c>
      <c r="G3822" t="s">
        <v>21</v>
      </c>
    </row>
    <row r="3823" spans="1:7">
      <c r="A3823">
        <v>3822</v>
      </c>
      <c r="B3823" t="str">
        <f>"009288"</f>
        <v>0</v>
      </c>
      <c r="C3823" t="s">
        <v>6453</v>
      </c>
      <c r="D3823" t="s">
        <v>6454</v>
      </c>
      <c r="E3823" t="str">
        <f>"3489900181442"</f>
        <v>0</v>
      </c>
      <c r="F3823" t="str">
        <f>"000850"</f>
        <v>0</v>
      </c>
      <c r="G3823" t="s">
        <v>21</v>
      </c>
    </row>
    <row r="3824" spans="1:7">
      <c r="A3824">
        <v>3823</v>
      </c>
      <c r="B3824" t="str">
        <f>"009336"</f>
        <v>0</v>
      </c>
      <c r="C3824" t="s">
        <v>2193</v>
      </c>
      <c r="D3824" t="s">
        <v>1457</v>
      </c>
      <c r="E3824" t="str">
        <f>"3480600064264"</f>
        <v>0</v>
      </c>
      <c r="F3824" t="str">
        <f>"000850"</f>
        <v>0</v>
      </c>
      <c r="G3824" t="s">
        <v>21</v>
      </c>
    </row>
    <row r="3825" spans="1:7">
      <c r="A3825">
        <v>3824</v>
      </c>
      <c r="B3825" t="str">
        <f>"010484"</f>
        <v>0</v>
      </c>
      <c r="C3825" t="s">
        <v>2353</v>
      </c>
      <c r="D3825" t="s">
        <v>5145</v>
      </c>
      <c r="E3825" t="str">
        <f>"3480300403047"</f>
        <v>0</v>
      </c>
      <c r="F3825" t="str">
        <f>"000850"</f>
        <v>0</v>
      </c>
      <c r="G3825" t="s">
        <v>21</v>
      </c>
    </row>
    <row r="3826" spans="1:7">
      <c r="A3826">
        <v>3825</v>
      </c>
      <c r="B3826" t="str">
        <f>"010611"</f>
        <v>0</v>
      </c>
      <c r="C3826" t="s">
        <v>372</v>
      </c>
      <c r="D3826" t="s">
        <v>6455</v>
      </c>
      <c r="E3826" t="str">
        <f>"3480200001664"</f>
        <v>0</v>
      </c>
      <c r="F3826" t="str">
        <f>"000850"</f>
        <v>0</v>
      </c>
      <c r="G3826" t="s">
        <v>21</v>
      </c>
    </row>
    <row r="3827" spans="1:7">
      <c r="A3827">
        <v>3826</v>
      </c>
      <c r="B3827" t="str">
        <f>"012257"</f>
        <v>0</v>
      </c>
      <c r="C3827" t="s">
        <v>367</v>
      </c>
      <c r="D3827" t="s">
        <v>6456</v>
      </c>
      <c r="E3827" t="str">
        <f>"3339900208163"</f>
        <v>0</v>
      </c>
      <c r="F3827" t="str">
        <f>"000850"</f>
        <v>0</v>
      </c>
      <c r="G3827" t="s">
        <v>21</v>
      </c>
    </row>
    <row r="3828" spans="1:7">
      <c r="A3828">
        <v>3827</v>
      </c>
      <c r="B3828" t="str">
        <f>"012258"</f>
        <v>0</v>
      </c>
      <c r="C3828" t="s">
        <v>802</v>
      </c>
      <c r="D3828" t="s">
        <v>6457</v>
      </c>
      <c r="E3828" t="str">
        <f>"3301600037170"</f>
        <v>0</v>
      </c>
      <c r="F3828" t="str">
        <f>"000850"</f>
        <v>0</v>
      </c>
      <c r="G3828" t="s">
        <v>21</v>
      </c>
    </row>
    <row r="3829" spans="1:7">
      <c r="A3829">
        <v>3828</v>
      </c>
      <c r="B3829" t="str">
        <f>"012670"</f>
        <v>0</v>
      </c>
      <c r="C3829" t="s">
        <v>4579</v>
      </c>
      <c r="D3829" t="s">
        <v>6458</v>
      </c>
      <c r="E3829" t="str">
        <f>"5450500003812"</f>
        <v>0</v>
      </c>
      <c r="F3829" t="str">
        <f>"000850"</f>
        <v>0</v>
      </c>
      <c r="G3829" t="s">
        <v>21</v>
      </c>
    </row>
    <row r="3830" spans="1:7">
      <c r="A3830">
        <v>3829</v>
      </c>
      <c r="B3830" t="str">
        <f>"014675"</f>
        <v>0</v>
      </c>
      <c r="C3830" t="s">
        <v>6459</v>
      </c>
      <c r="D3830" t="s">
        <v>6460</v>
      </c>
      <c r="E3830" t="str">
        <f>"3461300026791"</f>
        <v>0</v>
      </c>
      <c r="F3830" t="str">
        <f>"000850"</f>
        <v>0</v>
      </c>
      <c r="G3830" t="s">
        <v>21</v>
      </c>
    </row>
    <row r="3831" spans="1:7">
      <c r="A3831">
        <v>3830</v>
      </c>
      <c r="B3831" t="str">
        <f>"016942"</f>
        <v>0</v>
      </c>
      <c r="C3831" t="s">
        <v>3799</v>
      </c>
      <c r="D3831" t="s">
        <v>6461</v>
      </c>
      <c r="E3831" t="str">
        <f>"3489900224087"</f>
        <v>0</v>
      </c>
      <c r="F3831" t="str">
        <f>"000850"</f>
        <v>0</v>
      </c>
      <c r="G3831" t="s">
        <v>21</v>
      </c>
    </row>
    <row r="3832" spans="1:7">
      <c r="A3832">
        <v>3831</v>
      </c>
      <c r="B3832" t="str">
        <f>"019445"</f>
        <v>0</v>
      </c>
      <c r="C3832" t="s">
        <v>435</v>
      </c>
      <c r="D3832" t="s">
        <v>6462</v>
      </c>
      <c r="E3832" t="str">
        <f>"3490200154134"</f>
        <v>0</v>
      </c>
      <c r="F3832" t="str">
        <f>"000850"</f>
        <v>0</v>
      </c>
      <c r="G3832" t="s">
        <v>21</v>
      </c>
    </row>
    <row r="3833" spans="1:7">
      <c r="A3833">
        <v>3832</v>
      </c>
      <c r="B3833" t="str">
        <f>"019447"</f>
        <v>0</v>
      </c>
      <c r="C3833" t="s">
        <v>6463</v>
      </c>
      <c r="D3833" t="s">
        <v>6464</v>
      </c>
      <c r="E3833" t="str">
        <f>"3349900889349"</f>
        <v>0</v>
      </c>
      <c r="F3833" t="str">
        <f>"000850"</f>
        <v>0</v>
      </c>
      <c r="G3833" t="s">
        <v>21</v>
      </c>
    </row>
    <row r="3834" spans="1:7">
      <c r="A3834">
        <v>3833</v>
      </c>
      <c r="B3834" t="str">
        <f>"019738"</f>
        <v>0</v>
      </c>
      <c r="C3834" t="s">
        <v>4049</v>
      </c>
      <c r="D3834" t="s">
        <v>6465</v>
      </c>
      <c r="E3834" t="str">
        <f>"3480100481184"</f>
        <v>0</v>
      </c>
      <c r="F3834" t="str">
        <f>"000850"</f>
        <v>0</v>
      </c>
      <c r="G3834" t="s">
        <v>21</v>
      </c>
    </row>
    <row r="3835" spans="1:7">
      <c r="A3835">
        <v>3834</v>
      </c>
      <c r="B3835" t="str">
        <f>"019826"</f>
        <v>0</v>
      </c>
      <c r="C3835" t="s">
        <v>98</v>
      </c>
      <c r="D3835" t="s">
        <v>6466</v>
      </c>
      <c r="E3835" t="str">
        <f>"3490500432768"</f>
        <v>0</v>
      </c>
      <c r="F3835" t="str">
        <f>"000850"</f>
        <v>0</v>
      </c>
      <c r="G3835" t="s">
        <v>21</v>
      </c>
    </row>
    <row r="3836" spans="1:7">
      <c r="A3836">
        <v>3835</v>
      </c>
      <c r="B3836" t="str">
        <f>"021371"</f>
        <v>0</v>
      </c>
      <c r="C3836" t="s">
        <v>857</v>
      </c>
      <c r="D3836" t="s">
        <v>6467</v>
      </c>
      <c r="E3836" t="str">
        <f>"3490600006949"</f>
        <v>0</v>
      </c>
      <c r="F3836" t="str">
        <f>"000850"</f>
        <v>0</v>
      </c>
      <c r="G3836" t="s">
        <v>21</v>
      </c>
    </row>
    <row r="3837" spans="1:7">
      <c r="A3837">
        <v>3836</v>
      </c>
      <c r="B3837" t="str">
        <f>"021653"</f>
        <v>0</v>
      </c>
      <c r="C3837" t="s">
        <v>6468</v>
      </c>
      <c r="D3837" t="s">
        <v>6469</v>
      </c>
      <c r="E3837" t="str">
        <f>"3349900860545"</f>
        <v>0</v>
      </c>
      <c r="F3837" t="str">
        <f>"000850"</f>
        <v>0</v>
      </c>
      <c r="G3837" t="s">
        <v>21</v>
      </c>
    </row>
    <row r="3838" spans="1:7">
      <c r="A3838">
        <v>3837</v>
      </c>
      <c r="B3838" t="str">
        <f>"027469"</f>
        <v>0</v>
      </c>
      <c r="C3838" t="s">
        <v>3837</v>
      </c>
      <c r="D3838" t="s">
        <v>6470</v>
      </c>
      <c r="E3838" t="str">
        <f>"3480300064447"</f>
        <v>0</v>
      </c>
      <c r="F3838" t="str">
        <f>"000850"</f>
        <v>0</v>
      </c>
      <c r="G3838" t="s">
        <v>21</v>
      </c>
    </row>
    <row r="3839" spans="1:7">
      <c r="A3839">
        <v>3838</v>
      </c>
      <c r="B3839" t="str">
        <f>"015134"</f>
        <v>0</v>
      </c>
      <c r="C3839" t="s">
        <v>6471</v>
      </c>
      <c r="D3839" t="s">
        <v>588</v>
      </c>
      <c r="E3839" t="str">
        <f>"3480600067913"</f>
        <v>0</v>
      </c>
      <c r="F3839" t="str">
        <f>"000850"</f>
        <v>0</v>
      </c>
      <c r="G3839" t="s">
        <v>21</v>
      </c>
    </row>
    <row r="3840" spans="1:7">
      <c r="A3840">
        <v>3839</v>
      </c>
      <c r="B3840" t="str">
        <f>"027128"</f>
        <v>0</v>
      </c>
      <c r="C3840" t="s">
        <v>6472</v>
      </c>
      <c r="D3840" t="s">
        <v>343</v>
      </c>
      <c r="E3840" t="str">
        <f>"1102001724265"</f>
        <v>0</v>
      </c>
      <c r="F3840" t="str">
        <f>"000850"</f>
        <v>0</v>
      </c>
      <c r="G3840" t="s">
        <v>21</v>
      </c>
    </row>
    <row r="3841" spans="1:7">
      <c r="A3841">
        <v>3840</v>
      </c>
      <c r="B3841" t="str">
        <f>"027116"</f>
        <v>0</v>
      </c>
      <c r="C3841" t="s">
        <v>4607</v>
      </c>
      <c r="D3841" t="s">
        <v>5337</v>
      </c>
      <c r="E3841" t="str">
        <f>"1199600015454"</f>
        <v>0</v>
      </c>
      <c r="F3841" t="str">
        <f>"000850"</f>
        <v>0</v>
      </c>
      <c r="G3841" t="s">
        <v>21</v>
      </c>
    </row>
    <row r="3842" spans="1:7">
      <c r="A3842">
        <v>3841</v>
      </c>
      <c r="B3842" t="str">
        <f>"020763"</f>
        <v>0</v>
      </c>
      <c r="C3842" t="s">
        <v>6473</v>
      </c>
      <c r="D3842" t="s">
        <v>6474</v>
      </c>
      <c r="E3842" t="str">
        <f>"3301100260481"</f>
        <v>0</v>
      </c>
      <c r="F3842" t="str">
        <f>"000850"</f>
        <v>0</v>
      </c>
      <c r="G3842" t="s">
        <v>21</v>
      </c>
    </row>
    <row r="3843" spans="1:7">
      <c r="A3843">
        <v>3842</v>
      </c>
      <c r="B3843" t="str">
        <f>"025424"</f>
        <v>0</v>
      </c>
      <c r="C3843" t="s">
        <v>6475</v>
      </c>
      <c r="D3843" t="s">
        <v>6476</v>
      </c>
      <c r="E3843" t="str">
        <f>"3331000505920"</f>
        <v>0</v>
      </c>
      <c r="F3843" t="str">
        <f>"000850"</f>
        <v>0</v>
      </c>
      <c r="G3843" t="s">
        <v>21</v>
      </c>
    </row>
    <row r="3844" spans="1:7">
      <c r="A3844">
        <v>3843</v>
      </c>
      <c r="B3844" t="str">
        <f>"027117"</f>
        <v>0</v>
      </c>
      <c r="C3844" t="s">
        <v>6477</v>
      </c>
      <c r="D3844" t="s">
        <v>6478</v>
      </c>
      <c r="E3844" t="str">
        <f>"1339900120782"</f>
        <v>0</v>
      </c>
      <c r="F3844" t="str">
        <f>"000850"</f>
        <v>0</v>
      </c>
      <c r="G3844" t="s">
        <v>21</v>
      </c>
    </row>
    <row r="3845" spans="1:7">
      <c r="A3845">
        <v>3844</v>
      </c>
      <c r="B3845" t="str">
        <f>"027120"</f>
        <v>0</v>
      </c>
      <c r="C3845" t="s">
        <v>2453</v>
      </c>
      <c r="D3845" t="s">
        <v>6479</v>
      </c>
      <c r="E3845" t="str">
        <f>"1331300046151"</f>
        <v>0</v>
      </c>
      <c r="F3845" t="str">
        <f>"000850"</f>
        <v>0</v>
      </c>
      <c r="G3845" t="s">
        <v>21</v>
      </c>
    </row>
    <row r="3846" spans="1:7">
      <c r="A3846">
        <v>3845</v>
      </c>
      <c r="B3846" t="str">
        <f>"025534"</f>
        <v>0</v>
      </c>
      <c r="C3846" t="s">
        <v>4920</v>
      </c>
      <c r="D3846" t="s">
        <v>6480</v>
      </c>
      <c r="E3846" t="str">
        <f>"3340900309824"</f>
        <v>0</v>
      </c>
      <c r="F3846" t="str">
        <f>"000850"</f>
        <v>0</v>
      </c>
      <c r="G3846" t="s">
        <v>21</v>
      </c>
    </row>
    <row r="3847" spans="1:7">
      <c r="A3847">
        <v>3846</v>
      </c>
      <c r="B3847" t="str">
        <f>"025884"</f>
        <v>0</v>
      </c>
      <c r="C3847" t="s">
        <v>6481</v>
      </c>
      <c r="D3847" t="s">
        <v>6482</v>
      </c>
      <c r="E3847" t="str">
        <f>"1340900083803"</f>
        <v>0</v>
      </c>
      <c r="F3847" t="str">
        <f>"000850"</f>
        <v>0</v>
      </c>
      <c r="G3847" t="s">
        <v>21</v>
      </c>
    </row>
    <row r="3848" spans="1:7">
      <c r="A3848">
        <v>3847</v>
      </c>
      <c r="B3848" t="str">
        <f>"027126"</f>
        <v>0</v>
      </c>
      <c r="C3848" t="s">
        <v>929</v>
      </c>
      <c r="D3848" t="s">
        <v>6483</v>
      </c>
      <c r="E3848" t="str">
        <f>"1349700169214"</f>
        <v>0</v>
      </c>
      <c r="F3848" t="str">
        <f>"000850"</f>
        <v>0</v>
      </c>
      <c r="G3848" t="s">
        <v>21</v>
      </c>
    </row>
    <row r="3849" spans="1:7">
      <c r="A3849">
        <v>3848</v>
      </c>
      <c r="B3849" t="str">
        <f>"027130"</f>
        <v>0</v>
      </c>
      <c r="C3849" t="s">
        <v>130</v>
      </c>
      <c r="D3849" t="s">
        <v>6484</v>
      </c>
      <c r="E3849" t="str">
        <f>"1101500590247"</f>
        <v>0</v>
      </c>
      <c r="F3849" t="str">
        <f>"000850"</f>
        <v>0</v>
      </c>
      <c r="G3849" t="s">
        <v>21</v>
      </c>
    </row>
    <row r="3850" spans="1:7">
      <c r="A3850">
        <v>3849</v>
      </c>
      <c r="B3850" t="str">
        <f>"023665"</f>
        <v>0</v>
      </c>
      <c r="C3850" t="s">
        <v>6485</v>
      </c>
      <c r="D3850" t="s">
        <v>6486</v>
      </c>
      <c r="E3850" t="str">
        <f>"3499900035403"</f>
        <v>0</v>
      </c>
      <c r="F3850" t="str">
        <f>"000850"</f>
        <v>0</v>
      </c>
      <c r="G3850" t="s">
        <v>21</v>
      </c>
    </row>
    <row r="3851" spans="1:7">
      <c r="A3851">
        <v>3850</v>
      </c>
      <c r="B3851" t="str">
        <f>"024767"</f>
        <v>0</v>
      </c>
      <c r="C3851" t="s">
        <v>6487</v>
      </c>
      <c r="D3851" t="s">
        <v>6488</v>
      </c>
      <c r="E3851" t="str">
        <f>"1101401360791"</f>
        <v>0</v>
      </c>
      <c r="F3851" t="str">
        <f>"000850"</f>
        <v>0</v>
      </c>
      <c r="G3851" t="s">
        <v>21</v>
      </c>
    </row>
    <row r="3852" spans="1:7">
      <c r="A3852">
        <v>3851</v>
      </c>
      <c r="B3852" t="str">
        <f>"025104"</f>
        <v>0</v>
      </c>
      <c r="C3852" t="s">
        <v>6489</v>
      </c>
      <c r="D3852" t="s">
        <v>6490</v>
      </c>
      <c r="E3852" t="str">
        <f>"3349900869381"</f>
        <v>0</v>
      </c>
      <c r="F3852" t="str">
        <f>"000850"</f>
        <v>0</v>
      </c>
      <c r="G3852" t="s">
        <v>21</v>
      </c>
    </row>
    <row r="3853" spans="1:7">
      <c r="A3853">
        <v>3852</v>
      </c>
      <c r="B3853" t="str">
        <f>"025885"</f>
        <v>0</v>
      </c>
      <c r="C3853" t="s">
        <v>6491</v>
      </c>
      <c r="D3853" t="s">
        <v>6492</v>
      </c>
      <c r="E3853" t="str">
        <f>"3341700190760"</f>
        <v>0</v>
      </c>
      <c r="F3853" t="str">
        <f>"000850"</f>
        <v>0</v>
      </c>
      <c r="G3853" t="s">
        <v>21</v>
      </c>
    </row>
    <row r="3854" spans="1:7">
      <c r="A3854">
        <v>3853</v>
      </c>
      <c r="B3854" t="str">
        <f>"027489"</f>
        <v>0</v>
      </c>
      <c r="C3854" t="s">
        <v>1777</v>
      </c>
      <c r="D3854" t="s">
        <v>6493</v>
      </c>
      <c r="E3854" t="str">
        <f>"1411600142162"</f>
        <v>0</v>
      </c>
      <c r="F3854" t="str">
        <f>"000850"</f>
        <v>0</v>
      </c>
      <c r="G3854" t="s">
        <v>21</v>
      </c>
    </row>
    <row r="3855" spans="1:7">
      <c r="A3855">
        <v>3854</v>
      </c>
      <c r="B3855" t="str">
        <f>"025878"</f>
        <v>0</v>
      </c>
      <c r="C3855" t="s">
        <v>6494</v>
      </c>
      <c r="D3855" t="s">
        <v>6495</v>
      </c>
      <c r="E3855" t="str">
        <f>"1400800046611"</f>
        <v>0</v>
      </c>
      <c r="F3855" t="str">
        <f>"000850"</f>
        <v>0</v>
      </c>
      <c r="G3855" t="s">
        <v>21</v>
      </c>
    </row>
    <row r="3856" spans="1:7">
      <c r="A3856">
        <v>3855</v>
      </c>
      <c r="B3856" t="str">
        <f>"021116"</f>
        <v>0</v>
      </c>
      <c r="C3856" t="s">
        <v>6496</v>
      </c>
      <c r="D3856" t="s">
        <v>6497</v>
      </c>
      <c r="E3856" t="str">
        <f>"3410400290431"</f>
        <v>0</v>
      </c>
      <c r="F3856" t="str">
        <f>"000850"</f>
        <v>0</v>
      </c>
      <c r="G3856" t="s">
        <v>21</v>
      </c>
    </row>
    <row r="3857" spans="1:7">
      <c r="A3857">
        <v>3856</v>
      </c>
      <c r="B3857" t="str">
        <f>"014854"</f>
        <v>0</v>
      </c>
      <c r="C3857" t="s">
        <v>4039</v>
      </c>
      <c r="D3857" t="s">
        <v>6498</v>
      </c>
      <c r="E3857" t="str">
        <f>"3440600291091"</f>
        <v>0</v>
      </c>
      <c r="F3857" t="str">
        <f>"000850"</f>
        <v>0</v>
      </c>
      <c r="G3857" t="s">
        <v>21</v>
      </c>
    </row>
    <row r="3858" spans="1:7">
      <c r="A3858">
        <v>3857</v>
      </c>
      <c r="B3858" t="str">
        <f>"023570"</f>
        <v>0</v>
      </c>
      <c r="C3858" t="s">
        <v>6499</v>
      </c>
      <c r="D3858" t="s">
        <v>6500</v>
      </c>
      <c r="E3858" t="str">
        <f>"3450101473703"</f>
        <v>0</v>
      </c>
      <c r="F3858" t="str">
        <f>"000850"</f>
        <v>0</v>
      </c>
      <c r="G3858" t="s">
        <v>21</v>
      </c>
    </row>
    <row r="3859" spans="1:7">
      <c r="A3859">
        <v>3858</v>
      </c>
      <c r="B3859" t="str">
        <f>"025882"</f>
        <v>0</v>
      </c>
      <c r="C3859" t="s">
        <v>3975</v>
      </c>
      <c r="D3859" t="s">
        <v>6501</v>
      </c>
      <c r="E3859" t="str">
        <f>"1450800058300"</f>
        <v>0</v>
      </c>
      <c r="F3859" t="str">
        <f>"000850"</f>
        <v>0</v>
      </c>
      <c r="G3859" t="s">
        <v>21</v>
      </c>
    </row>
    <row r="3860" spans="1:7">
      <c r="A3860">
        <v>3859</v>
      </c>
      <c r="B3860" t="str">
        <f>"025886"</f>
        <v>0</v>
      </c>
      <c r="C3860" t="s">
        <v>6427</v>
      </c>
      <c r="D3860" t="s">
        <v>6502</v>
      </c>
      <c r="E3860" t="str">
        <f>"1450100122552"</f>
        <v>0</v>
      </c>
      <c r="F3860" t="str">
        <f>"000850"</f>
        <v>0</v>
      </c>
      <c r="G3860" t="s">
        <v>21</v>
      </c>
    </row>
    <row r="3861" spans="1:7">
      <c r="A3861">
        <v>3860</v>
      </c>
      <c r="B3861" t="str">
        <f>"027124"</f>
        <v>0</v>
      </c>
      <c r="C3861" t="s">
        <v>6503</v>
      </c>
      <c r="D3861" t="s">
        <v>6504</v>
      </c>
      <c r="E3861" t="str">
        <f>"1460600069227"</f>
        <v>0</v>
      </c>
      <c r="F3861" t="str">
        <f>"000850"</f>
        <v>0</v>
      </c>
      <c r="G3861" t="s">
        <v>21</v>
      </c>
    </row>
    <row r="3862" spans="1:7">
      <c r="A3862">
        <v>3861</v>
      </c>
      <c r="B3862" t="str">
        <f>"016344"</f>
        <v>0</v>
      </c>
      <c r="C3862" t="s">
        <v>6505</v>
      </c>
      <c r="D3862" t="s">
        <v>6506</v>
      </c>
      <c r="E3862" t="str">
        <f>"3321000395865"</f>
        <v>0</v>
      </c>
      <c r="F3862" t="str">
        <f>"000850"</f>
        <v>0</v>
      </c>
      <c r="G3862" t="s">
        <v>21</v>
      </c>
    </row>
    <row r="3863" spans="1:7">
      <c r="A3863">
        <v>3862</v>
      </c>
      <c r="B3863" t="str">
        <f>"017150"</f>
        <v>0</v>
      </c>
      <c r="C3863" t="s">
        <v>6507</v>
      </c>
      <c r="D3863" t="s">
        <v>6508</v>
      </c>
      <c r="E3863" t="str">
        <f>"3471500021700"</f>
        <v>0</v>
      </c>
      <c r="F3863" t="str">
        <f>"000850"</f>
        <v>0</v>
      </c>
      <c r="G3863" t="s">
        <v>21</v>
      </c>
    </row>
    <row r="3864" spans="1:7">
      <c r="A3864">
        <v>3863</v>
      </c>
      <c r="B3864" t="str">
        <f>"025879"</f>
        <v>0</v>
      </c>
      <c r="C3864" t="s">
        <v>604</v>
      </c>
      <c r="D3864" t="s">
        <v>6509</v>
      </c>
      <c r="E3864" t="str">
        <f>"1470800175373"</f>
        <v>0</v>
      </c>
      <c r="F3864" t="str">
        <f>"000850"</f>
        <v>0</v>
      </c>
      <c r="G3864" t="s">
        <v>21</v>
      </c>
    </row>
    <row r="3865" spans="1:7">
      <c r="A3865">
        <v>3864</v>
      </c>
      <c r="B3865" t="str">
        <f>"026573"</f>
        <v>0</v>
      </c>
      <c r="C3865" t="s">
        <v>6510</v>
      </c>
      <c r="D3865" t="s">
        <v>6511</v>
      </c>
      <c r="E3865" t="str">
        <f>"3470800397810"</f>
        <v>0</v>
      </c>
      <c r="F3865" t="str">
        <f>"000850"</f>
        <v>0</v>
      </c>
      <c r="G3865" t="s">
        <v>21</v>
      </c>
    </row>
    <row r="3866" spans="1:7">
      <c r="A3866">
        <v>3865</v>
      </c>
      <c r="B3866" t="str">
        <f>"009333"</f>
        <v>0</v>
      </c>
      <c r="C3866" t="s">
        <v>6512</v>
      </c>
      <c r="D3866" t="s">
        <v>6513</v>
      </c>
      <c r="E3866" t="str">
        <f>"3490200027094"</f>
        <v>0</v>
      </c>
      <c r="F3866" t="str">
        <f>"000850"</f>
        <v>0</v>
      </c>
      <c r="G3866" t="s">
        <v>21</v>
      </c>
    </row>
    <row r="3867" spans="1:7">
      <c r="A3867">
        <v>3866</v>
      </c>
      <c r="B3867" t="str">
        <f>"010097"</f>
        <v>0</v>
      </c>
      <c r="C3867" t="s">
        <v>4173</v>
      </c>
      <c r="D3867" t="s">
        <v>6514</v>
      </c>
      <c r="E3867" t="str">
        <f>"3480700124200"</f>
        <v>0</v>
      </c>
      <c r="F3867" t="str">
        <f>"000850"</f>
        <v>0</v>
      </c>
      <c r="G3867" t="s">
        <v>21</v>
      </c>
    </row>
    <row r="3868" spans="1:7">
      <c r="A3868">
        <v>3867</v>
      </c>
      <c r="B3868" t="str">
        <f>"010098"</f>
        <v>0</v>
      </c>
      <c r="C3868" t="s">
        <v>6446</v>
      </c>
      <c r="D3868" t="s">
        <v>6515</v>
      </c>
      <c r="E3868" t="str">
        <f>"3469900140002"</f>
        <v>0</v>
      </c>
      <c r="F3868" t="str">
        <f>"000850"</f>
        <v>0</v>
      </c>
      <c r="G3868" t="s">
        <v>21</v>
      </c>
    </row>
    <row r="3869" spans="1:7">
      <c r="A3869">
        <v>3868</v>
      </c>
      <c r="B3869" t="str">
        <f>"010575"</f>
        <v>0</v>
      </c>
      <c r="C3869" t="s">
        <v>2331</v>
      </c>
      <c r="D3869" t="s">
        <v>6516</v>
      </c>
      <c r="E3869" t="str">
        <f>"3490200154126"</f>
        <v>0</v>
      </c>
      <c r="F3869" t="str">
        <f>"000850"</f>
        <v>0</v>
      </c>
      <c r="G3869" t="s">
        <v>21</v>
      </c>
    </row>
    <row r="3870" spans="1:7">
      <c r="A3870">
        <v>3869</v>
      </c>
      <c r="B3870" t="str">
        <f>"012668"</f>
        <v>0</v>
      </c>
      <c r="C3870" t="s">
        <v>5181</v>
      </c>
      <c r="D3870" t="s">
        <v>6517</v>
      </c>
      <c r="E3870" t="str">
        <f>"3469900104979"</f>
        <v>0</v>
      </c>
      <c r="F3870" t="str">
        <f>"000850"</f>
        <v>0</v>
      </c>
      <c r="G3870" t="s">
        <v>21</v>
      </c>
    </row>
    <row r="3871" spans="1:7">
      <c r="A3871">
        <v>3870</v>
      </c>
      <c r="B3871" t="str">
        <f>"012847"</f>
        <v>0</v>
      </c>
      <c r="C3871" t="s">
        <v>879</v>
      </c>
      <c r="D3871" t="s">
        <v>6518</v>
      </c>
      <c r="E3871" t="str">
        <f>"3480500146315"</f>
        <v>0</v>
      </c>
      <c r="F3871" t="str">
        <f>"000850"</f>
        <v>0</v>
      </c>
      <c r="G3871" t="s">
        <v>21</v>
      </c>
    </row>
    <row r="3872" spans="1:7">
      <c r="A3872">
        <v>3871</v>
      </c>
      <c r="B3872" t="str">
        <f>"012848"</f>
        <v>0</v>
      </c>
      <c r="C3872" t="s">
        <v>1738</v>
      </c>
      <c r="D3872" t="s">
        <v>6460</v>
      </c>
      <c r="E3872" t="str">
        <f>"5480100005397"</f>
        <v>0</v>
      </c>
      <c r="F3872" t="str">
        <f>"000850"</f>
        <v>0</v>
      </c>
      <c r="G3872" t="s">
        <v>21</v>
      </c>
    </row>
    <row r="3873" spans="1:7">
      <c r="A3873">
        <v>3872</v>
      </c>
      <c r="B3873" t="str">
        <f>"012949"</f>
        <v>0</v>
      </c>
      <c r="C3873" t="s">
        <v>5222</v>
      </c>
      <c r="D3873" t="s">
        <v>6519</v>
      </c>
      <c r="E3873" t="str">
        <f>"5550500036175"</f>
        <v>0</v>
      </c>
      <c r="F3873" t="str">
        <f>"000850"</f>
        <v>0</v>
      </c>
      <c r="G3873" t="s">
        <v>21</v>
      </c>
    </row>
    <row r="3874" spans="1:7">
      <c r="A3874">
        <v>3873</v>
      </c>
      <c r="B3874" t="str">
        <f>"012950"</f>
        <v>0</v>
      </c>
      <c r="C3874" t="s">
        <v>6520</v>
      </c>
      <c r="D3874" t="s">
        <v>6521</v>
      </c>
      <c r="E3874" t="str">
        <f>"3460500339083"</f>
        <v>0</v>
      </c>
      <c r="F3874" t="str">
        <f>"000850"</f>
        <v>0</v>
      </c>
      <c r="G3874" t="s">
        <v>21</v>
      </c>
    </row>
    <row r="3875" spans="1:7">
      <c r="A3875">
        <v>3874</v>
      </c>
      <c r="B3875" t="str">
        <f>"013262"</f>
        <v>0</v>
      </c>
      <c r="C3875" t="s">
        <v>6522</v>
      </c>
      <c r="D3875" t="s">
        <v>6523</v>
      </c>
      <c r="E3875" t="str">
        <f>"3460900273632"</f>
        <v>0</v>
      </c>
      <c r="F3875" t="str">
        <f>"000850"</f>
        <v>0</v>
      </c>
      <c r="G3875" t="s">
        <v>21</v>
      </c>
    </row>
    <row r="3876" spans="1:7">
      <c r="A3876">
        <v>3875</v>
      </c>
      <c r="B3876" t="str">
        <f>"015040"</f>
        <v>0</v>
      </c>
      <c r="C3876" t="s">
        <v>6323</v>
      </c>
      <c r="D3876" t="s">
        <v>6524</v>
      </c>
      <c r="E3876" t="str">
        <f>"3650800864726"</f>
        <v>0</v>
      </c>
      <c r="F3876" t="str">
        <f>"000850"</f>
        <v>0</v>
      </c>
      <c r="G3876" t="s">
        <v>21</v>
      </c>
    </row>
    <row r="3877" spans="1:7">
      <c r="A3877">
        <v>3876</v>
      </c>
      <c r="B3877" t="str">
        <f>"015132"</f>
        <v>0</v>
      </c>
      <c r="C3877" t="s">
        <v>482</v>
      </c>
      <c r="D3877" t="s">
        <v>6508</v>
      </c>
      <c r="E3877" t="str">
        <f>"3480600358772"</f>
        <v>0</v>
      </c>
      <c r="F3877" t="str">
        <f>"000850"</f>
        <v>0</v>
      </c>
      <c r="G3877" t="s">
        <v>21</v>
      </c>
    </row>
    <row r="3878" spans="1:7">
      <c r="A3878">
        <v>3877</v>
      </c>
      <c r="B3878" t="str">
        <f>"016634"</f>
        <v>0</v>
      </c>
      <c r="C3878" t="s">
        <v>3082</v>
      </c>
      <c r="D3878" t="s">
        <v>6525</v>
      </c>
      <c r="E3878" t="str">
        <f>"3300200332289"</f>
        <v>0</v>
      </c>
      <c r="F3878" t="str">
        <f>"000850"</f>
        <v>0</v>
      </c>
      <c r="G3878" t="s">
        <v>21</v>
      </c>
    </row>
    <row r="3879" spans="1:7">
      <c r="A3879">
        <v>3878</v>
      </c>
      <c r="B3879" t="str">
        <f>"017027"</f>
        <v>0</v>
      </c>
      <c r="C3879" t="s">
        <v>2777</v>
      </c>
      <c r="D3879" t="s">
        <v>2489</v>
      </c>
      <c r="E3879" t="str">
        <f>"3410900339901"</f>
        <v>0</v>
      </c>
      <c r="F3879" t="str">
        <f>"000850"</f>
        <v>0</v>
      </c>
      <c r="G3879" t="s">
        <v>21</v>
      </c>
    </row>
    <row r="3880" spans="1:7">
      <c r="A3880">
        <v>3879</v>
      </c>
      <c r="B3880" t="str">
        <f>"017328"</f>
        <v>0</v>
      </c>
      <c r="C3880" t="s">
        <v>6526</v>
      </c>
      <c r="D3880" t="s">
        <v>6527</v>
      </c>
      <c r="E3880" t="str">
        <f>"3440600274251"</f>
        <v>0</v>
      </c>
      <c r="F3880" t="str">
        <f>"000850"</f>
        <v>0</v>
      </c>
      <c r="G3880" t="s">
        <v>21</v>
      </c>
    </row>
    <row r="3881" spans="1:7">
      <c r="A3881">
        <v>3880</v>
      </c>
      <c r="B3881" t="str">
        <f>"017673"</f>
        <v>0</v>
      </c>
      <c r="C3881" t="s">
        <v>4026</v>
      </c>
      <c r="D3881" t="s">
        <v>6528</v>
      </c>
      <c r="E3881" t="str">
        <f>"3930600326582"</f>
        <v>0</v>
      </c>
      <c r="F3881" t="str">
        <f>"000850"</f>
        <v>0</v>
      </c>
      <c r="G3881" t="s">
        <v>21</v>
      </c>
    </row>
    <row r="3882" spans="1:7">
      <c r="A3882">
        <v>3881</v>
      </c>
      <c r="B3882" t="str">
        <f>"017683"</f>
        <v>0</v>
      </c>
      <c r="C3882" t="s">
        <v>4317</v>
      </c>
      <c r="D3882" t="s">
        <v>6529</v>
      </c>
      <c r="E3882" t="str">
        <f>"3420100571256"</f>
        <v>0</v>
      </c>
      <c r="F3882" t="str">
        <f>"000850"</f>
        <v>0</v>
      </c>
      <c r="G3882" t="s">
        <v>21</v>
      </c>
    </row>
    <row r="3883" spans="1:7">
      <c r="A3883">
        <v>3882</v>
      </c>
      <c r="B3883" t="str">
        <f>"017817"</f>
        <v>0</v>
      </c>
      <c r="C3883" t="s">
        <v>2292</v>
      </c>
      <c r="D3883" t="s">
        <v>6530</v>
      </c>
      <c r="E3883" t="str">
        <f>"3480300025018"</f>
        <v>0</v>
      </c>
      <c r="F3883" t="str">
        <f>"000850"</f>
        <v>0</v>
      </c>
      <c r="G3883" t="s">
        <v>21</v>
      </c>
    </row>
    <row r="3884" spans="1:7">
      <c r="A3884">
        <v>3883</v>
      </c>
      <c r="B3884" t="str">
        <f>"018462"</f>
        <v>0</v>
      </c>
      <c r="C3884" t="s">
        <v>6531</v>
      </c>
      <c r="D3884" t="s">
        <v>6532</v>
      </c>
      <c r="E3884" t="str">
        <f>"3419900679866"</f>
        <v>0</v>
      </c>
      <c r="F3884" t="str">
        <f>"000850"</f>
        <v>0</v>
      </c>
      <c r="G3884" t="s">
        <v>21</v>
      </c>
    </row>
    <row r="3885" spans="1:7">
      <c r="A3885">
        <v>3884</v>
      </c>
      <c r="B3885" t="str">
        <f>"018677"</f>
        <v>0</v>
      </c>
      <c r="C3885" t="s">
        <v>6533</v>
      </c>
      <c r="D3885" t="s">
        <v>6532</v>
      </c>
      <c r="E3885" t="str">
        <f>"3929900071201"</f>
        <v>0</v>
      </c>
      <c r="F3885" t="str">
        <f>"000850"</f>
        <v>0</v>
      </c>
      <c r="G3885" t="s">
        <v>21</v>
      </c>
    </row>
    <row r="3886" spans="1:7">
      <c r="A3886">
        <v>3885</v>
      </c>
      <c r="B3886" t="str">
        <f>"018934"</f>
        <v>0</v>
      </c>
      <c r="C3886" t="s">
        <v>6534</v>
      </c>
      <c r="D3886" t="s">
        <v>6535</v>
      </c>
      <c r="E3886" t="str">
        <f>"3349900665157"</f>
        <v>0</v>
      </c>
      <c r="F3886" t="str">
        <f>"000850"</f>
        <v>0</v>
      </c>
      <c r="G3886" t="s">
        <v>21</v>
      </c>
    </row>
    <row r="3887" spans="1:7">
      <c r="A3887">
        <v>3886</v>
      </c>
      <c r="B3887" t="str">
        <f>"019307"</f>
        <v>0</v>
      </c>
      <c r="C3887" t="s">
        <v>1849</v>
      </c>
      <c r="D3887" t="s">
        <v>6536</v>
      </c>
      <c r="E3887" t="str">
        <f>"3440300977621"</f>
        <v>0</v>
      </c>
      <c r="F3887" t="str">
        <f>"000850"</f>
        <v>0</v>
      </c>
      <c r="G3887" t="s">
        <v>21</v>
      </c>
    </row>
    <row r="3888" spans="1:7">
      <c r="A3888">
        <v>3887</v>
      </c>
      <c r="B3888" t="str">
        <f>"019359"</f>
        <v>0</v>
      </c>
      <c r="C3888" t="s">
        <v>2216</v>
      </c>
      <c r="D3888" t="s">
        <v>6537</v>
      </c>
      <c r="E3888" t="str">
        <f>"3480400116481"</f>
        <v>0</v>
      </c>
      <c r="F3888" t="str">
        <f>"000850"</f>
        <v>0</v>
      </c>
      <c r="G3888" t="s">
        <v>21</v>
      </c>
    </row>
    <row r="3889" spans="1:7">
      <c r="A3889">
        <v>3888</v>
      </c>
      <c r="B3889" t="str">
        <f>"019444"</f>
        <v>0</v>
      </c>
      <c r="C3889" t="s">
        <v>6538</v>
      </c>
      <c r="D3889" t="s">
        <v>6539</v>
      </c>
      <c r="E3889" t="str">
        <f>"3430300694939"</f>
        <v>0</v>
      </c>
      <c r="F3889" t="str">
        <f>"000850"</f>
        <v>0</v>
      </c>
      <c r="G3889" t="s">
        <v>21</v>
      </c>
    </row>
    <row r="3890" spans="1:7">
      <c r="A3890">
        <v>3889</v>
      </c>
      <c r="B3890" t="str">
        <f>"019477"</f>
        <v>0</v>
      </c>
      <c r="C3890" t="s">
        <v>878</v>
      </c>
      <c r="D3890" t="s">
        <v>6540</v>
      </c>
      <c r="E3890" t="str">
        <f>"3350800780886"</f>
        <v>0</v>
      </c>
      <c r="F3890" t="str">
        <f>"000850"</f>
        <v>0</v>
      </c>
      <c r="G3890" t="s">
        <v>21</v>
      </c>
    </row>
    <row r="3891" spans="1:7">
      <c r="A3891">
        <v>3890</v>
      </c>
      <c r="B3891" t="str">
        <f>"019564"</f>
        <v>0</v>
      </c>
      <c r="C3891" t="s">
        <v>6541</v>
      </c>
      <c r="D3891" t="s">
        <v>6542</v>
      </c>
      <c r="E3891" t="str">
        <f>"3490400127114"</f>
        <v>0</v>
      </c>
      <c r="F3891" t="str">
        <f>"000850"</f>
        <v>0</v>
      </c>
      <c r="G3891" t="s">
        <v>21</v>
      </c>
    </row>
    <row r="3892" spans="1:7">
      <c r="A3892">
        <v>3891</v>
      </c>
      <c r="B3892" t="str">
        <f>"019584"</f>
        <v>0</v>
      </c>
      <c r="C3892" t="s">
        <v>6543</v>
      </c>
      <c r="D3892" t="s">
        <v>6544</v>
      </c>
      <c r="E3892" t="str">
        <f>"5499990001640"</f>
        <v>0</v>
      </c>
      <c r="F3892" t="str">
        <f>"000850"</f>
        <v>0</v>
      </c>
      <c r="G3892" t="s">
        <v>21</v>
      </c>
    </row>
    <row r="3893" spans="1:7">
      <c r="A3893">
        <v>3892</v>
      </c>
      <c r="B3893" t="str">
        <f>"019739"</f>
        <v>0</v>
      </c>
      <c r="C3893" t="s">
        <v>6545</v>
      </c>
      <c r="D3893" t="s">
        <v>6465</v>
      </c>
      <c r="E3893" t="str">
        <f>"5302000012971"</f>
        <v>0</v>
      </c>
      <c r="F3893" t="str">
        <f>"000850"</f>
        <v>0</v>
      </c>
      <c r="G3893" t="s">
        <v>21</v>
      </c>
    </row>
    <row r="3894" spans="1:7">
      <c r="A3894">
        <v>3893</v>
      </c>
      <c r="B3894" t="str">
        <f>"019927"</f>
        <v>0</v>
      </c>
      <c r="C3894" t="s">
        <v>6546</v>
      </c>
      <c r="D3894" t="s">
        <v>6547</v>
      </c>
      <c r="E3894" t="str">
        <f>"3480300704896"</f>
        <v>0</v>
      </c>
      <c r="F3894" t="str">
        <f>"000850"</f>
        <v>0</v>
      </c>
      <c r="G3894" t="s">
        <v>21</v>
      </c>
    </row>
    <row r="3895" spans="1:7">
      <c r="A3895">
        <v>3894</v>
      </c>
      <c r="B3895" t="str">
        <f>"020145"</f>
        <v>0</v>
      </c>
      <c r="C3895" t="s">
        <v>5786</v>
      </c>
      <c r="D3895" t="s">
        <v>6548</v>
      </c>
      <c r="E3895" t="str">
        <f>"3471200954417"</f>
        <v>0</v>
      </c>
      <c r="F3895" t="str">
        <f>"000850"</f>
        <v>0</v>
      </c>
      <c r="G3895" t="s">
        <v>21</v>
      </c>
    </row>
    <row r="3896" spans="1:7">
      <c r="A3896">
        <v>3895</v>
      </c>
      <c r="B3896" t="str">
        <f>"020706"</f>
        <v>0</v>
      </c>
      <c r="C3896" t="s">
        <v>1880</v>
      </c>
      <c r="D3896" t="s">
        <v>6549</v>
      </c>
      <c r="E3896" t="str">
        <f>"3480100004777"</f>
        <v>0</v>
      </c>
      <c r="F3896" t="str">
        <f>"000850"</f>
        <v>0</v>
      </c>
      <c r="G3896" t="s">
        <v>21</v>
      </c>
    </row>
    <row r="3897" spans="1:7">
      <c r="A3897">
        <v>3896</v>
      </c>
      <c r="B3897" t="str">
        <f>"020772"</f>
        <v>0</v>
      </c>
      <c r="C3897" t="s">
        <v>1597</v>
      </c>
      <c r="D3897" t="s">
        <v>6550</v>
      </c>
      <c r="E3897" t="str">
        <f>"3480300708875"</f>
        <v>0</v>
      </c>
      <c r="F3897" t="str">
        <f>"000850"</f>
        <v>0</v>
      </c>
      <c r="G3897" t="s">
        <v>21</v>
      </c>
    </row>
    <row r="3898" spans="1:7">
      <c r="A3898">
        <v>3897</v>
      </c>
      <c r="B3898" t="str">
        <f>"020773"</f>
        <v>0</v>
      </c>
      <c r="C3898" t="s">
        <v>3883</v>
      </c>
      <c r="D3898" t="s">
        <v>6551</v>
      </c>
      <c r="E3898" t="str">
        <f>"3480400348340"</f>
        <v>0</v>
      </c>
      <c r="F3898" t="str">
        <f>"000850"</f>
        <v>0</v>
      </c>
      <c r="G3898" t="s">
        <v>21</v>
      </c>
    </row>
    <row r="3899" spans="1:7">
      <c r="A3899">
        <v>3898</v>
      </c>
      <c r="B3899" t="str">
        <f>"021063"</f>
        <v>0</v>
      </c>
      <c r="C3899" t="s">
        <v>6552</v>
      </c>
      <c r="D3899" t="s">
        <v>6553</v>
      </c>
      <c r="E3899" t="str">
        <f>"3489900048521"</f>
        <v>0</v>
      </c>
      <c r="F3899" t="str">
        <f>"000850"</f>
        <v>0</v>
      </c>
      <c r="G3899" t="s">
        <v>21</v>
      </c>
    </row>
    <row r="3900" spans="1:7">
      <c r="A3900">
        <v>3899</v>
      </c>
      <c r="B3900" t="str">
        <f>"021811"</f>
        <v>0</v>
      </c>
      <c r="C3900" t="s">
        <v>6554</v>
      </c>
      <c r="D3900" t="s">
        <v>6555</v>
      </c>
      <c r="E3900" t="str">
        <f>"3480800009224"</f>
        <v>0</v>
      </c>
      <c r="F3900" t="str">
        <f>"000850"</f>
        <v>0</v>
      </c>
      <c r="G3900" t="s">
        <v>21</v>
      </c>
    </row>
    <row r="3901" spans="1:7">
      <c r="A3901">
        <v>3900</v>
      </c>
      <c r="B3901" t="str">
        <f>"022040"</f>
        <v>0</v>
      </c>
      <c r="C3901" t="s">
        <v>1808</v>
      </c>
      <c r="D3901" t="s">
        <v>6556</v>
      </c>
      <c r="E3901" t="str">
        <f>"5309900020292"</f>
        <v>0</v>
      </c>
      <c r="F3901" t="str">
        <f>"000850"</f>
        <v>0</v>
      </c>
      <c r="G3901" t="s">
        <v>21</v>
      </c>
    </row>
    <row r="3902" spans="1:7">
      <c r="A3902">
        <v>3901</v>
      </c>
      <c r="B3902" t="str">
        <f>"022042"</f>
        <v>0</v>
      </c>
      <c r="C3902" t="s">
        <v>6557</v>
      </c>
      <c r="D3902" t="s">
        <v>6558</v>
      </c>
      <c r="E3902" t="str">
        <f>"1480300001180"</f>
        <v>0</v>
      </c>
      <c r="F3902" t="str">
        <f>"000850"</f>
        <v>0</v>
      </c>
      <c r="G3902" t="s">
        <v>21</v>
      </c>
    </row>
    <row r="3903" spans="1:7">
      <c r="A3903">
        <v>3902</v>
      </c>
      <c r="B3903" t="str">
        <f>"022161"</f>
        <v>0</v>
      </c>
      <c r="C3903" t="s">
        <v>6559</v>
      </c>
      <c r="D3903" t="s">
        <v>6560</v>
      </c>
      <c r="E3903" t="str">
        <f>"3440400346649"</f>
        <v>0</v>
      </c>
      <c r="F3903" t="str">
        <f>"000850"</f>
        <v>0</v>
      </c>
      <c r="G3903" t="s">
        <v>21</v>
      </c>
    </row>
    <row r="3904" spans="1:7">
      <c r="A3904">
        <v>3903</v>
      </c>
      <c r="B3904" t="str">
        <f>"023085"</f>
        <v>0</v>
      </c>
      <c r="C3904" t="s">
        <v>6561</v>
      </c>
      <c r="D3904" t="s">
        <v>6562</v>
      </c>
      <c r="E3904" t="str">
        <f>"3480300136715"</f>
        <v>0</v>
      </c>
      <c r="F3904" t="str">
        <f>"000850"</f>
        <v>0</v>
      </c>
      <c r="G3904" t="s">
        <v>21</v>
      </c>
    </row>
    <row r="3905" spans="1:7">
      <c r="A3905">
        <v>3904</v>
      </c>
      <c r="B3905" t="str">
        <f>"023149"</f>
        <v>0</v>
      </c>
      <c r="C3905" t="s">
        <v>6563</v>
      </c>
      <c r="D3905" t="s">
        <v>6564</v>
      </c>
      <c r="E3905" t="str">
        <f>"3480100547045"</f>
        <v>0</v>
      </c>
      <c r="F3905" t="str">
        <f>"000850"</f>
        <v>0</v>
      </c>
      <c r="G3905" t="s">
        <v>21</v>
      </c>
    </row>
    <row r="3906" spans="1:7">
      <c r="A3906">
        <v>3905</v>
      </c>
      <c r="B3906" t="str">
        <f>"023338"</f>
        <v>0</v>
      </c>
      <c r="C3906" t="s">
        <v>6565</v>
      </c>
      <c r="D3906" t="s">
        <v>1519</v>
      </c>
      <c r="E3906" t="str">
        <f>"1480800057443"</f>
        <v>0</v>
      </c>
      <c r="F3906" t="str">
        <f>"000850"</f>
        <v>0</v>
      </c>
      <c r="G3906" t="s">
        <v>21</v>
      </c>
    </row>
    <row r="3907" spans="1:7">
      <c r="A3907">
        <v>3906</v>
      </c>
      <c r="B3907" t="str">
        <f>"023533"</f>
        <v>0</v>
      </c>
      <c r="C3907" t="s">
        <v>6566</v>
      </c>
      <c r="D3907" t="s">
        <v>6567</v>
      </c>
      <c r="E3907" t="str">
        <f>"3480200001672"</f>
        <v>0</v>
      </c>
      <c r="F3907" t="str">
        <f>"000850"</f>
        <v>0</v>
      </c>
      <c r="G3907" t="s">
        <v>21</v>
      </c>
    </row>
    <row r="3908" spans="1:7">
      <c r="A3908">
        <v>3907</v>
      </c>
      <c r="B3908" t="str">
        <f>"023561"</f>
        <v>0</v>
      </c>
      <c r="C3908" t="s">
        <v>6568</v>
      </c>
      <c r="D3908" t="s">
        <v>6569</v>
      </c>
      <c r="E3908" t="str">
        <f>"1480100006285"</f>
        <v>0</v>
      </c>
      <c r="F3908" t="str">
        <f>"000850"</f>
        <v>0</v>
      </c>
      <c r="G3908" t="s">
        <v>21</v>
      </c>
    </row>
    <row r="3909" spans="1:7">
      <c r="A3909">
        <v>3908</v>
      </c>
      <c r="B3909" t="str">
        <f>"023827"</f>
        <v>0</v>
      </c>
      <c r="C3909" t="s">
        <v>4678</v>
      </c>
      <c r="D3909" t="s">
        <v>6570</v>
      </c>
      <c r="E3909" t="str">
        <f>"1479900012113"</f>
        <v>0</v>
      </c>
      <c r="F3909" t="str">
        <f>"000850"</f>
        <v>0</v>
      </c>
      <c r="G3909" t="s">
        <v>21</v>
      </c>
    </row>
    <row r="3910" spans="1:7">
      <c r="A3910">
        <v>3909</v>
      </c>
      <c r="B3910" t="str">
        <f>"024164"</f>
        <v>0</v>
      </c>
      <c r="C3910" t="s">
        <v>6571</v>
      </c>
      <c r="D3910" t="s">
        <v>75</v>
      </c>
      <c r="E3910" t="str">
        <f>"1480800089493"</f>
        <v>0</v>
      </c>
      <c r="F3910" t="str">
        <f>"000850"</f>
        <v>0</v>
      </c>
      <c r="G3910" t="s">
        <v>21</v>
      </c>
    </row>
    <row r="3911" spans="1:7">
      <c r="A3911">
        <v>3910</v>
      </c>
      <c r="B3911" t="str">
        <f>"024261"</f>
        <v>0</v>
      </c>
      <c r="C3911" t="s">
        <v>6572</v>
      </c>
      <c r="D3911" t="s">
        <v>6573</v>
      </c>
      <c r="E3911" t="str">
        <f>"1489900011371"</f>
        <v>0</v>
      </c>
      <c r="F3911" t="str">
        <f>"000850"</f>
        <v>0</v>
      </c>
      <c r="G3911" t="s">
        <v>21</v>
      </c>
    </row>
    <row r="3912" spans="1:7">
      <c r="A3912">
        <v>3911</v>
      </c>
      <c r="B3912" t="str">
        <f>"024650"</f>
        <v>0</v>
      </c>
      <c r="C3912" t="s">
        <v>5831</v>
      </c>
      <c r="D3912" t="s">
        <v>6574</v>
      </c>
      <c r="E3912" t="str">
        <f>"3310200044674"</f>
        <v>0</v>
      </c>
      <c r="F3912" t="str">
        <f>"000850"</f>
        <v>0</v>
      </c>
      <c r="G3912" t="s">
        <v>21</v>
      </c>
    </row>
    <row r="3913" spans="1:7">
      <c r="A3913">
        <v>3912</v>
      </c>
      <c r="B3913" t="str">
        <f>"024769"</f>
        <v>0</v>
      </c>
      <c r="C3913" t="s">
        <v>5667</v>
      </c>
      <c r="D3913" t="s">
        <v>6575</v>
      </c>
      <c r="E3913" t="str">
        <f>"3480600201733"</f>
        <v>0</v>
      </c>
      <c r="F3913" t="str">
        <f>"000850"</f>
        <v>0</v>
      </c>
      <c r="G3913" t="s">
        <v>21</v>
      </c>
    </row>
    <row r="3914" spans="1:7">
      <c r="A3914">
        <v>3913</v>
      </c>
      <c r="B3914" t="str">
        <f>"024940"</f>
        <v>0</v>
      </c>
      <c r="C3914" t="s">
        <v>6576</v>
      </c>
      <c r="D3914" t="s">
        <v>6577</v>
      </c>
      <c r="E3914" t="str">
        <f>"1480300001791"</f>
        <v>0</v>
      </c>
      <c r="F3914" t="str">
        <f>"000850"</f>
        <v>0</v>
      </c>
      <c r="G3914" t="s">
        <v>21</v>
      </c>
    </row>
    <row r="3915" spans="1:7">
      <c r="A3915">
        <v>3914</v>
      </c>
      <c r="B3915" t="str">
        <f>"025148"</f>
        <v>0</v>
      </c>
      <c r="C3915" t="s">
        <v>3219</v>
      </c>
      <c r="D3915" t="s">
        <v>6578</v>
      </c>
      <c r="E3915" t="str">
        <f>"1480700063174"</f>
        <v>0</v>
      </c>
      <c r="F3915" t="str">
        <f>"000850"</f>
        <v>0</v>
      </c>
      <c r="G3915" t="s">
        <v>21</v>
      </c>
    </row>
    <row r="3916" spans="1:7">
      <c r="A3916">
        <v>3915</v>
      </c>
      <c r="B3916" t="str">
        <f>"025320"</f>
        <v>0</v>
      </c>
      <c r="C3916" t="s">
        <v>6579</v>
      </c>
      <c r="D3916" t="s">
        <v>6580</v>
      </c>
      <c r="E3916" t="str">
        <f>"1490400044085"</f>
        <v>0</v>
      </c>
      <c r="F3916" t="str">
        <f>"000850"</f>
        <v>0</v>
      </c>
      <c r="G3916" t="s">
        <v>21</v>
      </c>
    </row>
    <row r="3917" spans="1:7">
      <c r="A3917">
        <v>3916</v>
      </c>
      <c r="B3917" t="str">
        <f>"025425"</f>
        <v>0</v>
      </c>
      <c r="C3917" t="s">
        <v>2560</v>
      </c>
      <c r="D3917" t="s">
        <v>6581</v>
      </c>
      <c r="E3917" t="str">
        <f>"1480100088419"</f>
        <v>0</v>
      </c>
      <c r="F3917" t="str">
        <f>"000850"</f>
        <v>0</v>
      </c>
      <c r="G3917" t="s">
        <v>21</v>
      </c>
    </row>
    <row r="3918" spans="1:7">
      <c r="A3918">
        <v>3917</v>
      </c>
      <c r="B3918" t="str">
        <f>"025932"</f>
        <v>0</v>
      </c>
      <c r="C3918" t="s">
        <v>6582</v>
      </c>
      <c r="D3918" t="s">
        <v>6583</v>
      </c>
      <c r="E3918" t="str">
        <f>"1500600001028"</f>
        <v>0</v>
      </c>
      <c r="F3918" t="str">
        <f>"000850"</f>
        <v>0</v>
      </c>
      <c r="G3918" t="s">
        <v>21</v>
      </c>
    </row>
    <row r="3919" spans="1:7">
      <c r="A3919">
        <v>3918</v>
      </c>
      <c r="B3919" t="str">
        <f>"026329"</f>
        <v>0</v>
      </c>
      <c r="C3919" t="s">
        <v>6584</v>
      </c>
      <c r="D3919" t="s">
        <v>6585</v>
      </c>
      <c r="E3919" t="str">
        <f>"3550700118411"</f>
        <v>0</v>
      </c>
      <c r="F3919" t="str">
        <f>"000850"</f>
        <v>0</v>
      </c>
      <c r="G3919" t="s">
        <v>21</v>
      </c>
    </row>
    <row r="3920" spans="1:7">
      <c r="A3920">
        <v>3919</v>
      </c>
      <c r="B3920" t="str">
        <f>"026572"</f>
        <v>0</v>
      </c>
      <c r="C3920" t="s">
        <v>6586</v>
      </c>
      <c r="D3920" t="s">
        <v>6587</v>
      </c>
      <c r="E3920" t="str">
        <f>"1489900003181"</f>
        <v>0</v>
      </c>
      <c r="F3920" t="str">
        <f>"000850"</f>
        <v>0</v>
      </c>
      <c r="G3920" t="s">
        <v>21</v>
      </c>
    </row>
    <row r="3921" spans="1:7">
      <c r="A3921">
        <v>3920</v>
      </c>
      <c r="B3921" t="str">
        <f>"027119"</f>
        <v>0</v>
      </c>
      <c r="C3921" t="s">
        <v>4182</v>
      </c>
      <c r="D3921" t="s">
        <v>6588</v>
      </c>
      <c r="E3921" t="str">
        <f>"1480400092926"</f>
        <v>0</v>
      </c>
      <c r="F3921" t="str">
        <f>"000850"</f>
        <v>0</v>
      </c>
      <c r="G3921" t="s">
        <v>21</v>
      </c>
    </row>
    <row r="3922" spans="1:7">
      <c r="A3922">
        <v>3921</v>
      </c>
      <c r="B3922" t="str">
        <f>"027125"</f>
        <v>0</v>
      </c>
      <c r="C3922" t="s">
        <v>6589</v>
      </c>
      <c r="D3922" t="s">
        <v>6590</v>
      </c>
      <c r="E3922" t="str">
        <f>"1480700041332"</f>
        <v>0</v>
      </c>
      <c r="F3922" t="str">
        <f>"000850"</f>
        <v>0</v>
      </c>
      <c r="G3922" t="s">
        <v>21</v>
      </c>
    </row>
    <row r="3923" spans="1:7">
      <c r="A3923">
        <v>3922</v>
      </c>
      <c r="B3923" t="str">
        <f>"027127"</f>
        <v>0</v>
      </c>
      <c r="C3923" t="s">
        <v>6591</v>
      </c>
      <c r="D3923" t="s">
        <v>6592</v>
      </c>
      <c r="E3923" t="str">
        <f>"5480700044369"</f>
        <v>0</v>
      </c>
      <c r="F3923" t="str">
        <f>"000850"</f>
        <v>0</v>
      </c>
      <c r="G3923" t="s">
        <v>21</v>
      </c>
    </row>
    <row r="3924" spans="1:7">
      <c r="A3924">
        <v>3923</v>
      </c>
      <c r="B3924" t="str">
        <f>"027320"</f>
        <v>0</v>
      </c>
      <c r="C3924" t="s">
        <v>6593</v>
      </c>
      <c r="D3924" t="s">
        <v>6594</v>
      </c>
      <c r="E3924" t="str">
        <f>"5480800019773"</f>
        <v>0</v>
      </c>
      <c r="F3924" t="str">
        <f>"000850"</f>
        <v>0</v>
      </c>
      <c r="G3924" t="s">
        <v>21</v>
      </c>
    </row>
    <row r="3925" spans="1:7">
      <c r="A3925">
        <v>3924</v>
      </c>
      <c r="B3925" t="str">
        <f>"027321"</f>
        <v>0</v>
      </c>
      <c r="C3925" t="s">
        <v>4875</v>
      </c>
      <c r="D3925" t="s">
        <v>6595</v>
      </c>
      <c r="E3925" t="str">
        <f>"5480890005246"</f>
        <v>0</v>
      </c>
      <c r="F3925" t="str">
        <f>"000850"</f>
        <v>0</v>
      </c>
      <c r="G3925" t="s">
        <v>21</v>
      </c>
    </row>
    <row r="3926" spans="1:7">
      <c r="A3926">
        <v>3925</v>
      </c>
      <c r="B3926" t="str">
        <f>"027490"</f>
        <v>0</v>
      </c>
      <c r="C3926" t="s">
        <v>6596</v>
      </c>
      <c r="D3926" t="s">
        <v>6597</v>
      </c>
      <c r="E3926" t="str">
        <f>"3480900006537"</f>
        <v>0</v>
      </c>
      <c r="F3926" t="str">
        <f>"000850"</f>
        <v>0</v>
      </c>
      <c r="G3926" t="s">
        <v>21</v>
      </c>
    </row>
    <row r="3927" spans="1:7">
      <c r="A3927">
        <v>3926</v>
      </c>
      <c r="B3927" t="str">
        <f>"027123"</f>
        <v>0</v>
      </c>
      <c r="C3927" t="s">
        <v>6446</v>
      </c>
      <c r="D3927" t="s">
        <v>6598</v>
      </c>
      <c r="E3927" t="str">
        <f>"1510400111547"</f>
        <v>0</v>
      </c>
      <c r="F3927" t="str">
        <f>"000850"</f>
        <v>0</v>
      </c>
      <c r="G3927" t="s">
        <v>21</v>
      </c>
    </row>
    <row r="3928" spans="1:7">
      <c r="A3928">
        <v>3927</v>
      </c>
      <c r="B3928" t="str">
        <f>"026486"</f>
        <v>0</v>
      </c>
      <c r="C3928" t="s">
        <v>6599</v>
      </c>
      <c r="D3928" t="s">
        <v>6600</v>
      </c>
      <c r="E3928" t="str">
        <f>"1550700057203"</f>
        <v>0</v>
      </c>
      <c r="F3928" t="str">
        <f>"000850"</f>
        <v>0</v>
      </c>
      <c r="G3928" t="s">
        <v>21</v>
      </c>
    </row>
    <row r="3929" spans="1:7">
      <c r="A3929">
        <v>3928</v>
      </c>
      <c r="B3929" t="str">
        <f>"021562"</f>
        <v>0</v>
      </c>
      <c r="C3929" t="s">
        <v>403</v>
      </c>
      <c r="D3929" t="s">
        <v>6601</v>
      </c>
      <c r="E3929" t="str">
        <f>"3570400087006"</f>
        <v>0</v>
      </c>
      <c r="F3929" t="str">
        <f>"000850"</f>
        <v>0</v>
      </c>
      <c r="G3929" t="s">
        <v>21</v>
      </c>
    </row>
    <row r="3930" spans="1:7">
      <c r="A3930">
        <v>3929</v>
      </c>
      <c r="B3930" t="str">
        <f>"027121"</f>
        <v>0</v>
      </c>
      <c r="C3930" t="s">
        <v>6602</v>
      </c>
      <c r="D3930" t="s">
        <v>6603</v>
      </c>
      <c r="E3930" t="str">
        <f>"3710501213455"</f>
        <v>0</v>
      </c>
      <c r="F3930" t="str">
        <f>"000850"</f>
        <v>0</v>
      </c>
      <c r="G3930" t="s">
        <v>21</v>
      </c>
    </row>
    <row r="3931" spans="1:7">
      <c r="A3931">
        <v>3930</v>
      </c>
      <c r="B3931" t="str">
        <f>"010641"</f>
        <v>0</v>
      </c>
      <c r="C3931" t="s">
        <v>6604</v>
      </c>
      <c r="D3931" t="s">
        <v>6605</v>
      </c>
      <c r="E3931" t="str">
        <f>"3401000937608"</f>
        <v>0</v>
      </c>
      <c r="F3931" t="str">
        <f>"000850"</f>
        <v>0</v>
      </c>
      <c r="G3931" t="s">
        <v>21</v>
      </c>
    </row>
    <row r="3932" spans="1:7">
      <c r="A3932">
        <v>3931</v>
      </c>
      <c r="B3932" t="str">
        <f>"027129"</f>
        <v>0</v>
      </c>
      <c r="C3932" t="s">
        <v>6606</v>
      </c>
      <c r="D3932" t="s">
        <v>6607</v>
      </c>
      <c r="E3932" t="str">
        <f>"1800500012408"</f>
        <v>0</v>
      </c>
      <c r="F3932" t="str">
        <f>"000850"</f>
        <v>0</v>
      </c>
      <c r="G3932" t="s">
        <v>21</v>
      </c>
    </row>
    <row r="3933" spans="1:7">
      <c r="A3933">
        <v>3932</v>
      </c>
      <c r="B3933" t="str">
        <f>"027118"</f>
        <v>0</v>
      </c>
      <c r="C3933" t="s">
        <v>4746</v>
      </c>
      <c r="D3933" t="s">
        <v>6608</v>
      </c>
      <c r="E3933" t="str">
        <f>"1920300018185"</f>
        <v>0</v>
      </c>
      <c r="F3933" t="str">
        <f>"000850"</f>
        <v>0</v>
      </c>
      <c r="G3933" t="s">
        <v>21</v>
      </c>
    </row>
    <row r="3934" spans="1:7">
      <c r="A3934">
        <v>3933</v>
      </c>
      <c r="B3934" t="str">
        <f>"027122"</f>
        <v>0</v>
      </c>
      <c r="C3934" t="s">
        <v>6609</v>
      </c>
      <c r="D3934" t="s">
        <v>6610</v>
      </c>
      <c r="E3934" t="str">
        <f>"1929900137663"</f>
        <v>0</v>
      </c>
      <c r="F3934" t="str">
        <f>"000850"</f>
        <v>0</v>
      </c>
      <c r="G3934" t="s">
        <v>21</v>
      </c>
    </row>
    <row r="3935" spans="1:7">
      <c r="A3935">
        <v>3934</v>
      </c>
      <c r="B3935" t="str">
        <f>"026705"</f>
        <v>0</v>
      </c>
      <c r="C3935" t="s">
        <v>3599</v>
      </c>
      <c r="D3935" t="s">
        <v>6611</v>
      </c>
      <c r="E3935" t="str">
        <f>"1809700094830"</f>
        <v>0</v>
      </c>
      <c r="F3935" t="str">
        <f>"000850"</f>
        <v>0</v>
      </c>
      <c r="G3935" t="s">
        <v>21</v>
      </c>
    </row>
    <row r="3936" spans="1:7">
      <c r="A3936">
        <v>3935</v>
      </c>
      <c r="B3936" t="str">
        <f>"021227"</f>
        <v>0</v>
      </c>
      <c r="C3936" t="s">
        <v>3736</v>
      </c>
      <c r="D3936" t="s">
        <v>6612</v>
      </c>
      <c r="E3936" t="str">
        <f>"5620790009566"</f>
        <v>0</v>
      </c>
      <c r="F3936" t="str">
        <f>"000850"</f>
        <v>0</v>
      </c>
      <c r="G3936" t="s">
        <v>21</v>
      </c>
    </row>
    <row r="3937" spans="1:7">
      <c r="A3937">
        <v>3936</v>
      </c>
      <c r="B3937" t="str">
        <f>"001030"</f>
        <v>0</v>
      </c>
      <c r="C3937" t="s">
        <v>6613</v>
      </c>
      <c r="D3937" t="s">
        <v>6614</v>
      </c>
      <c r="E3937" t="str">
        <f>"3301700121466"</f>
        <v>0</v>
      </c>
      <c r="F3937" t="str">
        <f>"000860"</f>
        <v>0</v>
      </c>
      <c r="G3937" t="s">
        <v>21</v>
      </c>
    </row>
    <row r="3938" spans="1:7">
      <c r="A3938">
        <v>3937</v>
      </c>
      <c r="B3938" t="str">
        <f>"001345"</f>
        <v>0</v>
      </c>
      <c r="C3938" t="s">
        <v>6615</v>
      </c>
      <c r="D3938" t="s">
        <v>6616</v>
      </c>
      <c r="E3938" t="str">
        <f>"3300100510193"</f>
        <v>0</v>
      </c>
      <c r="F3938" t="str">
        <f>"000860"</f>
        <v>0</v>
      </c>
      <c r="G3938" t="s">
        <v>21</v>
      </c>
    </row>
    <row r="3939" spans="1:7">
      <c r="A3939">
        <v>3938</v>
      </c>
      <c r="B3939" t="str">
        <f>"002282"</f>
        <v>0</v>
      </c>
      <c r="C3939" t="s">
        <v>953</v>
      </c>
      <c r="D3939" t="s">
        <v>6617</v>
      </c>
      <c r="E3939" t="str">
        <f>"3301500011268"</f>
        <v>0</v>
      </c>
      <c r="F3939" t="str">
        <f>"000860"</f>
        <v>0</v>
      </c>
      <c r="G3939" t="s">
        <v>21</v>
      </c>
    </row>
    <row r="3940" spans="1:7">
      <c r="A3940">
        <v>3939</v>
      </c>
      <c r="B3940" t="str">
        <f>"002500"</f>
        <v>0</v>
      </c>
      <c r="C3940" t="s">
        <v>3825</v>
      </c>
      <c r="D3940" t="s">
        <v>5119</v>
      </c>
      <c r="E3940" t="str">
        <f>"3509900251628"</f>
        <v>0</v>
      </c>
      <c r="F3940" t="str">
        <f>"000860"</f>
        <v>0</v>
      </c>
      <c r="G3940" t="s">
        <v>21</v>
      </c>
    </row>
    <row r="3941" spans="1:7">
      <c r="A3941">
        <v>3940</v>
      </c>
      <c r="B3941" t="str">
        <f>"002611"</f>
        <v>0</v>
      </c>
      <c r="C3941" t="s">
        <v>4609</v>
      </c>
      <c r="D3941" t="s">
        <v>6618</v>
      </c>
      <c r="E3941" t="str">
        <f>"3309900119641"</f>
        <v>0</v>
      </c>
      <c r="F3941" t="str">
        <f>"000860"</f>
        <v>0</v>
      </c>
      <c r="G3941" t="s">
        <v>21</v>
      </c>
    </row>
    <row r="3942" spans="1:7">
      <c r="A3942">
        <v>3941</v>
      </c>
      <c r="B3942" t="str">
        <f>"002668"</f>
        <v>0</v>
      </c>
      <c r="C3942" t="s">
        <v>6619</v>
      </c>
      <c r="D3942" t="s">
        <v>6620</v>
      </c>
      <c r="E3942" t="str">
        <f>"3209900272792"</f>
        <v>0</v>
      </c>
      <c r="F3942" t="str">
        <f>"000860"</f>
        <v>0</v>
      </c>
      <c r="G3942" t="s">
        <v>21</v>
      </c>
    </row>
    <row r="3943" spans="1:7">
      <c r="A3943">
        <v>3942</v>
      </c>
      <c r="B3943" t="str">
        <f>"002996"</f>
        <v>0</v>
      </c>
      <c r="C3943" t="s">
        <v>3913</v>
      </c>
      <c r="D3943" t="s">
        <v>6621</v>
      </c>
      <c r="E3943" t="str">
        <f>"3301800019345"</f>
        <v>0</v>
      </c>
      <c r="F3943" t="str">
        <f>"000860"</f>
        <v>0</v>
      </c>
      <c r="G3943" t="s">
        <v>21</v>
      </c>
    </row>
    <row r="3944" spans="1:7">
      <c r="A3944">
        <v>3943</v>
      </c>
      <c r="B3944" t="str">
        <f>"003694"</f>
        <v>0</v>
      </c>
      <c r="C3944" t="s">
        <v>6622</v>
      </c>
      <c r="D3944" t="s">
        <v>6623</v>
      </c>
      <c r="E3944" t="str">
        <f>"3190900390828"</f>
        <v>0</v>
      </c>
      <c r="F3944" t="str">
        <f>"000860"</f>
        <v>0</v>
      </c>
      <c r="G3944" t="s">
        <v>21</v>
      </c>
    </row>
    <row r="3945" spans="1:7">
      <c r="A3945">
        <v>3944</v>
      </c>
      <c r="B3945" t="str">
        <f>"003880"</f>
        <v>0</v>
      </c>
      <c r="C3945" t="s">
        <v>3783</v>
      </c>
      <c r="D3945" t="s">
        <v>6624</v>
      </c>
      <c r="E3945" t="str">
        <f>"3301000004611"</f>
        <v>0</v>
      </c>
      <c r="F3945" t="str">
        <f>"000860"</f>
        <v>0</v>
      </c>
      <c r="G3945" t="s">
        <v>21</v>
      </c>
    </row>
    <row r="3946" spans="1:7">
      <c r="A3946">
        <v>3945</v>
      </c>
      <c r="B3946" t="str">
        <f>"004026"</f>
        <v>0</v>
      </c>
      <c r="C3946" t="s">
        <v>445</v>
      </c>
      <c r="D3946" t="s">
        <v>6625</v>
      </c>
      <c r="E3946" t="str">
        <f>"3309900618892"</f>
        <v>0</v>
      </c>
      <c r="F3946" t="str">
        <f>"000860"</f>
        <v>0</v>
      </c>
      <c r="G3946" t="s">
        <v>21</v>
      </c>
    </row>
    <row r="3947" spans="1:7">
      <c r="A3947">
        <v>3946</v>
      </c>
      <c r="B3947" t="str">
        <f>"004086"</f>
        <v>0</v>
      </c>
      <c r="C3947" t="s">
        <v>6626</v>
      </c>
      <c r="D3947" t="s">
        <v>6627</v>
      </c>
      <c r="E3947" t="str">
        <f>"3100501164972"</f>
        <v>0</v>
      </c>
      <c r="F3947" t="str">
        <f>"000860"</f>
        <v>0</v>
      </c>
      <c r="G3947" t="s">
        <v>21</v>
      </c>
    </row>
    <row r="3948" spans="1:7">
      <c r="A3948">
        <v>3947</v>
      </c>
      <c r="B3948" t="str">
        <f>"004188"</f>
        <v>0</v>
      </c>
      <c r="C3948" t="s">
        <v>6628</v>
      </c>
      <c r="D3948" t="s">
        <v>6629</v>
      </c>
      <c r="E3948" t="str">
        <f>"3302000721283"</f>
        <v>0</v>
      </c>
      <c r="F3948" t="str">
        <f>"000860"</f>
        <v>0</v>
      </c>
      <c r="G3948" t="s">
        <v>21</v>
      </c>
    </row>
    <row r="3949" spans="1:7">
      <c r="A3949">
        <v>3948</v>
      </c>
      <c r="B3949" t="str">
        <f>"004190"</f>
        <v>0</v>
      </c>
      <c r="C3949" t="s">
        <v>2659</v>
      </c>
      <c r="D3949" t="s">
        <v>6630</v>
      </c>
      <c r="E3949" t="str">
        <f>"3360300210363"</f>
        <v>0</v>
      </c>
      <c r="F3949" t="str">
        <f>"000860"</f>
        <v>0</v>
      </c>
      <c r="G3949" t="s">
        <v>21</v>
      </c>
    </row>
    <row r="3950" spans="1:7">
      <c r="A3950">
        <v>3949</v>
      </c>
      <c r="B3950" t="str">
        <f>"004193"</f>
        <v>0</v>
      </c>
      <c r="C3950" t="s">
        <v>6631</v>
      </c>
      <c r="D3950" t="s">
        <v>6632</v>
      </c>
      <c r="E3950" t="str">
        <f>"3309901815128"</f>
        <v>0</v>
      </c>
      <c r="F3950" t="str">
        <f>"000860"</f>
        <v>0</v>
      </c>
      <c r="G3950" t="s">
        <v>21</v>
      </c>
    </row>
    <row r="3951" spans="1:7">
      <c r="A3951">
        <v>3950</v>
      </c>
      <c r="B3951" t="str">
        <f>"004194"</f>
        <v>0</v>
      </c>
      <c r="C3951" t="s">
        <v>1502</v>
      </c>
      <c r="D3951" t="s">
        <v>6633</v>
      </c>
      <c r="E3951" t="str">
        <f>"5301490004635"</f>
        <v>0</v>
      </c>
      <c r="F3951" t="str">
        <f>"000860"</f>
        <v>0</v>
      </c>
      <c r="G3951" t="s">
        <v>21</v>
      </c>
    </row>
    <row r="3952" spans="1:7">
      <c r="A3952">
        <v>3951</v>
      </c>
      <c r="B3952" t="str">
        <f>"004580"</f>
        <v>0</v>
      </c>
      <c r="C3952" t="s">
        <v>6634</v>
      </c>
      <c r="D3952" t="s">
        <v>6635</v>
      </c>
      <c r="E3952" t="str">
        <f>"3300100378813"</f>
        <v>0</v>
      </c>
      <c r="F3952" t="str">
        <f>"000860"</f>
        <v>0</v>
      </c>
      <c r="G3952" t="s">
        <v>21</v>
      </c>
    </row>
    <row r="3953" spans="1:7">
      <c r="A3953">
        <v>3952</v>
      </c>
      <c r="B3953" t="str">
        <f>"004908"</f>
        <v>0</v>
      </c>
      <c r="C3953" t="s">
        <v>6636</v>
      </c>
      <c r="D3953" t="s">
        <v>6637</v>
      </c>
      <c r="E3953" t="str">
        <f>"3309900236523"</f>
        <v>0</v>
      </c>
      <c r="F3953" t="str">
        <f>"000860"</f>
        <v>0</v>
      </c>
      <c r="G3953" t="s">
        <v>21</v>
      </c>
    </row>
    <row r="3954" spans="1:7">
      <c r="A3954">
        <v>3953</v>
      </c>
      <c r="B3954" t="str">
        <f>"005019"</f>
        <v>0</v>
      </c>
      <c r="C3954" t="s">
        <v>6638</v>
      </c>
      <c r="D3954" t="s">
        <v>6639</v>
      </c>
      <c r="E3954" t="str">
        <f>"3359900046899"</f>
        <v>0</v>
      </c>
      <c r="F3954" t="str">
        <f>"000860"</f>
        <v>0</v>
      </c>
      <c r="G3954" t="s">
        <v>21</v>
      </c>
    </row>
    <row r="3955" spans="1:7">
      <c r="A3955">
        <v>3954</v>
      </c>
      <c r="B3955" t="str">
        <f>"005030"</f>
        <v>0</v>
      </c>
      <c r="C3955" t="s">
        <v>5823</v>
      </c>
      <c r="D3955" t="s">
        <v>6640</v>
      </c>
      <c r="E3955" t="str">
        <f>"3309900723564"</f>
        <v>0</v>
      </c>
      <c r="F3955" t="str">
        <f>"000860"</f>
        <v>0</v>
      </c>
      <c r="G3955" t="s">
        <v>21</v>
      </c>
    </row>
    <row r="3956" spans="1:7">
      <c r="A3956">
        <v>3955</v>
      </c>
      <c r="B3956" t="str">
        <f>"005190"</f>
        <v>0</v>
      </c>
      <c r="C3956" t="s">
        <v>6641</v>
      </c>
      <c r="D3956" t="s">
        <v>6642</v>
      </c>
      <c r="E3956" t="str">
        <f>"3479900063644"</f>
        <v>0</v>
      </c>
      <c r="F3956" t="str">
        <f>"000860"</f>
        <v>0</v>
      </c>
      <c r="G3956" t="s">
        <v>21</v>
      </c>
    </row>
    <row r="3957" spans="1:7">
      <c r="A3957">
        <v>3956</v>
      </c>
      <c r="B3957" t="str">
        <f>"005269"</f>
        <v>0</v>
      </c>
      <c r="C3957" t="s">
        <v>5247</v>
      </c>
      <c r="D3957" t="s">
        <v>6643</v>
      </c>
      <c r="E3957" t="str">
        <f>"3302000738691"</f>
        <v>0</v>
      </c>
      <c r="F3957" t="str">
        <f>"000860"</f>
        <v>0</v>
      </c>
      <c r="G3957" t="s">
        <v>21</v>
      </c>
    </row>
    <row r="3958" spans="1:7">
      <c r="A3958">
        <v>3957</v>
      </c>
      <c r="B3958" t="str">
        <f>"005270"</f>
        <v>0</v>
      </c>
      <c r="C3958" t="s">
        <v>1160</v>
      </c>
      <c r="D3958" t="s">
        <v>6644</v>
      </c>
      <c r="E3958" t="str">
        <f>"3309900350776"</f>
        <v>0</v>
      </c>
      <c r="F3958" t="str">
        <f>"000860"</f>
        <v>0</v>
      </c>
      <c r="G3958" t="s">
        <v>21</v>
      </c>
    </row>
    <row r="3959" spans="1:7">
      <c r="A3959">
        <v>3958</v>
      </c>
      <c r="B3959" t="str">
        <f>"005523"</f>
        <v>0</v>
      </c>
      <c r="C3959" t="s">
        <v>6645</v>
      </c>
      <c r="D3959" t="s">
        <v>6646</v>
      </c>
      <c r="E3959" t="str">
        <f>"3341500201288"</f>
        <v>0</v>
      </c>
      <c r="F3959" t="str">
        <f>"000860"</f>
        <v>0</v>
      </c>
      <c r="G3959" t="s">
        <v>21</v>
      </c>
    </row>
    <row r="3960" spans="1:7">
      <c r="A3960">
        <v>3959</v>
      </c>
      <c r="B3960" t="str">
        <f>"005623"</f>
        <v>0</v>
      </c>
      <c r="C3960" t="s">
        <v>6647</v>
      </c>
      <c r="D3960" t="s">
        <v>6648</v>
      </c>
      <c r="E3960" t="str">
        <f>"3102200714941"</f>
        <v>0</v>
      </c>
      <c r="F3960" t="str">
        <f>"000860"</f>
        <v>0</v>
      </c>
      <c r="G3960" t="s">
        <v>21</v>
      </c>
    </row>
    <row r="3961" spans="1:7">
      <c r="A3961">
        <v>3960</v>
      </c>
      <c r="B3961" t="str">
        <f>"005890"</f>
        <v>0</v>
      </c>
      <c r="C3961" t="s">
        <v>173</v>
      </c>
      <c r="D3961" t="s">
        <v>6649</v>
      </c>
      <c r="E3961" t="str">
        <f>"3470400016258"</f>
        <v>0</v>
      </c>
      <c r="F3961" t="str">
        <f>"000860"</f>
        <v>0</v>
      </c>
      <c r="G3961" t="s">
        <v>21</v>
      </c>
    </row>
    <row r="3962" spans="1:7">
      <c r="A3962">
        <v>3961</v>
      </c>
      <c r="B3962" t="str">
        <f>"005963"</f>
        <v>0</v>
      </c>
      <c r="C3962" t="s">
        <v>6650</v>
      </c>
      <c r="D3962" t="s">
        <v>6630</v>
      </c>
      <c r="E3962" t="str">
        <f>"3360300210371"</f>
        <v>0</v>
      </c>
      <c r="F3962" t="str">
        <f>"000860"</f>
        <v>0</v>
      </c>
      <c r="G3962" t="s">
        <v>21</v>
      </c>
    </row>
    <row r="3963" spans="1:7">
      <c r="A3963">
        <v>3962</v>
      </c>
      <c r="B3963" t="str">
        <f>"006216"</f>
        <v>0</v>
      </c>
      <c r="C3963" t="s">
        <v>6651</v>
      </c>
      <c r="D3963" t="s">
        <v>6652</v>
      </c>
      <c r="E3963" t="str">
        <f>"3600101225571"</f>
        <v>0</v>
      </c>
      <c r="F3963" t="str">
        <f>"000860"</f>
        <v>0</v>
      </c>
      <c r="G3963" t="s">
        <v>21</v>
      </c>
    </row>
    <row r="3964" spans="1:7">
      <c r="A3964">
        <v>3963</v>
      </c>
      <c r="B3964" t="str">
        <f>"006297"</f>
        <v>0</v>
      </c>
      <c r="C3964" t="s">
        <v>6653</v>
      </c>
      <c r="D3964" t="s">
        <v>6654</v>
      </c>
      <c r="E3964" t="str">
        <f>"3300101292971"</f>
        <v>0</v>
      </c>
      <c r="F3964" t="str">
        <f>"000860"</f>
        <v>0</v>
      </c>
      <c r="G3964" t="s">
        <v>21</v>
      </c>
    </row>
    <row r="3965" spans="1:7">
      <c r="A3965">
        <v>3964</v>
      </c>
      <c r="B3965" t="str">
        <f>"006339"</f>
        <v>0</v>
      </c>
      <c r="C3965" t="s">
        <v>6655</v>
      </c>
      <c r="D3965" t="s">
        <v>6656</v>
      </c>
      <c r="E3965" t="str">
        <f>"3469900157657"</f>
        <v>0</v>
      </c>
      <c r="F3965" t="str">
        <f>"000860"</f>
        <v>0</v>
      </c>
      <c r="G3965" t="s">
        <v>21</v>
      </c>
    </row>
    <row r="3966" spans="1:7">
      <c r="A3966">
        <v>3965</v>
      </c>
      <c r="B3966" t="str">
        <f>"006436"</f>
        <v>0</v>
      </c>
      <c r="C3966" t="s">
        <v>6657</v>
      </c>
      <c r="D3966" t="s">
        <v>6658</v>
      </c>
      <c r="E3966" t="str">
        <f>"5311400004886"</f>
        <v>0</v>
      </c>
      <c r="F3966" t="str">
        <f>"000860"</f>
        <v>0</v>
      </c>
      <c r="G3966" t="s">
        <v>21</v>
      </c>
    </row>
    <row r="3967" spans="1:7">
      <c r="A3967">
        <v>3966</v>
      </c>
      <c r="B3967" t="str">
        <f>"006519"</f>
        <v>0</v>
      </c>
      <c r="C3967" t="s">
        <v>6659</v>
      </c>
      <c r="D3967" t="s">
        <v>6660</v>
      </c>
      <c r="E3967" t="str">
        <f>"3360400544859"</f>
        <v>0</v>
      </c>
      <c r="F3967" t="str">
        <f>"000860"</f>
        <v>0</v>
      </c>
      <c r="G3967" t="s">
        <v>21</v>
      </c>
    </row>
    <row r="3968" spans="1:7">
      <c r="A3968">
        <v>3967</v>
      </c>
      <c r="B3968" t="str">
        <f>"006576"</f>
        <v>0</v>
      </c>
      <c r="C3968" t="s">
        <v>4395</v>
      </c>
      <c r="D3968" t="s">
        <v>6339</v>
      </c>
      <c r="E3968" t="str">
        <f>"3301200755601"</f>
        <v>0</v>
      </c>
      <c r="F3968" t="str">
        <f>"000860"</f>
        <v>0</v>
      </c>
      <c r="G3968" t="s">
        <v>21</v>
      </c>
    </row>
    <row r="3969" spans="1:7">
      <c r="A3969">
        <v>3968</v>
      </c>
      <c r="B3969" t="str">
        <f>"006578"</f>
        <v>0</v>
      </c>
      <c r="C3969" t="s">
        <v>6661</v>
      </c>
      <c r="D3969" t="s">
        <v>6662</v>
      </c>
      <c r="E3969" t="str">
        <f>"5309790003887"</f>
        <v>0</v>
      </c>
      <c r="F3969" t="str">
        <f>"000860"</f>
        <v>0</v>
      </c>
      <c r="G3969" t="s">
        <v>21</v>
      </c>
    </row>
    <row r="3970" spans="1:7">
      <c r="A3970">
        <v>3969</v>
      </c>
      <c r="B3970" t="str">
        <f>"006582"</f>
        <v>0</v>
      </c>
      <c r="C3970" t="s">
        <v>6663</v>
      </c>
      <c r="D3970" t="s">
        <v>6664</v>
      </c>
      <c r="E3970" t="str">
        <f>"3319900194171"</f>
        <v>0</v>
      </c>
      <c r="F3970" t="str">
        <f>"000860"</f>
        <v>0</v>
      </c>
      <c r="G3970" t="s">
        <v>21</v>
      </c>
    </row>
    <row r="3971" spans="1:7">
      <c r="A3971">
        <v>3970</v>
      </c>
      <c r="B3971" t="str">
        <f>"006584"</f>
        <v>0</v>
      </c>
      <c r="C3971" t="s">
        <v>130</v>
      </c>
      <c r="D3971" t="s">
        <v>6665</v>
      </c>
      <c r="E3971" t="str">
        <f>"3430900593815"</f>
        <v>0</v>
      </c>
      <c r="F3971" t="str">
        <f>"000860"</f>
        <v>0</v>
      </c>
      <c r="G3971" t="s">
        <v>21</v>
      </c>
    </row>
    <row r="3972" spans="1:7">
      <c r="A3972">
        <v>3971</v>
      </c>
      <c r="B3972" t="str">
        <f>"006605"</f>
        <v>0</v>
      </c>
      <c r="C3972" t="s">
        <v>6666</v>
      </c>
      <c r="D3972" t="s">
        <v>6667</v>
      </c>
      <c r="E3972" t="str">
        <f>"3310400047235"</f>
        <v>0</v>
      </c>
      <c r="F3972" t="str">
        <f>"000860"</f>
        <v>0</v>
      </c>
      <c r="G3972" t="s">
        <v>21</v>
      </c>
    </row>
    <row r="3973" spans="1:7">
      <c r="A3973">
        <v>3972</v>
      </c>
      <c r="B3973" t="str">
        <f>"006818"</f>
        <v>0</v>
      </c>
      <c r="C3973" t="s">
        <v>3808</v>
      </c>
      <c r="D3973" t="s">
        <v>6668</v>
      </c>
      <c r="E3973" t="str">
        <f>"5300290018895"</f>
        <v>0</v>
      </c>
      <c r="F3973" t="str">
        <f>"000860"</f>
        <v>0</v>
      </c>
      <c r="G3973" t="s">
        <v>21</v>
      </c>
    </row>
    <row r="3974" spans="1:7">
      <c r="A3974">
        <v>3973</v>
      </c>
      <c r="B3974" t="str">
        <f>"006821"</f>
        <v>0</v>
      </c>
      <c r="C3974" t="s">
        <v>6669</v>
      </c>
      <c r="D3974" t="s">
        <v>6670</v>
      </c>
      <c r="E3974" t="str">
        <f>"3302000734890"</f>
        <v>0</v>
      </c>
      <c r="F3974" t="str">
        <f>"000860"</f>
        <v>0</v>
      </c>
      <c r="G3974" t="s">
        <v>21</v>
      </c>
    </row>
    <row r="3975" spans="1:7">
      <c r="A3975">
        <v>3974</v>
      </c>
      <c r="B3975" t="str">
        <f>"006824"</f>
        <v>0</v>
      </c>
      <c r="C3975" t="s">
        <v>6606</v>
      </c>
      <c r="D3975" t="s">
        <v>6671</v>
      </c>
      <c r="E3975" t="str">
        <f>"3309901666513"</f>
        <v>0</v>
      </c>
      <c r="F3975" t="str">
        <f>"000860"</f>
        <v>0</v>
      </c>
      <c r="G3975" t="s">
        <v>21</v>
      </c>
    </row>
    <row r="3976" spans="1:7">
      <c r="A3976">
        <v>3975</v>
      </c>
      <c r="B3976" t="str">
        <f>"006825"</f>
        <v>0</v>
      </c>
      <c r="C3976" t="s">
        <v>6672</v>
      </c>
      <c r="D3976" t="s">
        <v>6673</v>
      </c>
      <c r="E3976" t="str">
        <f>"3301100188586"</f>
        <v>0</v>
      </c>
      <c r="F3976" t="str">
        <f>"000860"</f>
        <v>0</v>
      </c>
      <c r="G3976" t="s">
        <v>21</v>
      </c>
    </row>
    <row r="3977" spans="1:7">
      <c r="A3977">
        <v>3976</v>
      </c>
      <c r="B3977" t="str">
        <f>"006832"</f>
        <v>0</v>
      </c>
      <c r="C3977" t="s">
        <v>4885</v>
      </c>
      <c r="D3977" t="s">
        <v>6674</v>
      </c>
      <c r="E3977" t="str">
        <f>"3300300438046"</f>
        <v>0</v>
      </c>
      <c r="F3977" t="str">
        <f>"000860"</f>
        <v>0</v>
      </c>
      <c r="G3977" t="s">
        <v>21</v>
      </c>
    </row>
    <row r="3978" spans="1:7">
      <c r="A3978">
        <v>3977</v>
      </c>
      <c r="B3978" t="str">
        <f>"006833"</f>
        <v>0</v>
      </c>
      <c r="C3978" t="s">
        <v>6675</v>
      </c>
      <c r="D3978" t="s">
        <v>6676</v>
      </c>
      <c r="E3978" t="str">
        <f>"3301200068515"</f>
        <v>0</v>
      </c>
      <c r="F3978" t="str">
        <f>"000860"</f>
        <v>0</v>
      </c>
      <c r="G3978" t="s">
        <v>21</v>
      </c>
    </row>
    <row r="3979" spans="1:7">
      <c r="A3979">
        <v>3978</v>
      </c>
      <c r="B3979" t="str">
        <f>"006994"</f>
        <v>0</v>
      </c>
      <c r="C3979" t="s">
        <v>6677</v>
      </c>
      <c r="D3979" t="s">
        <v>6678</v>
      </c>
      <c r="E3979" t="str">
        <f>"3309901095371"</f>
        <v>0</v>
      </c>
      <c r="F3979" t="str">
        <f>"000860"</f>
        <v>0</v>
      </c>
      <c r="G3979" t="s">
        <v>21</v>
      </c>
    </row>
    <row r="3980" spans="1:7">
      <c r="A3980">
        <v>3979</v>
      </c>
      <c r="B3980" t="str">
        <f>"006995"</f>
        <v>0</v>
      </c>
      <c r="C3980" t="s">
        <v>311</v>
      </c>
      <c r="D3980" t="s">
        <v>6679</v>
      </c>
      <c r="E3980" t="str">
        <f>"3309900280841"</f>
        <v>0</v>
      </c>
      <c r="F3980" t="str">
        <f>"000860"</f>
        <v>0</v>
      </c>
      <c r="G3980" t="s">
        <v>21</v>
      </c>
    </row>
    <row r="3981" spans="1:7">
      <c r="A3981">
        <v>3980</v>
      </c>
      <c r="B3981" t="str">
        <f>"006996"</f>
        <v>0</v>
      </c>
      <c r="C3981" t="s">
        <v>1545</v>
      </c>
      <c r="D3981" t="s">
        <v>6680</v>
      </c>
      <c r="E3981" t="str">
        <f>"3309900664690"</f>
        <v>0</v>
      </c>
      <c r="F3981" t="str">
        <f>"000860"</f>
        <v>0</v>
      </c>
      <c r="G3981" t="s">
        <v>21</v>
      </c>
    </row>
    <row r="3982" spans="1:7">
      <c r="A3982">
        <v>3981</v>
      </c>
      <c r="B3982" t="str">
        <f>"007048"</f>
        <v>0</v>
      </c>
      <c r="C3982" t="s">
        <v>798</v>
      </c>
      <c r="D3982" t="s">
        <v>6642</v>
      </c>
      <c r="E3982" t="str">
        <f>"3479900063636"</f>
        <v>0</v>
      </c>
      <c r="F3982" t="str">
        <f>"000860"</f>
        <v>0</v>
      </c>
      <c r="G3982" t="s">
        <v>21</v>
      </c>
    </row>
    <row r="3983" spans="1:7">
      <c r="A3983">
        <v>3982</v>
      </c>
      <c r="B3983" t="str">
        <f>"007159"</f>
        <v>0</v>
      </c>
      <c r="C3983" t="s">
        <v>6681</v>
      </c>
      <c r="D3983" t="s">
        <v>6682</v>
      </c>
      <c r="E3983" t="str">
        <f>"5302090027531"</f>
        <v>0</v>
      </c>
      <c r="F3983" t="str">
        <f>"000860"</f>
        <v>0</v>
      </c>
      <c r="G3983" t="s">
        <v>21</v>
      </c>
    </row>
    <row r="3984" spans="1:7">
      <c r="A3984">
        <v>3983</v>
      </c>
      <c r="B3984" t="str">
        <f>"007392"</f>
        <v>0</v>
      </c>
      <c r="C3984" t="s">
        <v>6683</v>
      </c>
      <c r="D3984" t="s">
        <v>6676</v>
      </c>
      <c r="E3984" t="str">
        <f>"3359900084715"</f>
        <v>0</v>
      </c>
      <c r="F3984" t="str">
        <f>"000860"</f>
        <v>0</v>
      </c>
      <c r="G3984" t="s">
        <v>21</v>
      </c>
    </row>
    <row r="3985" spans="1:7">
      <c r="A3985">
        <v>3984</v>
      </c>
      <c r="B3985" t="str">
        <f>"007449"</f>
        <v>0</v>
      </c>
      <c r="C3985" t="s">
        <v>6684</v>
      </c>
      <c r="D3985" t="s">
        <v>6685</v>
      </c>
      <c r="E3985" t="str">
        <f>"3411100067354"</f>
        <v>0</v>
      </c>
      <c r="F3985" t="str">
        <f>"000860"</f>
        <v>0</v>
      </c>
      <c r="G3985" t="s">
        <v>21</v>
      </c>
    </row>
    <row r="3986" spans="1:7">
      <c r="A3986">
        <v>3985</v>
      </c>
      <c r="B3986" t="str">
        <f>"007498"</f>
        <v>0</v>
      </c>
      <c r="C3986" t="s">
        <v>6686</v>
      </c>
      <c r="D3986" t="s">
        <v>6687</v>
      </c>
      <c r="E3986" t="str">
        <f>"3401000106544"</f>
        <v>0</v>
      </c>
      <c r="F3986" t="str">
        <f>"000860"</f>
        <v>0</v>
      </c>
      <c r="G3986" t="s">
        <v>21</v>
      </c>
    </row>
    <row r="3987" spans="1:7">
      <c r="A3987">
        <v>3986</v>
      </c>
      <c r="B3987" t="str">
        <f>"007544"</f>
        <v>0</v>
      </c>
      <c r="C3987" t="s">
        <v>6688</v>
      </c>
      <c r="D3987" t="s">
        <v>6689</v>
      </c>
      <c r="E3987" t="str">
        <f>"3360101376296"</f>
        <v>0</v>
      </c>
      <c r="F3987" t="str">
        <f>"000860"</f>
        <v>0</v>
      </c>
      <c r="G3987" t="s">
        <v>21</v>
      </c>
    </row>
    <row r="3988" spans="1:7">
      <c r="A3988">
        <v>3987</v>
      </c>
      <c r="B3988" t="str">
        <f>"007550"</f>
        <v>0</v>
      </c>
      <c r="C3988" t="s">
        <v>2298</v>
      </c>
      <c r="D3988" t="s">
        <v>6690</v>
      </c>
      <c r="E3988" t="str">
        <f>"4300100003001"</f>
        <v>0</v>
      </c>
      <c r="F3988" t="str">
        <f>"000860"</f>
        <v>0</v>
      </c>
      <c r="G3988" t="s">
        <v>21</v>
      </c>
    </row>
    <row r="3989" spans="1:7">
      <c r="A3989">
        <v>3988</v>
      </c>
      <c r="B3989" t="str">
        <f>"007551"</f>
        <v>0</v>
      </c>
      <c r="C3989" t="s">
        <v>4059</v>
      </c>
      <c r="D3989" t="s">
        <v>6691</v>
      </c>
      <c r="E3989" t="str">
        <f>"3300400351236"</f>
        <v>0</v>
      </c>
      <c r="F3989" t="str">
        <f>"000860"</f>
        <v>0</v>
      </c>
      <c r="G3989" t="s">
        <v>21</v>
      </c>
    </row>
    <row r="3990" spans="1:7">
      <c r="A3990">
        <v>3989</v>
      </c>
      <c r="B3990" t="str">
        <f>"007572"</f>
        <v>0</v>
      </c>
      <c r="C3990" t="s">
        <v>2360</v>
      </c>
      <c r="D3990" t="s">
        <v>6692</v>
      </c>
      <c r="E3990" t="str">
        <f>"3302200171589"</f>
        <v>0</v>
      </c>
      <c r="F3990" t="str">
        <f>"000860"</f>
        <v>0</v>
      </c>
      <c r="G3990" t="s">
        <v>21</v>
      </c>
    </row>
    <row r="3991" spans="1:7">
      <c r="A3991">
        <v>3990</v>
      </c>
      <c r="B3991" t="str">
        <f>"007633"</f>
        <v>0</v>
      </c>
      <c r="C3991" t="s">
        <v>947</v>
      </c>
      <c r="D3991" t="s">
        <v>6693</v>
      </c>
      <c r="E3991" t="str">
        <f>"3309900209925"</f>
        <v>0</v>
      </c>
      <c r="F3991" t="str">
        <f>"000860"</f>
        <v>0</v>
      </c>
      <c r="G3991" t="s">
        <v>21</v>
      </c>
    </row>
    <row r="3992" spans="1:7">
      <c r="A3992">
        <v>3991</v>
      </c>
      <c r="B3992" t="str">
        <f>"007677"</f>
        <v>0</v>
      </c>
      <c r="C3992" t="s">
        <v>311</v>
      </c>
      <c r="D3992" t="s">
        <v>6694</v>
      </c>
      <c r="E3992" t="str">
        <f>"3411500026281"</f>
        <v>0</v>
      </c>
      <c r="F3992" t="str">
        <f>"000860"</f>
        <v>0</v>
      </c>
      <c r="G3992" t="s">
        <v>21</v>
      </c>
    </row>
    <row r="3993" spans="1:7">
      <c r="A3993">
        <v>3992</v>
      </c>
      <c r="B3993" t="str">
        <f>"007685"</f>
        <v>0</v>
      </c>
      <c r="C3993" t="s">
        <v>3147</v>
      </c>
      <c r="D3993" t="s">
        <v>6695</v>
      </c>
      <c r="E3993" t="str">
        <f>"3341000095799"</f>
        <v>0</v>
      </c>
      <c r="F3993" t="str">
        <f>"000860"</f>
        <v>0</v>
      </c>
      <c r="G3993" t="s">
        <v>21</v>
      </c>
    </row>
    <row r="3994" spans="1:7">
      <c r="A3994">
        <v>3993</v>
      </c>
      <c r="B3994" t="str">
        <f>"007897"</f>
        <v>0</v>
      </c>
      <c r="C3994" t="s">
        <v>311</v>
      </c>
      <c r="D3994" t="s">
        <v>6696</v>
      </c>
      <c r="E3994" t="str">
        <f>"3300200266057"</f>
        <v>0</v>
      </c>
      <c r="F3994" t="str">
        <f>"000860"</f>
        <v>0</v>
      </c>
      <c r="G3994" t="s">
        <v>21</v>
      </c>
    </row>
    <row r="3995" spans="1:7">
      <c r="A3995">
        <v>3994</v>
      </c>
      <c r="B3995" t="str">
        <f>"007945"</f>
        <v>0</v>
      </c>
      <c r="C3995" t="s">
        <v>901</v>
      </c>
      <c r="D3995" t="s">
        <v>6697</v>
      </c>
      <c r="E3995" t="str">
        <f>"5301400094648"</f>
        <v>0</v>
      </c>
      <c r="F3995" t="str">
        <f>"000860"</f>
        <v>0</v>
      </c>
      <c r="G3995" t="s">
        <v>21</v>
      </c>
    </row>
    <row r="3996" spans="1:7">
      <c r="A3996">
        <v>3995</v>
      </c>
      <c r="B3996" t="str">
        <f>"007948"</f>
        <v>0</v>
      </c>
      <c r="C3996" t="s">
        <v>2303</v>
      </c>
      <c r="D3996" t="s">
        <v>6698</v>
      </c>
      <c r="E3996" t="str">
        <f>"3309901168751"</f>
        <v>0</v>
      </c>
      <c r="F3996" t="str">
        <f>"000860"</f>
        <v>0</v>
      </c>
      <c r="G3996" t="s">
        <v>21</v>
      </c>
    </row>
    <row r="3997" spans="1:7">
      <c r="A3997">
        <v>3996</v>
      </c>
      <c r="B3997" t="str">
        <f>"008067"</f>
        <v>0</v>
      </c>
      <c r="C3997" t="s">
        <v>1335</v>
      </c>
      <c r="D3997" t="s">
        <v>6699</v>
      </c>
      <c r="E3997" t="str">
        <f>"3410900088754"</f>
        <v>0</v>
      </c>
      <c r="F3997" t="str">
        <f>"000860"</f>
        <v>0</v>
      </c>
      <c r="G3997" t="s">
        <v>21</v>
      </c>
    </row>
    <row r="3998" spans="1:7">
      <c r="A3998">
        <v>3997</v>
      </c>
      <c r="B3998" t="str">
        <f>"008148"</f>
        <v>0</v>
      </c>
      <c r="C3998" t="s">
        <v>3411</v>
      </c>
      <c r="D3998" t="s">
        <v>6700</v>
      </c>
      <c r="E3998" t="str">
        <f>"3309600093310"</f>
        <v>0</v>
      </c>
      <c r="F3998" t="str">
        <f>"000860"</f>
        <v>0</v>
      </c>
      <c r="G3998" t="s">
        <v>21</v>
      </c>
    </row>
    <row r="3999" spans="1:7">
      <c r="A3999">
        <v>3998</v>
      </c>
      <c r="B3999" t="str">
        <f>"008157"</f>
        <v>0</v>
      </c>
      <c r="C3999" t="s">
        <v>6701</v>
      </c>
      <c r="D3999" t="s">
        <v>6702</v>
      </c>
      <c r="E3999" t="str">
        <f>"3341501685718"</f>
        <v>0</v>
      </c>
      <c r="F3999" t="str">
        <f>"000860"</f>
        <v>0</v>
      </c>
      <c r="G3999" t="s">
        <v>21</v>
      </c>
    </row>
    <row r="4000" spans="1:7">
      <c r="A4000">
        <v>3999</v>
      </c>
      <c r="B4000" t="str">
        <f>"008196"</f>
        <v>0</v>
      </c>
      <c r="C4000" t="s">
        <v>6703</v>
      </c>
      <c r="D4000" t="s">
        <v>4312</v>
      </c>
      <c r="E4000" t="str">
        <f>"3360500869601"</f>
        <v>0</v>
      </c>
      <c r="F4000" t="str">
        <f>"000860"</f>
        <v>0</v>
      </c>
      <c r="G4000" t="s">
        <v>21</v>
      </c>
    </row>
    <row r="4001" spans="1:7">
      <c r="A4001">
        <v>4000</v>
      </c>
      <c r="B4001" t="str">
        <f>"008245"</f>
        <v>0</v>
      </c>
      <c r="C4001" t="s">
        <v>6704</v>
      </c>
      <c r="D4001" t="s">
        <v>6705</v>
      </c>
      <c r="E4001" t="str">
        <f>"3309800141911"</f>
        <v>0</v>
      </c>
      <c r="F4001" t="str">
        <f>"000860"</f>
        <v>0</v>
      </c>
      <c r="G4001" t="s">
        <v>21</v>
      </c>
    </row>
    <row r="4002" spans="1:7">
      <c r="A4002">
        <v>4001</v>
      </c>
      <c r="B4002" t="str">
        <f>"008247"</f>
        <v>0</v>
      </c>
      <c r="C4002" t="s">
        <v>2022</v>
      </c>
      <c r="D4002" t="s">
        <v>6706</v>
      </c>
      <c r="E4002" t="str">
        <f>"3310101053560"</f>
        <v>0</v>
      </c>
      <c r="F4002" t="str">
        <f>"000860"</f>
        <v>0</v>
      </c>
      <c r="G4002" t="s">
        <v>21</v>
      </c>
    </row>
    <row r="4003" spans="1:7">
      <c r="A4003">
        <v>4002</v>
      </c>
      <c r="B4003" t="str">
        <f>"008251"</f>
        <v>0</v>
      </c>
      <c r="C4003" t="s">
        <v>6707</v>
      </c>
      <c r="D4003" t="s">
        <v>6708</v>
      </c>
      <c r="E4003" t="str">
        <f>"3480700678094"</f>
        <v>0</v>
      </c>
      <c r="F4003" t="str">
        <f>"000860"</f>
        <v>0</v>
      </c>
      <c r="G4003" t="s">
        <v>21</v>
      </c>
    </row>
    <row r="4004" spans="1:7">
      <c r="A4004">
        <v>4003</v>
      </c>
      <c r="B4004" t="str">
        <f>"008369"</f>
        <v>0</v>
      </c>
      <c r="C4004" t="s">
        <v>6709</v>
      </c>
      <c r="D4004" t="s">
        <v>6710</v>
      </c>
      <c r="E4004" t="str">
        <f>"3430700037188"</f>
        <v>0</v>
      </c>
      <c r="F4004" t="str">
        <f>"000860"</f>
        <v>0</v>
      </c>
      <c r="G4004" t="s">
        <v>21</v>
      </c>
    </row>
    <row r="4005" spans="1:7">
      <c r="A4005">
        <v>4004</v>
      </c>
      <c r="B4005" t="str">
        <f>"008393"</f>
        <v>0</v>
      </c>
      <c r="C4005" t="s">
        <v>6711</v>
      </c>
      <c r="D4005" t="s">
        <v>6712</v>
      </c>
      <c r="E4005" t="str">
        <f>"3720500039940"</f>
        <v>0</v>
      </c>
      <c r="F4005" t="str">
        <f>"000860"</f>
        <v>0</v>
      </c>
      <c r="G4005" t="s">
        <v>21</v>
      </c>
    </row>
    <row r="4006" spans="1:7">
      <c r="A4006">
        <v>4005</v>
      </c>
      <c r="B4006" t="str">
        <f>"008400"</f>
        <v>0</v>
      </c>
      <c r="C4006" t="s">
        <v>6713</v>
      </c>
      <c r="D4006" t="s">
        <v>6714</v>
      </c>
      <c r="E4006" t="str">
        <f>"3670301466466"</f>
        <v>0</v>
      </c>
      <c r="F4006" t="str">
        <f>"000860"</f>
        <v>0</v>
      </c>
      <c r="G4006" t="s">
        <v>21</v>
      </c>
    </row>
    <row r="4007" spans="1:7">
      <c r="A4007">
        <v>4006</v>
      </c>
      <c r="B4007" t="str">
        <f>"008431"</f>
        <v>0</v>
      </c>
      <c r="C4007" t="s">
        <v>6715</v>
      </c>
      <c r="D4007" t="s">
        <v>6716</v>
      </c>
      <c r="E4007" t="str">
        <f>"3300101292700"</f>
        <v>0</v>
      </c>
      <c r="F4007" t="str">
        <f>"000860"</f>
        <v>0</v>
      </c>
      <c r="G4007" t="s">
        <v>21</v>
      </c>
    </row>
    <row r="4008" spans="1:7">
      <c r="A4008">
        <v>4007</v>
      </c>
      <c r="B4008" t="str">
        <f>"008451"</f>
        <v>0</v>
      </c>
      <c r="C4008" t="s">
        <v>6717</v>
      </c>
      <c r="D4008" t="s">
        <v>6718</v>
      </c>
      <c r="E4008" t="str">
        <f>"3301201009881"</f>
        <v>0</v>
      </c>
      <c r="F4008" t="str">
        <f>"000860"</f>
        <v>0</v>
      </c>
      <c r="G4008" t="s">
        <v>21</v>
      </c>
    </row>
    <row r="4009" spans="1:7">
      <c r="A4009">
        <v>4008</v>
      </c>
      <c r="B4009" t="str">
        <f>"008452"</f>
        <v>0</v>
      </c>
      <c r="C4009" t="s">
        <v>1599</v>
      </c>
      <c r="D4009" t="s">
        <v>6719</v>
      </c>
      <c r="E4009" t="str">
        <f>"3301800130751"</f>
        <v>0</v>
      </c>
      <c r="F4009" t="str">
        <f>"000860"</f>
        <v>0</v>
      </c>
      <c r="G4009" t="s">
        <v>21</v>
      </c>
    </row>
    <row r="4010" spans="1:7">
      <c r="A4010">
        <v>4009</v>
      </c>
      <c r="B4010" t="str">
        <f>"008504"</f>
        <v>0</v>
      </c>
      <c r="C4010" t="s">
        <v>1735</v>
      </c>
      <c r="D4010" t="s">
        <v>6720</v>
      </c>
      <c r="E4010" t="str">
        <f>"3420500375845"</f>
        <v>0</v>
      </c>
      <c r="F4010" t="str">
        <f>"000860"</f>
        <v>0</v>
      </c>
      <c r="G4010" t="s">
        <v>21</v>
      </c>
    </row>
    <row r="4011" spans="1:7">
      <c r="A4011">
        <v>4010</v>
      </c>
      <c r="B4011" t="str">
        <f>"008585"</f>
        <v>0</v>
      </c>
      <c r="C4011" t="s">
        <v>6721</v>
      </c>
      <c r="D4011" t="s">
        <v>6722</v>
      </c>
      <c r="E4011" t="str">
        <f>"3301400335126"</f>
        <v>0</v>
      </c>
      <c r="F4011" t="str">
        <f>"000860"</f>
        <v>0</v>
      </c>
      <c r="G4011" t="s">
        <v>21</v>
      </c>
    </row>
    <row r="4012" spans="1:7">
      <c r="A4012">
        <v>4011</v>
      </c>
      <c r="B4012" t="str">
        <f>"008588"</f>
        <v>0</v>
      </c>
      <c r="C4012" t="s">
        <v>6723</v>
      </c>
      <c r="D4012" t="s">
        <v>6724</v>
      </c>
      <c r="E4012" t="str">
        <f>"5310400015704"</f>
        <v>0</v>
      </c>
      <c r="F4012" t="str">
        <f>"000860"</f>
        <v>0</v>
      </c>
      <c r="G4012" t="s">
        <v>21</v>
      </c>
    </row>
    <row r="4013" spans="1:7">
      <c r="A4013">
        <v>4012</v>
      </c>
      <c r="B4013" t="str">
        <f>"008635"</f>
        <v>0</v>
      </c>
      <c r="C4013" t="s">
        <v>6725</v>
      </c>
      <c r="D4013" t="s">
        <v>6665</v>
      </c>
      <c r="E4013" t="str">
        <f>"3310700227760"</f>
        <v>0</v>
      </c>
      <c r="F4013" t="str">
        <f>"000860"</f>
        <v>0</v>
      </c>
      <c r="G4013" t="s">
        <v>21</v>
      </c>
    </row>
    <row r="4014" spans="1:7">
      <c r="A4014">
        <v>4013</v>
      </c>
      <c r="B4014" t="str">
        <f>"008675"</f>
        <v>0</v>
      </c>
      <c r="C4014" t="s">
        <v>6726</v>
      </c>
      <c r="D4014" t="s">
        <v>6727</v>
      </c>
      <c r="E4014" t="str">
        <f>"3300101106671"</f>
        <v>0</v>
      </c>
      <c r="F4014" t="str">
        <f>"000860"</f>
        <v>0</v>
      </c>
      <c r="G4014" t="s">
        <v>21</v>
      </c>
    </row>
    <row r="4015" spans="1:7">
      <c r="A4015">
        <v>4014</v>
      </c>
      <c r="B4015" t="str">
        <f>"008795"</f>
        <v>0</v>
      </c>
      <c r="C4015" t="s">
        <v>6728</v>
      </c>
      <c r="D4015" t="s">
        <v>6729</v>
      </c>
      <c r="E4015" t="str">
        <f>"3160200479095"</f>
        <v>0</v>
      </c>
      <c r="F4015" t="str">
        <f>"000860"</f>
        <v>0</v>
      </c>
      <c r="G4015" t="s">
        <v>21</v>
      </c>
    </row>
    <row r="4016" spans="1:7">
      <c r="A4016">
        <v>4015</v>
      </c>
      <c r="B4016" t="str">
        <f>"008796"</f>
        <v>0</v>
      </c>
      <c r="C4016" t="s">
        <v>6659</v>
      </c>
      <c r="D4016" t="s">
        <v>6730</v>
      </c>
      <c r="E4016" t="str">
        <f>"3301600022806"</f>
        <v>0</v>
      </c>
      <c r="F4016" t="str">
        <f>"000860"</f>
        <v>0</v>
      </c>
      <c r="G4016" t="s">
        <v>21</v>
      </c>
    </row>
    <row r="4017" spans="1:7">
      <c r="A4017">
        <v>4016</v>
      </c>
      <c r="B4017" t="str">
        <f>"009001"</f>
        <v>0</v>
      </c>
      <c r="C4017" t="s">
        <v>2303</v>
      </c>
      <c r="D4017" t="s">
        <v>6731</v>
      </c>
      <c r="E4017" t="str">
        <f>"3301500827233"</f>
        <v>0</v>
      </c>
      <c r="F4017" t="str">
        <f>"000860"</f>
        <v>0</v>
      </c>
      <c r="G4017" t="s">
        <v>21</v>
      </c>
    </row>
    <row r="4018" spans="1:7">
      <c r="A4018">
        <v>4017</v>
      </c>
      <c r="B4018" t="str">
        <f>"009119"</f>
        <v>0</v>
      </c>
      <c r="C4018" t="s">
        <v>6732</v>
      </c>
      <c r="D4018" t="s">
        <v>6733</v>
      </c>
      <c r="E4018" t="str">
        <f>"3430501000497"</f>
        <v>0</v>
      </c>
      <c r="F4018" t="str">
        <f>"000860"</f>
        <v>0</v>
      </c>
      <c r="G4018" t="s">
        <v>21</v>
      </c>
    </row>
    <row r="4019" spans="1:7">
      <c r="A4019">
        <v>4018</v>
      </c>
      <c r="B4019" t="str">
        <f>"009150"</f>
        <v>0</v>
      </c>
      <c r="C4019" t="s">
        <v>2443</v>
      </c>
      <c r="D4019" t="s">
        <v>6643</v>
      </c>
      <c r="E4019" t="str">
        <f>"3302000738721"</f>
        <v>0</v>
      </c>
      <c r="F4019" t="str">
        <f>"000860"</f>
        <v>0</v>
      </c>
      <c r="G4019" t="s">
        <v>21</v>
      </c>
    </row>
    <row r="4020" spans="1:7">
      <c r="A4020">
        <v>4019</v>
      </c>
      <c r="B4020" t="str">
        <f>"009345"</f>
        <v>0</v>
      </c>
      <c r="C4020" t="s">
        <v>2601</v>
      </c>
      <c r="D4020" t="s">
        <v>6734</v>
      </c>
      <c r="E4020" t="str">
        <f>"3301400731528"</f>
        <v>0</v>
      </c>
      <c r="F4020" t="str">
        <f>"000860"</f>
        <v>0</v>
      </c>
      <c r="G4020" t="s">
        <v>21</v>
      </c>
    </row>
    <row r="4021" spans="1:7">
      <c r="A4021">
        <v>4020</v>
      </c>
      <c r="B4021" t="str">
        <f>"009479"</f>
        <v>0</v>
      </c>
      <c r="C4021" t="s">
        <v>6377</v>
      </c>
      <c r="D4021" t="s">
        <v>2986</v>
      </c>
      <c r="E4021" t="str">
        <f>"3220200033878"</f>
        <v>0</v>
      </c>
      <c r="F4021" t="str">
        <f>"000860"</f>
        <v>0</v>
      </c>
      <c r="G4021" t="s">
        <v>21</v>
      </c>
    </row>
    <row r="4022" spans="1:7">
      <c r="A4022">
        <v>4021</v>
      </c>
      <c r="B4022" t="str">
        <f>"009502"</f>
        <v>0</v>
      </c>
      <c r="C4022" t="s">
        <v>6735</v>
      </c>
      <c r="D4022" t="s">
        <v>6736</v>
      </c>
      <c r="E4022" t="str">
        <f>"3301900068194"</f>
        <v>0</v>
      </c>
      <c r="F4022" t="str">
        <f>"000860"</f>
        <v>0</v>
      </c>
      <c r="G4022" t="s">
        <v>21</v>
      </c>
    </row>
    <row r="4023" spans="1:7">
      <c r="A4023">
        <v>4022</v>
      </c>
      <c r="B4023" t="str">
        <f>"009687"</f>
        <v>0</v>
      </c>
      <c r="C4023" t="s">
        <v>6737</v>
      </c>
      <c r="D4023" t="s">
        <v>6738</v>
      </c>
      <c r="E4023" t="str">
        <f>"3440500093441"</f>
        <v>0</v>
      </c>
      <c r="F4023" t="str">
        <f>"000860"</f>
        <v>0</v>
      </c>
      <c r="G4023" t="s">
        <v>21</v>
      </c>
    </row>
    <row r="4024" spans="1:7">
      <c r="A4024">
        <v>4023</v>
      </c>
      <c r="B4024" t="str">
        <f>"009689"</f>
        <v>0</v>
      </c>
      <c r="C4024" t="s">
        <v>4924</v>
      </c>
      <c r="D4024" t="s">
        <v>6739</v>
      </c>
      <c r="E4024" t="str">
        <f>"3300200219865"</f>
        <v>0</v>
      </c>
      <c r="F4024" t="str">
        <f>"000860"</f>
        <v>0</v>
      </c>
      <c r="G4024" t="s">
        <v>21</v>
      </c>
    </row>
    <row r="4025" spans="1:7">
      <c r="A4025">
        <v>4024</v>
      </c>
      <c r="B4025" t="str">
        <f>"009691"</f>
        <v>0</v>
      </c>
      <c r="C4025" t="s">
        <v>239</v>
      </c>
      <c r="D4025" t="s">
        <v>6740</v>
      </c>
      <c r="E4025" t="str">
        <f>"3301000068121"</f>
        <v>0</v>
      </c>
      <c r="F4025" t="str">
        <f>"000860"</f>
        <v>0</v>
      </c>
      <c r="G4025" t="s">
        <v>21</v>
      </c>
    </row>
    <row r="4026" spans="1:7">
      <c r="A4026">
        <v>4025</v>
      </c>
      <c r="B4026" t="str">
        <f>"009780"</f>
        <v>0</v>
      </c>
      <c r="C4026" t="s">
        <v>1944</v>
      </c>
      <c r="D4026" t="s">
        <v>6741</v>
      </c>
      <c r="E4026" t="str">
        <f>"3301000877126"</f>
        <v>0</v>
      </c>
      <c r="F4026" t="str">
        <f>"000860"</f>
        <v>0</v>
      </c>
      <c r="G4026" t="s">
        <v>21</v>
      </c>
    </row>
    <row r="4027" spans="1:7">
      <c r="A4027">
        <v>4026</v>
      </c>
      <c r="B4027" t="str">
        <f>"009818"</f>
        <v>0</v>
      </c>
      <c r="C4027" t="s">
        <v>235</v>
      </c>
      <c r="D4027" t="s">
        <v>6742</v>
      </c>
      <c r="E4027" t="str">
        <f>"3301000500332"</f>
        <v>0</v>
      </c>
      <c r="F4027" t="str">
        <f>"000860"</f>
        <v>0</v>
      </c>
      <c r="G4027" t="s">
        <v>21</v>
      </c>
    </row>
    <row r="4028" spans="1:7">
      <c r="A4028">
        <v>4027</v>
      </c>
      <c r="B4028" t="str">
        <f>"009876"</f>
        <v>0</v>
      </c>
      <c r="C4028" t="s">
        <v>6743</v>
      </c>
      <c r="D4028" t="s">
        <v>6744</v>
      </c>
      <c r="E4028" t="str">
        <f>"3360400182531"</f>
        <v>0</v>
      </c>
      <c r="F4028" t="str">
        <f>"000860"</f>
        <v>0</v>
      </c>
      <c r="G4028" t="s">
        <v>21</v>
      </c>
    </row>
    <row r="4029" spans="1:7">
      <c r="A4029">
        <v>4028</v>
      </c>
      <c r="B4029" t="str">
        <f>"009943"</f>
        <v>0</v>
      </c>
      <c r="C4029" t="s">
        <v>6745</v>
      </c>
      <c r="D4029" t="s">
        <v>6746</v>
      </c>
      <c r="E4029" t="str">
        <f>"3302000001710"</f>
        <v>0</v>
      </c>
      <c r="F4029" t="str">
        <f>"000860"</f>
        <v>0</v>
      </c>
      <c r="G4029" t="s">
        <v>21</v>
      </c>
    </row>
    <row r="4030" spans="1:7">
      <c r="A4030">
        <v>4029</v>
      </c>
      <c r="B4030" t="str">
        <f>"009954"</f>
        <v>0</v>
      </c>
      <c r="C4030" t="s">
        <v>6747</v>
      </c>
      <c r="D4030" t="s">
        <v>6733</v>
      </c>
      <c r="E4030" t="str">
        <f>"3430500839361"</f>
        <v>0</v>
      </c>
      <c r="F4030" t="str">
        <f>"000860"</f>
        <v>0</v>
      </c>
      <c r="G4030" t="s">
        <v>21</v>
      </c>
    </row>
    <row r="4031" spans="1:7">
      <c r="A4031">
        <v>4030</v>
      </c>
      <c r="B4031" t="str">
        <f>"010015"</f>
        <v>0</v>
      </c>
      <c r="C4031" t="s">
        <v>6748</v>
      </c>
      <c r="D4031" t="s">
        <v>6749</v>
      </c>
      <c r="E4031" t="str">
        <f>"3302000172743"</f>
        <v>0</v>
      </c>
      <c r="F4031" t="str">
        <f>"000860"</f>
        <v>0</v>
      </c>
      <c r="G4031" t="s">
        <v>21</v>
      </c>
    </row>
    <row r="4032" spans="1:7">
      <c r="A4032">
        <v>4031</v>
      </c>
      <c r="B4032" t="str">
        <f>"010226"</f>
        <v>0</v>
      </c>
      <c r="C4032" t="s">
        <v>1878</v>
      </c>
      <c r="D4032" t="s">
        <v>6750</v>
      </c>
      <c r="E4032" t="str">
        <f>"3302000518216"</f>
        <v>0</v>
      </c>
      <c r="F4032" t="str">
        <f>"000860"</f>
        <v>0</v>
      </c>
      <c r="G4032" t="s">
        <v>21</v>
      </c>
    </row>
    <row r="4033" spans="1:7">
      <c r="A4033">
        <v>4032</v>
      </c>
      <c r="B4033" t="str">
        <f>"010228"</f>
        <v>0</v>
      </c>
      <c r="C4033" t="s">
        <v>6751</v>
      </c>
      <c r="D4033" t="s">
        <v>6752</v>
      </c>
      <c r="E4033" t="str">
        <f>"3300400108161"</f>
        <v>0</v>
      </c>
      <c r="F4033" t="str">
        <f>"000860"</f>
        <v>0</v>
      </c>
      <c r="G4033" t="s">
        <v>21</v>
      </c>
    </row>
    <row r="4034" spans="1:7">
      <c r="A4034">
        <v>4033</v>
      </c>
      <c r="B4034" t="str">
        <f>"010322"</f>
        <v>0</v>
      </c>
      <c r="C4034" t="s">
        <v>847</v>
      </c>
      <c r="D4034" t="s">
        <v>6753</v>
      </c>
      <c r="E4034" t="str">
        <f>"3510101222289"</f>
        <v>0</v>
      </c>
      <c r="F4034" t="str">
        <f>"000860"</f>
        <v>0</v>
      </c>
      <c r="G4034" t="s">
        <v>21</v>
      </c>
    </row>
    <row r="4035" spans="1:7">
      <c r="A4035">
        <v>4034</v>
      </c>
      <c r="B4035" t="str">
        <f>"010515"</f>
        <v>0</v>
      </c>
      <c r="C4035" t="s">
        <v>6754</v>
      </c>
      <c r="D4035" t="s">
        <v>6755</v>
      </c>
      <c r="E4035" t="str">
        <f>"3302000739646"</f>
        <v>0</v>
      </c>
      <c r="F4035" t="str">
        <f>"000860"</f>
        <v>0</v>
      </c>
      <c r="G4035" t="s">
        <v>21</v>
      </c>
    </row>
    <row r="4036" spans="1:7">
      <c r="A4036">
        <v>4035</v>
      </c>
      <c r="B4036" t="str">
        <f>"010594"</f>
        <v>0</v>
      </c>
      <c r="C4036" t="s">
        <v>767</v>
      </c>
      <c r="D4036" t="s">
        <v>6756</v>
      </c>
      <c r="E4036" t="str">
        <f>"3330700345860"</f>
        <v>0</v>
      </c>
      <c r="F4036" t="str">
        <f>"000860"</f>
        <v>0</v>
      </c>
      <c r="G4036" t="s">
        <v>21</v>
      </c>
    </row>
    <row r="4037" spans="1:7">
      <c r="A4037">
        <v>4036</v>
      </c>
      <c r="B4037" t="str">
        <f>"010719"</f>
        <v>0</v>
      </c>
      <c r="C4037" t="s">
        <v>6757</v>
      </c>
      <c r="D4037" t="s">
        <v>6758</v>
      </c>
      <c r="E4037" t="str">
        <f>"3300900039169"</f>
        <v>0</v>
      </c>
      <c r="F4037" t="str">
        <f>"000860"</f>
        <v>0</v>
      </c>
      <c r="G4037" t="s">
        <v>21</v>
      </c>
    </row>
    <row r="4038" spans="1:7">
      <c r="A4038">
        <v>4037</v>
      </c>
      <c r="B4038" t="str">
        <f>"010805"</f>
        <v>0</v>
      </c>
      <c r="C4038" t="s">
        <v>239</v>
      </c>
      <c r="D4038" t="s">
        <v>6759</v>
      </c>
      <c r="E4038" t="str">
        <f>"3360101030080"</f>
        <v>0</v>
      </c>
      <c r="F4038" t="str">
        <f>"000860"</f>
        <v>0</v>
      </c>
      <c r="G4038" t="s">
        <v>21</v>
      </c>
    </row>
    <row r="4039" spans="1:7">
      <c r="A4039">
        <v>4038</v>
      </c>
      <c r="B4039" t="str">
        <f>"010998"</f>
        <v>0</v>
      </c>
      <c r="C4039" t="s">
        <v>6760</v>
      </c>
      <c r="D4039" t="s">
        <v>6749</v>
      </c>
      <c r="E4039" t="str">
        <f>"3302000172760"</f>
        <v>0</v>
      </c>
      <c r="F4039" t="str">
        <f>"000860"</f>
        <v>0</v>
      </c>
      <c r="G4039" t="s">
        <v>21</v>
      </c>
    </row>
    <row r="4040" spans="1:7">
      <c r="A4040">
        <v>4039</v>
      </c>
      <c r="B4040" t="str">
        <f>"011001"</f>
        <v>0</v>
      </c>
      <c r="C4040" t="s">
        <v>130</v>
      </c>
      <c r="D4040" t="s">
        <v>6761</v>
      </c>
      <c r="E4040" t="str">
        <f>"5301100004171"</f>
        <v>0</v>
      </c>
      <c r="F4040" t="str">
        <f>"000860"</f>
        <v>0</v>
      </c>
      <c r="G4040" t="s">
        <v>21</v>
      </c>
    </row>
    <row r="4041" spans="1:7">
      <c r="A4041">
        <v>4040</v>
      </c>
      <c r="B4041" t="str">
        <f>"011218"</f>
        <v>0</v>
      </c>
      <c r="C4041" t="s">
        <v>6762</v>
      </c>
      <c r="D4041" t="s">
        <v>6763</v>
      </c>
      <c r="E4041" t="str">
        <f>"3301000477055"</f>
        <v>0</v>
      </c>
      <c r="F4041" t="str">
        <f>"000860"</f>
        <v>0</v>
      </c>
      <c r="G4041" t="s">
        <v>21</v>
      </c>
    </row>
    <row r="4042" spans="1:7">
      <c r="A4042">
        <v>4041</v>
      </c>
      <c r="B4042" t="str">
        <f>"011219"</f>
        <v>0</v>
      </c>
      <c r="C4042" t="s">
        <v>311</v>
      </c>
      <c r="D4042" t="s">
        <v>6764</v>
      </c>
      <c r="E4042" t="str">
        <f>"3302000734199"</f>
        <v>0</v>
      </c>
      <c r="F4042" t="str">
        <f>"000860"</f>
        <v>0</v>
      </c>
      <c r="G4042" t="s">
        <v>21</v>
      </c>
    </row>
    <row r="4043" spans="1:7">
      <c r="A4043">
        <v>4042</v>
      </c>
      <c r="B4043" t="str">
        <f>"011448"</f>
        <v>0</v>
      </c>
      <c r="C4043" t="s">
        <v>5303</v>
      </c>
      <c r="D4043" t="s">
        <v>6765</v>
      </c>
      <c r="E4043" t="str">
        <f>"3100601525616"</f>
        <v>0</v>
      </c>
      <c r="F4043" t="str">
        <f>"000860"</f>
        <v>0</v>
      </c>
      <c r="G4043" t="s">
        <v>21</v>
      </c>
    </row>
    <row r="4044" spans="1:7">
      <c r="A4044">
        <v>4043</v>
      </c>
      <c r="B4044" t="str">
        <f>"011494"</f>
        <v>0</v>
      </c>
      <c r="C4044" t="s">
        <v>330</v>
      </c>
      <c r="D4044" t="s">
        <v>6766</v>
      </c>
      <c r="E4044" t="str">
        <f>"3100502524794"</f>
        <v>0</v>
      </c>
      <c r="F4044" t="str">
        <f>"000860"</f>
        <v>0</v>
      </c>
      <c r="G4044" t="s">
        <v>21</v>
      </c>
    </row>
    <row r="4045" spans="1:7">
      <c r="A4045">
        <v>4044</v>
      </c>
      <c r="B4045" t="str">
        <f>"011543"</f>
        <v>0</v>
      </c>
      <c r="C4045" t="s">
        <v>6767</v>
      </c>
      <c r="D4045" t="s">
        <v>6750</v>
      </c>
      <c r="E4045" t="str">
        <f>"3469900076916"</f>
        <v>0</v>
      </c>
      <c r="F4045" t="str">
        <f>"000860"</f>
        <v>0</v>
      </c>
      <c r="G4045" t="s">
        <v>21</v>
      </c>
    </row>
    <row r="4046" spans="1:7">
      <c r="A4046">
        <v>4045</v>
      </c>
      <c r="B4046" t="str">
        <f>"011590"</f>
        <v>0</v>
      </c>
      <c r="C4046" t="s">
        <v>6768</v>
      </c>
      <c r="D4046" t="s">
        <v>6769</v>
      </c>
      <c r="E4046" t="str">
        <f>"3501400616255"</f>
        <v>0</v>
      </c>
      <c r="F4046" t="str">
        <f>"000860"</f>
        <v>0</v>
      </c>
      <c r="G4046" t="s">
        <v>21</v>
      </c>
    </row>
    <row r="4047" spans="1:7">
      <c r="A4047">
        <v>4046</v>
      </c>
      <c r="B4047" t="str">
        <f>"011924"</f>
        <v>0</v>
      </c>
      <c r="C4047" t="s">
        <v>6770</v>
      </c>
      <c r="D4047" t="s">
        <v>6771</v>
      </c>
      <c r="E4047" t="str">
        <f>"3301400380679"</f>
        <v>0</v>
      </c>
      <c r="F4047" t="str">
        <f>"000860"</f>
        <v>0</v>
      </c>
      <c r="G4047" t="s">
        <v>21</v>
      </c>
    </row>
    <row r="4048" spans="1:7">
      <c r="A4048">
        <v>4047</v>
      </c>
      <c r="B4048" t="str">
        <f>"011928"</f>
        <v>0</v>
      </c>
      <c r="C4048" t="s">
        <v>4091</v>
      </c>
      <c r="D4048" t="s">
        <v>6772</v>
      </c>
      <c r="E4048" t="str">
        <f>"3341200008652"</f>
        <v>0</v>
      </c>
      <c r="F4048" t="str">
        <f>"000860"</f>
        <v>0</v>
      </c>
      <c r="G4048" t="s">
        <v>21</v>
      </c>
    </row>
    <row r="4049" spans="1:7">
      <c r="A4049">
        <v>4048</v>
      </c>
      <c r="B4049" t="str">
        <f>"011941"</f>
        <v>0</v>
      </c>
      <c r="C4049" t="s">
        <v>4294</v>
      </c>
      <c r="D4049" t="s">
        <v>6773</v>
      </c>
      <c r="E4049" t="str">
        <f>"3309901627640"</f>
        <v>0</v>
      </c>
      <c r="F4049" t="str">
        <f>"000860"</f>
        <v>0</v>
      </c>
      <c r="G4049" t="s">
        <v>21</v>
      </c>
    </row>
    <row r="4050" spans="1:7">
      <c r="A4050">
        <v>4049</v>
      </c>
      <c r="B4050" t="str">
        <f>"011958"</f>
        <v>0</v>
      </c>
      <c r="C4050" t="s">
        <v>6774</v>
      </c>
      <c r="D4050" t="s">
        <v>6775</v>
      </c>
      <c r="E4050" t="str">
        <f>"3309900241616"</f>
        <v>0</v>
      </c>
      <c r="F4050" t="str">
        <f>"000860"</f>
        <v>0</v>
      </c>
      <c r="G4050" t="s">
        <v>21</v>
      </c>
    </row>
    <row r="4051" spans="1:7">
      <c r="A4051">
        <v>4050</v>
      </c>
      <c r="B4051" t="str">
        <f>"012342"</f>
        <v>0</v>
      </c>
      <c r="C4051" t="s">
        <v>6776</v>
      </c>
      <c r="D4051" t="s">
        <v>6777</v>
      </c>
      <c r="E4051" t="str">
        <f>"3311000193553"</f>
        <v>0</v>
      </c>
      <c r="F4051" t="str">
        <f>"000860"</f>
        <v>0</v>
      </c>
      <c r="G4051" t="s">
        <v>21</v>
      </c>
    </row>
    <row r="4052" spans="1:7">
      <c r="A4052">
        <v>4051</v>
      </c>
      <c r="B4052" t="str">
        <f>"012368"</f>
        <v>0</v>
      </c>
      <c r="C4052" t="s">
        <v>6778</v>
      </c>
      <c r="D4052" t="s">
        <v>6779</v>
      </c>
      <c r="E4052" t="str">
        <f>"3400100359044"</f>
        <v>0</v>
      </c>
      <c r="F4052" t="str">
        <f>"000860"</f>
        <v>0</v>
      </c>
      <c r="G4052" t="s">
        <v>21</v>
      </c>
    </row>
    <row r="4053" spans="1:7">
      <c r="A4053">
        <v>4052</v>
      </c>
      <c r="B4053" t="str">
        <f>"012568"</f>
        <v>0</v>
      </c>
      <c r="C4053" t="s">
        <v>6780</v>
      </c>
      <c r="D4053" t="s">
        <v>6781</v>
      </c>
      <c r="E4053" t="str">
        <f>"3301800146932"</f>
        <v>0</v>
      </c>
      <c r="F4053" t="str">
        <f>"000860"</f>
        <v>0</v>
      </c>
      <c r="G4053" t="s">
        <v>21</v>
      </c>
    </row>
    <row r="4054" spans="1:7">
      <c r="A4054">
        <v>4053</v>
      </c>
      <c r="B4054" t="str">
        <f>"012800"</f>
        <v>0</v>
      </c>
      <c r="C4054" t="s">
        <v>6782</v>
      </c>
      <c r="D4054" t="s">
        <v>6783</v>
      </c>
      <c r="E4054" t="str">
        <f>"3301600014421"</f>
        <v>0</v>
      </c>
      <c r="F4054" t="str">
        <f>"000860"</f>
        <v>0</v>
      </c>
      <c r="G4054" t="s">
        <v>21</v>
      </c>
    </row>
    <row r="4055" spans="1:7">
      <c r="A4055">
        <v>4054</v>
      </c>
      <c r="B4055" t="str">
        <f>"012920"</f>
        <v>0</v>
      </c>
      <c r="C4055" t="s">
        <v>2239</v>
      </c>
      <c r="D4055" t="s">
        <v>6784</v>
      </c>
      <c r="E4055" t="str">
        <f>"3430300977116"</f>
        <v>0</v>
      </c>
      <c r="F4055" t="str">
        <f>"000860"</f>
        <v>0</v>
      </c>
      <c r="G4055" t="s">
        <v>21</v>
      </c>
    </row>
    <row r="4056" spans="1:7">
      <c r="A4056">
        <v>4055</v>
      </c>
      <c r="B4056" t="str">
        <f>"013028"</f>
        <v>0</v>
      </c>
      <c r="C4056" t="s">
        <v>2575</v>
      </c>
      <c r="D4056" t="s">
        <v>6785</v>
      </c>
      <c r="E4056" t="str">
        <f>"3301000516115"</f>
        <v>0</v>
      </c>
      <c r="F4056" t="str">
        <f>"000860"</f>
        <v>0</v>
      </c>
      <c r="G4056" t="s">
        <v>21</v>
      </c>
    </row>
    <row r="4057" spans="1:7">
      <c r="A4057">
        <v>4056</v>
      </c>
      <c r="B4057" t="str">
        <f>"013091"</f>
        <v>0</v>
      </c>
      <c r="C4057" t="s">
        <v>6786</v>
      </c>
      <c r="D4057" t="s">
        <v>6787</v>
      </c>
      <c r="E4057" t="str">
        <f>"3199900007828"</f>
        <v>0</v>
      </c>
      <c r="F4057" t="str">
        <f>"000860"</f>
        <v>0</v>
      </c>
      <c r="G4057" t="s">
        <v>21</v>
      </c>
    </row>
    <row r="4058" spans="1:7">
      <c r="A4058">
        <v>4057</v>
      </c>
      <c r="B4058" t="str">
        <f>"013152"</f>
        <v>0</v>
      </c>
      <c r="C4058" t="s">
        <v>1341</v>
      </c>
      <c r="D4058" t="s">
        <v>6788</v>
      </c>
      <c r="E4058" t="str">
        <f>"3301000960112"</f>
        <v>0</v>
      </c>
      <c r="F4058" t="str">
        <f>"000860"</f>
        <v>0</v>
      </c>
      <c r="G4058" t="s">
        <v>21</v>
      </c>
    </row>
    <row r="4059" spans="1:7">
      <c r="A4059">
        <v>4058</v>
      </c>
      <c r="B4059" t="str">
        <f>"013337"</f>
        <v>0</v>
      </c>
      <c r="C4059" t="s">
        <v>6789</v>
      </c>
      <c r="D4059" t="s">
        <v>6790</v>
      </c>
      <c r="E4059" t="str">
        <f>"3302000147579"</f>
        <v>0</v>
      </c>
      <c r="F4059" t="str">
        <f>"000860"</f>
        <v>0</v>
      </c>
      <c r="G4059" t="s">
        <v>21</v>
      </c>
    </row>
    <row r="4060" spans="1:7">
      <c r="A4060">
        <v>4059</v>
      </c>
      <c r="B4060" t="str">
        <f>"013709"</f>
        <v>0</v>
      </c>
      <c r="C4060" t="s">
        <v>1634</v>
      </c>
      <c r="D4060" t="s">
        <v>6791</v>
      </c>
      <c r="E4060" t="str">
        <f>"3301800460670"</f>
        <v>0</v>
      </c>
      <c r="F4060" t="str">
        <f>"000860"</f>
        <v>0</v>
      </c>
      <c r="G4060" t="s">
        <v>21</v>
      </c>
    </row>
    <row r="4061" spans="1:7">
      <c r="A4061">
        <v>4060</v>
      </c>
      <c r="B4061" t="str">
        <f>"013737"</f>
        <v>0</v>
      </c>
      <c r="C4061" t="s">
        <v>6792</v>
      </c>
      <c r="D4061" t="s">
        <v>6793</v>
      </c>
      <c r="E4061" t="str">
        <f>"3300101020831"</f>
        <v>0</v>
      </c>
      <c r="F4061" t="str">
        <f>"000860"</f>
        <v>0</v>
      </c>
      <c r="G4061" t="s">
        <v>21</v>
      </c>
    </row>
    <row r="4062" spans="1:7">
      <c r="A4062">
        <v>4061</v>
      </c>
      <c r="B4062" t="str">
        <f>"013977"</f>
        <v>0</v>
      </c>
      <c r="C4062" t="s">
        <v>6794</v>
      </c>
      <c r="D4062" t="s">
        <v>6795</v>
      </c>
      <c r="E4062" t="str">
        <f>"3309901775631"</f>
        <v>0</v>
      </c>
      <c r="F4062" t="str">
        <f>"000860"</f>
        <v>0</v>
      </c>
      <c r="G4062" t="s">
        <v>21</v>
      </c>
    </row>
    <row r="4063" spans="1:7">
      <c r="A4063">
        <v>4062</v>
      </c>
      <c r="B4063" t="str">
        <f>"014165"</f>
        <v>0</v>
      </c>
      <c r="C4063" t="s">
        <v>2096</v>
      </c>
      <c r="D4063" t="s">
        <v>6796</v>
      </c>
      <c r="E4063" t="str">
        <f>"3301000222171"</f>
        <v>0</v>
      </c>
      <c r="F4063" t="str">
        <f>"000860"</f>
        <v>0</v>
      </c>
      <c r="G4063" t="s">
        <v>21</v>
      </c>
    </row>
    <row r="4064" spans="1:7">
      <c r="A4064">
        <v>4063</v>
      </c>
      <c r="B4064" t="str">
        <f>"014166"</f>
        <v>0</v>
      </c>
      <c r="C4064" t="s">
        <v>6797</v>
      </c>
      <c r="D4064" t="s">
        <v>6798</v>
      </c>
      <c r="E4064" t="str">
        <f>"3359900154721"</f>
        <v>0</v>
      </c>
      <c r="F4064" t="str">
        <f>"000860"</f>
        <v>0</v>
      </c>
      <c r="G4064" t="s">
        <v>21</v>
      </c>
    </row>
    <row r="4065" spans="1:7">
      <c r="A4065">
        <v>4064</v>
      </c>
      <c r="B4065" t="str">
        <f>"014440"</f>
        <v>0</v>
      </c>
      <c r="C4065" t="s">
        <v>3823</v>
      </c>
      <c r="D4065" t="s">
        <v>6799</v>
      </c>
      <c r="E4065" t="str">
        <f>"3300800082348"</f>
        <v>0</v>
      </c>
      <c r="F4065" t="str">
        <f>"000860"</f>
        <v>0</v>
      </c>
      <c r="G4065" t="s">
        <v>21</v>
      </c>
    </row>
    <row r="4066" spans="1:7">
      <c r="A4066">
        <v>4065</v>
      </c>
      <c r="B4066" t="str">
        <f>"014537"</f>
        <v>0</v>
      </c>
      <c r="C4066" t="s">
        <v>6800</v>
      </c>
      <c r="D4066" t="s">
        <v>6801</v>
      </c>
      <c r="E4066" t="str">
        <f>"3309800032080"</f>
        <v>0</v>
      </c>
      <c r="F4066" t="str">
        <f>"000860"</f>
        <v>0</v>
      </c>
      <c r="G4066" t="s">
        <v>21</v>
      </c>
    </row>
    <row r="4067" spans="1:7">
      <c r="A4067">
        <v>4066</v>
      </c>
      <c r="B4067" t="str">
        <f>"014793"</f>
        <v>0</v>
      </c>
      <c r="C4067" t="s">
        <v>2301</v>
      </c>
      <c r="D4067" t="s">
        <v>6802</v>
      </c>
      <c r="E4067" t="str">
        <f>"3301500305741"</f>
        <v>0</v>
      </c>
      <c r="F4067" t="str">
        <f>"000860"</f>
        <v>0</v>
      </c>
      <c r="G4067" t="s">
        <v>21</v>
      </c>
    </row>
    <row r="4068" spans="1:7">
      <c r="A4068">
        <v>4067</v>
      </c>
      <c r="B4068" t="str">
        <f>"015036"</f>
        <v>0</v>
      </c>
      <c r="C4068" t="s">
        <v>2771</v>
      </c>
      <c r="D4068" t="s">
        <v>6803</v>
      </c>
      <c r="E4068" t="str">
        <f>"3300900563836"</f>
        <v>0</v>
      </c>
      <c r="F4068" t="str">
        <f>"000860"</f>
        <v>0</v>
      </c>
      <c r="G4068" t="s">
        <v>21</v>
      </c>
    </row>
    <row r="4069" spans="1:7">
      <c r="A4069">
        <v>4068</v>
      </c>
      <c r="B4069" t="str">
        <f>"015361"</f>
        <v>0</v>
      </c>
      <c r="C4069" t="s">
        <v>6804</v>
      </c>
      <c r="D4069" t="s">
        <v>6805</v>
      </c>
      <c r="E4069" t="str">
        <f>"3300100683161"</f>
        <v>0</v>
      </c>
      <c r="F4069" t="str">
        <f>"000860"</f>
        <v>0</v>
      </c>
      <c r="G4069" t="s">
        <v>21</v>
      </c>
    </row>
    <row r="4070" spans="1:7">
      <c r="A4070">
        <v>4069</v>
      </c>
      <c r="B4070" t="str">
        <f>"015503"</f>
        <v>0</v>
      </c>
      <c r="C4070" t="s">
        <v>6806</v>
      </c>
      <c r="D4070" t="s">
        <v>6807</v>
      </c>
      <c r="E4070" t="str">
        <f>"3309901203459"</f>
        <v>0</v>
      </c>
      <c r="F4070" t="str">
        <f>"000860"</f>
        <v>0</v>
      </c>
      <c r="G4070" t="s">
        <v>21</v>
      </c>
    </row>
    <row r="4071" spans="1:7">
      <c r="A4071">
        <v>4070</v>
      </c>
      <c r="B4071" t="str">
        <f>"015691"</f>
        <v>0</v>
      </c>
      <c r="C4071" t="s">
        <v>6808</v>
      </c>
      <c r="D4071" t="s">
        <v>6809</v>
      </c>
      <c r="E4071" t="str">
        <f>"3301300606683"</f>
        <v>0</v>
      </c>
      <c r="F4071" t="str">
        <f>"000860"</f>
        <v>0</v>
      </c>
      <c r="G4071" t="s">
        <v>21</v>
      </c>
    </row>
    <row r="4072" spans="1:7">
      <c r="A4072">
        <v>4071</v>
      </c>
      <c r="B4072" t="str">
        <f>"015692"</f>
        <v>0</v>
      </c>
      <c r="C4072" t="s">
        <v>6810</v>
      </c>
      <c r="D4072" t="s">
        <v>6811</v>
      </c>
      <c r="E4072" t="str">
        <f>"3300900110050"</f>
        <v>0</v>
      </c>
      <c r="F4072" t="str">
        <f>"000860"</f>
        <v>0</v>
      </c>
      <c r="G4072" t="s">
        <v>21</v>
      </c>
    </row>
    <row r="4073" spans="1:7">
      <c r="A4073">
        <v>4072</v>
      </c>
      <c r="B4073" t="str">
        <f>"015694"</f>
        <v>0</v>
      </c>
      <c r="C4073" t="s">
        <v>6812</v>
      </c>
      <c r="D4073" t="s">
        <v>6813</v>
      </c>
      <c r="E4073" t="str">
        <f>"3301400916498"</f>
        <v>0</v>
      </c>
      <c r="F4073" t="str">
        <f>"000860"</f>
        <v>0</v>
      </c>
      <c r="G4073" t="s">
        <v>21</v>
      </c>
    </row>
    <row r="4074" spans="1:7">
      <c r="A4074">
        <v>4073</v>
      </c>
      <c r="B4074" t="str">
        <f>"016165"</f>
        <v>0</v>
      </c>
      <c r="C4074" t="s">
        <v>6814</v>
      </c>
      <c r="D4074" t="s">
        <v>6815</v>
      </c>
      <c r="E4074" t="str">
        <f>"3360400064571"</f>
        <v>0</v>
      </c>
      <c r="F4074" t="str">
        <f>"000860"</f>
        <v>0</v>
      </c>
      <c r="G4074" t="s">
        <v>21</v>
      </c>
    </row>
    <row r="4075" spans="1:7">
      <c r="A4075">
        <v>4074</v>
      </c>
      <c r="B4075" t="str">
        <f>"016368"</f>
        <v>0</v>
      </c>
      <c r="C4075" t="s">
        <v>837</v>
      </c>
      <c r="D4075" t="s">
        <v>6816</v>
      </c>
      <c r="E4075" t="str">
        <f>"5300990020914"</f>
        <v>0</v>
      </c>
      <c r="F4075" t="str">
        <f>"000860"</f>
        <v>0</v>
      </c>
      <c r="G4075" t="s">
        <v>21</v>
      </c>
    </row>
    <row r="4076" spans="1:7">
      <c r="A4076">
        <v>4075</v>
      </c>
      <c r="B4076" t="str">
        <f>"016977"</f>
        <v>0</v>
      </c>
      <c r="C4076" t="s">
        <v>4681</v>
      </c>
      <c r="D4076" t="s">
        <v>6763</v>
      </c>
      <c r="E4076" t="str">
        <f>"3301000477080"</f>
        <v>0</v>
      </c>
      <c r="F4076" t="str">
        <f>"000860"</f>
        <v>0</v>
      </c>
      <c r="G4076" t="s">
        <v>21</v>
      </c>
    </row>
    <row r="4077" spans="1:7">
      <c r="A4077">
        <v>4076</v>
      </c>
      <c r="B4077" t="str">
        <f>"016979"</f>
        <v>0</v>
      </c>
      <c r="C4077" t="s">
        <v>6817</v>
      </c>
      <c r="D4077" t="s">
        <v>6818</v>
      </c>
      <c r="E4077" t="str">
        <f>"3309901758311"</f>
        <v>0</v>
      </c>
      <c r="F4077" t="str">
        <f>"000860"</f>
        <v>0</v>
      </c>
      <c r="G4077" t="s">
        <v>21</v>
      </c>
    </row>
    <row r="4078" spans="1:7">
      <c r="A4078">
        <v>4077</v>
      </c>
      <c r="B4078" t="str">
        <f>"017765"</f>
        <v>0</v>
      </c>
      <c r="C4078" t="s">
        <v>4269</v>
      </c>
      <c r="D4078" t="s">
        <v>6819</v>
      </c>
      <c r="E4078" t="str">
        <f>"3309800009746"</f>
        <v>0</v>
      </c>
      <c r="F4078" t="str">
        <f>"000860"</f>
        <v>0</v>
      </c>
      <c r="G4078" t="s">
        <v>21</v>
      </c>
    </row>
    <row r="4079" spans="1:7">
      <c r="A4079">
        <v>4078</v>
      </c>
      <c r="B4079" t="str">
        <f>"017785"</f>
        <v>0</v>
      </c>
      <c r="C4079" t="s">
        <v>4928</v>
      </c>
      <c r="D4079" t="s">
        <v>6820</v>
      </c>
      <c r="E4079" t="str">
        <f>"5309690001271"</f>
        <v>0</v>
      </c>
      <c r="F4079" t="str">
        <f>"000860"</f>
        <v>0</v>
      </c>
      <c r="G4079" t="s">
        <v>21</v>
      </c>
    </row>
    <row r="4080" spans="1:7">
      <c r="A4080">
        <v>4079</v>
      </c>
      <c r="B4080" t="str">
        <f>"017879"</f>
        <v>0</v>
      </c>
      <c r="C4080" t="s">
        <v>341</v>
      </c>
      <c r="D4080" t="s">
        <v>6821</v>
      </c>
      <c r="E4080" t="str">
        <f>"3309901157732"</f>
        <v>0</v>
      </c>
      <c r="F4080" t="str">
        <f>"000860"</f>
        <v>0</v>
      </c>
      <c r="G4080" t="s">
        <v>21</v>
      </c>
    </row>
    <row r="4081" spans="1:7">
      <c r="A4081">
        <v>4080</v>
      </c>
      <c r="B4081" t="str">
        <f>"017961"</f>
        <v>0</v>
      </c>
      <c r="C4081" t="s">
        <v>2815</v>
      </c>
      <c r="D4081" t="s">
        <v>6822</v>
      </c>
      <c r="E4081" t="str">
        <f>"3301900021074"</f>
        <v>0</v>
      </c>
      <c r="F4081" t="str">
        <f>"000860"</f>
        <v>0</v>
      </c>
      <c r="G4081" t="s">
        <v>21</v>
      </c>
    </row>
    <row r="4082" spans="1:7">
      <c r="A4082">
        <v>4081</v>
      </c>
      <c r="B4082" t="str">
        <f>"018029"</f>
        <v>0</v>
      </c>
      <c r="C4082" t="s">
        <v>488</v>
      </c>
      <c r="D4082" t="s">
        <v>6823</v>
      </c>
      <c r="E4082" t="str">
        <f>"3309901214035"</f>
        <v>0</v>
      </c>
      <c r="F4082" t="str">
        <f>"000860"</f>
        <v>0</v>
      </c>
      <c r="G4082" t="s">
        <v>21</v>
      </c>
    </row>
    <row r="4083" spans="1:7">
      <c r="A4083">
        <v>4082</v>
      </c>
      <c r="B4083" t="str">
        <f>"018846"</f>
        <v>0</v>
      </c>
      <c r="C4083" t="s">
        <v>6824</v>
      </c>
      <c r="D4083" t="s">
        <v>6825</v>
      </c>
      <c r="E4083" t="str">
        <f>"3301700361688"</f>
        <v>0</v>
      </c>
      <c r="F4083" t="str">
        <f>"000860"</f>
        <v>0</v>
      </c>
      <c r="G4083" t="s">
        <v>21</v>
      </c>
    </row>
    <row r="4084" spans="1:7">
      <c r="A4084">
        <v>4083</v>
      </c>
      <c r="B4084" t="str">
        <f>"018894"</f>
        <v>0</v>
      </c>
      <c r="C4084" t="s">
        <v>260</v>
      </c>
      <c r="D4084" t="s">
        <v>6826</v>
      </c>
      <c r="E4084" t="str">
        <f>"3302000524763"</f>
        <v>0</v>
      </c>
      <c r="F4084" t="str">
        <f>"000860"</f>
        <v>0</v>
      </c>
      <c r="G4084" t="s">
        <v>21</v>
      </c>
    </row>
    <row r="4085" spans="1:7">
      <c r="A4085">
        <v>4084</v>
      </c>
      <c r="B4085" t="str">
        <f>"019294"</f>
        <v>0</v>
      </c>
      <c r="C4085" t="s">
        <v>6827</v>
      </c>
      <c r="D4085" t="s">
        <v>6828</v>
      </c>
      <c r="E4085" t="str">
        <f>"3309800027949"</f>
        <v>0</v>
      </c>
      <c r="F4085" t="str">
        <f>"000860"</f>
        <v>0</v>
      </c>
      <c r="G4085" t="s">
        <v>21</v>
      </c>
    </row>
    <row r="4086" spans="1:7">
      <c r="A4086">
        <v>4085</v>
      </c>
      <c r="B4086" t="str">
        <f>"019650"</f>
        <v>0</v>
      </c>
      <c r="C4086" t="s">
        <v>2315</v>
      </c>
      <c r="D4086" t="s">
        <v>6829</v>
      </c>
      <c r="E4086" t="str">
        <f>"3300100671235"</f>
        <v>0</v>
      </c>
      <c r="F4086" t="str">
        <f>"000860"</f>
        <v>0</v>
      </c>
      <c r="G4086" t="s">
        <v>21</v>
      </c>
    </row>
    <row r="4087" spans="1:7">
      <c r="A4087">
        <v>4086</v>
      </c>
      <c r="B4087" t="str">
        <f>"019749"</f>
        <v>0</v>
      </c>
      <c r="C4087" t="s">
        <v>4581</v>
      </c>
      <c r="D4087" t="s">
        <v>6752</v>
      </c>
      <c r="E4087" t="str">
        <f>"3300400108153"</f>
        <v>0</v>
      </c>
      <c r="F4087" t="str">
        <f>"000860"</f>
        <v>0</v>
      </c>
      <c r="G4087" t="s">
        <v>21</v>
      </c>
    </row>
    <row r="4088" spans="1:7">
      <c r="A4088">
        <v>4087</v>
      </c>
      <c r="B4088" t="str">
        <f>"020223"</f>
        <v>0</v>
      </c>
      <c r="C4088" t="s">
        <v>4045</v>
      </c>
      <c r="D4088" t="s">
        <v>6830</v>
      </c>
      <c r="E4088" t="str">
        <f>"3180500455370"</f>
        <v>0</v>
      </c>
      <c r="F4088" t="str">
        <f>"000860"</f>
        <v>0</v>
      </c>
      <c r="G4088" t="s">
        <v>21</v>
      </c>
    </row>
    <row r="4089" spans="1:7">
      <c r="A4089">
        <v>4088</v>
      </c>
      <c r="B4089" t="str">
        <f>"020451"</f>
        <v>0</v>
      </c>
      <c r="C4089" t="s">
        <v>6831</v>
      </c>
      <c r="D4089" t="s">
        <v>6832</v>
      </c>
      <c r="E4089" t="str">
        <f>"5309790003801"</f>
        <v>0</v>
      </c>
      <c r="F4089" t="str">
        <f>"000860"</f>
        <v>0</v>
      </c>
      <c r="G4089" t="s">
        <v>21</v>
      </c>
    </row>
    <row r="4090" spans="1:7">
      <c r="A4090">
        <v>4089</v>
      </c>
      <c r="B4090" t="str">
        <f>"020827"</f>
        <v>0</v>
      </c>
      <c r="C4090" t="s">
        <v>6833</v>
      </c>
      <c r="D4090" t="s">
        <v>6834</v>
      </c>
      <c r="E4090" t="str">
        <f>"3301900028303"</f>
        <v>0</v>
      </c>
      <c r="F4090" t="str">
        <f>"000860"</f>
        <v>0</v>
      </c>
      <c r="G4090" t="s">
        <v>21</v>
      </c>
    </row>
    <row r="4091" spans="1:7">
      <c r="A4091">
        <v>4090</v>
      </c>
      <c r="B4091" t="str">
        <f>"022281"</f>
        <v>0</v>
      </c>
      <c r="C4091" t="s">
        <v>694</v>
      </c>
      <c r="D4091" t="s">
        <v>6835</v>
      </c>
      <c r="E4091" t="str">
        <f>"5311100010244"</f>
        <v>0</v>
      </c>
      <c r="F4091" t="str">
        <f>"000860"</f>
        <v>0</v>
      </c>
      <c r="G4091" t="s">
        <v>21</v>
      </c>
    </row>
    <row r="4092" spans="1:7">
      <c r="A4092">
        <v>4091</v>
      </c>
      <c r="B4092" t="str">
        <f>"023339"</f>
        <v>0</v>
      </c>
      <c r="C4092" t="s">
        <v>6836</v>
      </c>
      <c r="D4092" t="s">
        <v>6837</v>
      </c>
      <c r="E4092" t="str">
        <f>"3479900157711"</f>
        <v>0</v>
      </c>
      <c r="F4092" t="str">
        <f>"000860"</f>
        <v>0</v>
      </c>
      <c r="G4092" t="s">
        <v>21</v>
      </c>
    </row>
    <row r="4093" spans="1:7">
      <c r="A4093">
        <v>4092</v>
      </c>
      <c r="B4093" t="str">
        <f>"025564"</f>
        <v>0</v>
      </c>
      <c r="C4093" t="s">
        <v>6838</v>
      </c>
      <c r="D4093" t="s">
        <v>6839</v>
      </c>
      <c r="E4093" t="str">
        <f>"3309900875941"</f>
        <v>0</v>
      </c>
      <c r="F4093" t="str">
        <f>"000860"</f>
        <v>0</v>
      </c>
      <c r="G4093" t="s">
        <v>21</v>
      </c>
    </row>
    <row r="4094" spans="1:7">
      <c r="A4094">
        <v>4093</v>
      </c>
      <c r="B4094" t="str">
        <f>"006829"</f>
        <v>0</v>
      </c>
      <c r="C4094" t="s">
        <v>6840</v>
      </c>
      <c r="D4094" t="s">
        <v>6841</v>
      </c>
      <c r="E4094" t="str">
        <f>"3301500063641"</f>
        <v>0</v>
      </c>
      <c r="F4094" t="str">
        <f>"000860"</f>
        <v>0</v>
      </c>
      <c r="G4094" t="s">
        <v>21</v>
      </c>
    </row>
    <row r="4095" spans="1:7">
      <c r="A4095">
        <v>4094</v>
      </c>
      <c r="B4095" t="str">
        <f>"013291"</f>
        <v>0</v>
      </c>
      <c r="C4095" t="s">
        <v>6842</v>
      </c>
      <c r="D4095" t="s">
        <v>708</v>
      </c>
      <c r="E4095" t="str">
        <f>"3100502184012"</f>
        <v>0</v>
      </c>
      <c r="F4095" t="str">
        <f>"000860"</f>
        <v>0</v>
      </c>
      <c r="G4095" t="s">
        <v>21</v>
      </c>
    </row>
    <row r="4096" spans="1:7">
      <c r="A4096">
        <v>4095</v>
      </c>
      <c r="B4096" t="str">
        <f>"013733"</f>
        <v>0</v>
      </c>
      <c r="C4096" t="s">
        <v>6843</v>
      </c>
      <c r="D4096" t="s">
        <v>6844</v>
      </c>
      <c r="E4096" t="str">
        <f>"3300100261789"</f>
        <v>0</v>
      </c>
      <c r="F4096" t="str">
        <f>"000860"</f>
        <v>0</v>
      </c>
      <c r="G4096" t="s">
        <v>21</v>
      </c>
    </row>
    <row r="4097" spans="1:7">
      <c r="A4097">
        <v>4096</v>
      </c>
      <c r="B4097" t="str">
        <f>"015357"</f>
        <v>0</v>
      </c>
      <c r="C4097" t="s">
        <v>4435</v>
      </c>
      <c r="D4097" t="s">
        <v>6845</v>
      </c>
      <c r="E4097" t="str">
        <f>"3360100268163"</f>
        <v>0</v>
      </c>
      <c r="F4097" t="str">
        <f>"000860"</f>
        <v>0</v>
      </c>
      <c r="G4097" t="s">
        <v>21</v>
      </c>
    </row>
    <row r="4098" spans="1:7">
      <c r="A4098">
        <v>4097</v>
      </c>
      <c r="B4098" t="str">
        <f>"022974"</f>
        <v>0</v>
      </c>
      <c r="C4098" t="s">
        <v>6846</v>
      </c>
      <c r="D4098" t="s">
        <v>5271</v>
      </c>
      <c r="E4098" t="str">
        <f>"1301100043441"</f>
        <v>0</v>
      </c>
      <c r="F4098" t="str">
        <f>"000860"</f>
        <v>0</v>
      </c>
      <c r="G4098" t="s">
        <v>21</v>
      </c>
    </row>
    <row r="4099" spans="1:7">
      <c r="A4099">
        <v>4098</v>
      </c>
      <c r="B4099" t="str">
        <f>"023058"</f>
        <v>0</v>
      </c>
      <c r="C4099" t="s">
        <v>6847</v>
      </c>
      <c r="D4099" t="s">
        <v>6848</v>
      </c>
      <c r="E4099" t="str">
        <f>"5301400064382"</f>
        <v>0</v>
      </c>
      <c r="F4099" t="str">
        <f>"000860"</f>
        <v>0</v>
      </c>
      <c r="G4099" t="s">
        <v>21</v>
      </c>
    </row>
    <row r="4100" spans="1:7">
      <c r="A4100">
        <v>4099</v>
      </c>
      <c r="B4100" t="str">
        <f>"003825"</f>
        <v>0</v>
      </c>
      <c r="C4100" t="s">
        <v>2078</v>
      </c>
      <c r="D4100" t="s">
        <v>6849</v>
      </c>
      <c r="E4100" t="str">
        <f>"3309900242019"</f>
        <v>0</v>
      </c>
      <c r="F4100" t="str">
        <f>"000860"</f>
        <v>0</v>
      </c>
      <c r="G4100" t="s">
        <v>21</v>
      </c>
    </row>
    <row r="4101" spans="1:7">
      <c r="A4101">
        <v>4100</v>
      </c>
      <c r="B4101" t="str">
        <f>"018339"</f>
        <v>0</v>
      </c>
      <c r="C4101" t="s">
        <v>44</v>
      </c>
      <c r="D4101" t="s">
        <v>5624</v>
      </c>
      <c r="E4101" t="str">
        <f>"3839900304753"</f>
        <v>0</v>
      </c>
      <c r="F4101" t="str">
        <f>"000860"</f>
        <v>0</v>
      </c>
      <c r="G4101" t="s">
        <v>21</v>
      </c>
    </row>
    <row r="4102" spans="1:7">
      <c r="A4102">
        <v>4101</v>
      </c>
      <c r="B4102" t="str">
        <f>"026576"</f>
        <v>0</v>
      </c>
      <c r="C4102" t="s">
        <v>606</v>
      </c>
      <c r="D4102" t="s">
        <v>6850</v>
      </c>
      <c r="E4102" t="str">
        <f>"3110400908046"</f>
        <v>0</v>
      </c>
      <c r="F4102" t="str">
        <f>"000860"</f>
        <v>0</v>
      </c>
      <c r="G4102" t="s">
        <v>21</v>
      </c>
    </row>
    <row r="4103" spans="1:7">
      <c r="A4103">
        <v>4102</v>
      </c>
      <c r="B4103" t="str">
        <f>"026489"</f>
        <v>0</v>
      </c>
      <c r="C4103" t="s">
        <v>6851</v>
      </c>
      <c r="D4103" t="s">
        <v>6852</v>
      </c>
      <c r="E4103" t="str">
        <f>"8129900000018"</f>
        <v>0</v>
      </c>
      <c r="F4103" t="str">
        <f>"000860"</f>
        <v>0</v>
      </c>
      <c r="G4103" t="s">
        <v>21</v>
      </c>
    </row>
    <row r="4104" spans="1:7">
      <c r="A4104">
        <v>4103</v>
      </c>
      <c r="B4104" t="str">
        <f>"026500"</f>
        <v>0</v>
      </c>
      <c r="C4104" t="s">
        <v>1898</v>
      </c>
      <c r="D4104" t="s">
        <v>6853</v>
      </c>
      <c r="E4104" t="str">
        <f>"1309800160243"</f>
        <v>0</v>
      </c>
      <c r="F4104" t="str">
        <f>"000860"</f>
        <v>0</v>
      </c>
      <c r="G4104" t="s">
        <v>21</v>
      </c>
    </row>
    <row r="4105" spans="1:7">
      <c r="A4105">
        <v>4104</v>
      </c>
      <c r="B4105" t="str">
        <f>"027352"</f>
        <v>0</v>
      </c>
      <c r="C4105" t="s">
        <v>6854</v>
      </c>
      <c r="D4105" t="s">
        <v>6855</v>
      </c>
      <c r="E4105" t="str">
        <f>"1101401377618"</f>
        <v>0</v>
      </c>
      <c r="F4105" t="str">
        <f>"000860"</f>
        <v>0</v>
      </c>
      <c r="G4105" t="s">
        <v>21</v>
      </c>
    </row>
    <row r="4106" spans="1:7">
      <c r="A4106">
        <v>4105</v>
      </c>
      <c r="B4106" t="str">
        <f>"022728"</f>
        <v>0</v>
      </c>
      <c r="C4106" t="s">
        <v>6856</v>
      </c>
      <c r="D4106" t="s">
        <v>6857</v>
      </c>
      <c r="E4106" t="str">
        <f>"3309901158313"</f>
        <v>0</v>
      </c>
      <c r="F4106" t="str">
        <f>"000860"</f>
        <v>0</v>
      </c>
      <c r="G4106" t="s">
        <v>21</v>
      </c>
    </row>
    <row r="4107" spans="1:7">
      <c r="A4107">
        <v>4106</v>
      </c>
      <c r="B4107" t="str">
        <f>"024856"</f>
        <v>0</v>
      </c>
      <c r="C4107" t="s">
        <v>6858</v>
      </c>
      <c r="D4107" t="s">
        <v>6859</v>
      </c>
      <c r="E4107" t="str">
        <f>"2302000016450"</f>
        <v>0</v>
      </c>
      <c r="F4107" t="str">
        <f>"000860"</f>
        <v>0</v>
      </c>
      <c r="G4107" t="s">
        <v>21</v>
      </c>
    </row>
    <row r="4108" spans="1:7">
      <c r="A4108">
        <v>4107</v>
      </c>
      <c r="B4108" t="str">
        <f>"013365"</f>
        <v>0</v>
      </c>
      <c r="C4108" t="s">
        <v>6860</v>
      </c>
      <c r="D4108" t="s">
        <v>6861</v>
      </c>
      <c r="E4108" t="str">
        <f>"3361200033240"</f>
        <v>0</v>
      </c>
      <c r="F4108" t="str">
        <f>"000860"</f>
        <v>0</v>
      </c>
      <c r="G4108" t="s">
        <v>21</v>
      </c>
    </row>
    <row r="4109" spans="1:7">
      <c r="A4109">
        <v>4108</v>
      </c>
      <c r="B4109" t="str">
        <f>"026491"</f>
        <v>0</v>
      </c>
      <c r="C4109" t="s">
        <v>6862</v>
      </c>
      <c r="D4109" t="s">
        <v>6863</v>
      </c>
      <c r="E4109" t="str">
        <f>"1560300034966"</f>
        <v>0</v>
      </c>
      <c r="F4109" t="str">
        <f>"000860"</f>
        <v>0</v>
      </c>
      <c r="G4109" t="s">
        <v>21</v>
      </c>
    </row>
    <row r="4110" spans="1:7">
      <c r="A4110">
        <v>4109</v>
      </c>
      <c r="B4110" t="str">
        <f>"014185"</f>
        <v>0</v>
      </c>
      <c r="C4110" t="s">
        <v>6864</v>
      </c>
      <c r="D4110" t="s">
        <v>6865</v>
      </c>
      <c r="E4110" t="str">
        <f>"3329900312327"</f>
        <v>0</v>
      </c>
      <c r="F4110" t="str">
        <f>"000860"</f>
        <v>0</v>
      </c>
      <c r="G4110" t="s">
        <v>21</v>
      </c>
    </row>
    <row r="4111" spans="1:7">
      <c r="A4111">
        <v>4110</v>
      </c>
      <c r="B4111" t="str">
        <f>"007212"</f>
        <v>0</v>
      </c>
      <c r="C4111" t="s">
        <v>6866</v>
      </c>
      <c r="D4111" t="s">
        <v>6867</v>
      </c>
      <c r="E4111" t="str">
        <f>"3479900222386"</f>
        <v>0</v>
      </c>
      <c r="F4111" t="str">
        <f>"000860"</f>
        <v>0</v>
      </c>
      <c r="G4111" t="s">
        <v>21</v>
      </c>
    </row>
    <row r="4112" spans="1:7">
      <c r="A4112">
        <v>4111</v>
      </c>
      <c r="B4112" t="str">
        <f>"007975"</f>
        <v>0</v>
      </c>
      <c r="C4112" t="s">
        <v>6868</v>
      </c>
      <c r="D4112" t="s">
        <v>6869</v>
      </c>
      <c r="E4112" t="str">
        <f>"3300400523177"</f>
        <v>0</v>
      </c>
      <c r="F4112" t="str">
        <f>"000860"</f>
        <v>0</v>
      </c>
      <c r="G4112" t="s">
        <v>21</v>
      </c>
    </row>
    <row r="4113" spans="1:7">
      <c r="A4113">
        <v>4112</v>
      </c>
      <c r="B4113" t="str">
        <f>"008479"</f>
        <v>0</v>
      </c>
      <c r="C4113" t="s">
        <v>1260</v>
      </c>
      <c r="D4113" t="s">
        <v>6870</v>
      </c>
      <c r="E4113" t="str">
        <f>"3300400111731"</f>
        <v>0</v>
      </c>
      <c r="F4113" t="str">
        <f>"000860"</f>
        <v>0</v>
      </c>
      <c r="G4113" t="s">
        <v>21</v>
      </c>
    </row>
    <row r="4114" spans="1:7">
      <c r="A4114">
        <v>4113</v>
      </c>
      <c r="B4114" t="str">
        <f>"008848"</f>
        <v>0</v>
      </c>
      <c r="C4114" t="s">
        <v>6871</v>
      </c>
      <c r="D4114" t="s">
        <v>6872</v>
      </c>
      <c r="E4114" t="str">
        <f>"3302000148826"</f>
        <v>0</v>
      </c>
      <c r="F4114" t="str">
        <f>"000860"</f>
        <v>0</v>
      </c>
      <c r="G4114" t="s">
        <v>21</v>
      </c>
    </row>
    <row r="4115" spans="1:7">
      <c r="A4115">
        <v>4114</v>
      </c>
      <c r="B4115" t="str">
        <f>"009408"</f>
        <v>0</v>
      </c>
      <c r="C4115" t="s">
        <v>2443</v>
      </c>
      <c r="D4115" t="s">
        <v>6873</v>
      </c>
      <c r="E4115" t="str">
        <f>"3160400310523"</f>
        <v>0</v>
      </c>
      <c r="F4115" t="str">
        <f>"000860"</f>
        <v>0</v>
      </c>
      <c r="G4115" t="s">
        <v>21</v>
      </c>
    </row>
    <row r="4116" spans="1:7">
      <c r="A4116">
        <v>4115</v>
      </c>
      <c r="B4116" t="str">
        <f>"009471"</f>
        <v>0</v>
      </c>
      <c r="C4116" t="s">
        <v>6874</v>
      </c>
      <c r="D4116" t="s">
        <v>6875</v>
      </c>
      <c r="E4116" t="str">
        <f>"3471201562504"</f>
        <v>0</v>
      </c>
      <c r="F4116" t="str">
        <f>"000860"</f>
        <v>0</v>
      </c>
      <c r="G4116" t="s">
        <v>21</v>
      </c>
    </row>
    <row r="4117" spans="1:7">
      <c r="A4117">
        <v>4116</v>
      </c>
      <c r="B4117" t="str">
        <f>"009692"</f>
        <v>0</v>
      </c>
      <c r="C4117" t="s">
        <v>4757</v>
      </c>
      <c r="D4117" t="s">
        <v>6876</v>
      </c>
      <c r="E4117" t="str">
        <f>"3440500093408"</f>
        <v>0</v>
      </c>
      <c r="F4117" t="str">
        <f>"000860"</f>
        <v>0</v>
      </c>
      <c r="G4117" t="s">
        <v>21</v>
      </c>
    </row>
    <row r="4118" spans="1:7">
      <c r="A4118">
        <v>4117</v>
      </c>
      <c r="B4118" t="str">
        <f>"009924"</f>
        <v>0</v>
      </c>
      <c r="C4118" t="s">
        <v>6877</v>
      </c>
      <c r="D4118" t="s">
        <v>6878</v>
      </c>
      <c r="E4118" t="str">
        <f>"3411200274351"</f>
        <v>0</v>
      </c>
      <c r="F4118" t="str">
        <f>"000860"</f>
        <v>0</v>
      </c>
      <c r="G4118" t="s">
        <v>21</v>
      </c>
    </row>
    <row r="4119" spans="1:7">
      <c r="A4119">
        <v>4118</v>
      </c>
      <c r="B4119" t="str">
        <f>"009942"</f>
        <v>0</v>
      </c>
      <c r="C4119" t="s">
        <v>6879</v>
      </c>
      <c r="D4119" t="s">
        <v>6880</v>
      </c>
      <c r="E4119" t="str">
        <f>"3302000280244"</f>
        <v>0</v>
      </c>
      <c r="F4119" t="str">
        <f>"000860"</f>
        <v>0</v>
      </c>
      <c r="G4119" t="s">
        <v>21</v>
      </c>
    </row>
    <row r="4120" spans="1:7">
      <c r="A4120">
        <v>4119</v>
      </c>
      <c r="B4120" t="str">
        <f>"009958"</f>
        <v>0</v>
      </c>
      <c r="C4120" t="s">
        <v>5274</v>
      </c>
      <c r="D4120" t="s">
        <v>6802</v>
      </c>
      <c r="E4120" t="str">
        <f>"3510100458246"</f>
        <v>0</v>
      </c>
      <c r="F4120" t="str">
        <f>"000860"</f>
        <v>0</v>
      </c>
      <c r="G4120" t="s">
        <v>21</v>
      </c>
    </row>
    <row r="4121" spans="1:7">
      <c r="A4121">
        <v>4120</v>
      </c>
      <c r="B4121" t="str">
        <f>"010303"</f>
        <v>0</v>
      </c>
      <c r="C4121" t="s">
        <v>2225</v>
      </c>
      <c r="D4121" t="s">
        <v>6881</v>
      </c>
      <c r="E4121" t="str">
        <f>"3302000492004"</f>
        <v>0</v>
      </c>
      <c r="F4121" t="str">
        <f>"000860"</f>
        <v>0</v>
      </c>
      <c r="G4121" t="s">
        <v>21</v>
      </c>
    </row>
    <row r="4122" spans="1:7">
      <c r="A4122">
        <v>4121</v>
      </c>
      <c r="B4122" t="str">
        <f>"010514"</f>
        <v>0</v>
      </c>
      <c r="C4122" t="s">
        <v>46</v>
      </c>
      <c r="D4122" t="s">
        <v>6882</v>
      </c>
      <c r="E4122" t="str">
        <f>"3302000555260"</f>
        <v>0</v>
      </c>
      <c r="F4122" t="str">
        <f>"000860"</f>
        <v>0</v>
      </c>
      <c r="G4122" t="s">
        <v>21</v>
      </c>
    </row>
    <row r="4123" spans="1:7">
      <c r="A4123">
        <v>4122</v>
      </c>
      <c r="B4123" t="str">
        <f>"010803"</f>
        <v>0</v>
      </c>
      <c r="C4123" t="s">
        <v>3799</v>
      </c>
      <c r="D4123" t="s">
        <v>6883</v>
      </c>
      <c r="E4123" t="str">
        <f>"3301800244969"</f>
        <v>0</v>
      </c>
      <c r="F4123" t="str">
        <f>"000860"</f>
        <v>0</v>
      </c>
      <c r="G4123" t="s">
        <v>21</v>
      </c>
    </row>
    <row r="4124" spans="1:7">
      <c r="A4124">
        <v>4123</v>
      </c>
      <c r="B4124" t="str">
        <f>"010957"</f>
        <v>0</v>
      </c>
      <c r="C4124" t="s">
        <v>6884</v>
      </c>
      <c r="D4124" t="s">
        <v>6885</v>
      </c>
      <c r="E4124" t="str">
        <f>"3309901311456"</f>
        <v>0</v>
      </c>
      <c r="F4124" t="str">
        <f>"000860"</f>
        <v>0</v>
      </c>
      <c r="G4124" t="s">
        <v>21</v>
      </c>
    </row>
    <row r="4125" spans="1:7">
      <c r="A4125">
        <v>4124</v>
      </c>
      <c r="B4125" t="str">
        <f>"011000"</f>
        <v>0</v>
      </c>
      <c r="C4125" t="s">
        <v>1162</v>
      </c>
      <c r="D4125" t="s">
        <v>6886</v>
      </c>
      <c r="E4125" t="str">
        <f>"3301500587356"</f>
        <v>0</v>
      </c>
      <c r="F4125" t="str">
        <f>"000860"</f>
        <v>0</v>
      </c>
      <c r="G4125" t="s">
        <v>21</v>
      </c>
    </row>
    <row r="4126" spans="1:7">
      <c r="A4126">
        <v>4125</v>
      </c>
      <c r="B4126" t="str">
        <f>"011111"</f>
        <v>0</v>
      </c>
      <c r="C4126" t="s">
        <v>5479</v>
      </c>
      <c r="D4126" t="s">
        <v>6887</v>
      </c>
      <c r="E4126" t="str">
        <f>"3410101902591"</f>
        <v>0</v>
      </c>
      <c r="F4126" t="str">
        <f>"000860"</f>
        <v>0</v>
      </c>
      <c r="G4126" t="s">
        <v>21</v>
      </c>
    </row>
    <row r="4127" spans="1:7">
      <c r="A4127">
        <v>4126</v>
      </c>
      <c r="B4127" t="str">
        <f>"011201"</f>
        <v>0</v>
      </c>
      <c r="C4127" t="s">
        <v>252</v>
      </c>
      <c r="D4127" t="s">
        <v>6783</v>
      </c>
      <c r="E4127" t="str">
        <f>"3302000019830"</f>
        <v>0</v>
      </c>
      <c r="F4127" t="str">
        <f>"000860"</f>
        <v>0</v>
      </c>
      <c r="G4127" t="s">
        <v>21</v>
      </c>
    </row>
    <row r="4128" spans="1:7">
      <c r="A4128">
        <v>4127</v>
      </c>
      <c r="B4128" t="str">
        <f>"011889"</f>
        <v>0</v>
      </c>
      <c r="C4128" t="s">
        <v>4926</v>
      </c>
      <c r="D4128" t="s">
        <v>6888</v>
      </c>
      <c r="E4128" t="str">
        <f>"3310900255937"</f>
        <v>0</v>
      </c>
      <c r="F4128" t="str">
        <f>"000860"</f>
        <v>0</v>
      </c>
      <c r="G4128" t="s">
        <v>21</v>
      </c>
    </row>
    <row r="4129" spans="1:7">
      <c r="A4129">
        <v>4128</v>
      </c>
      <c r="B4129" t="str">
        <f>"012015"</f>
        <v>0</v>
      </c>
      <c r="C4129" t="s">
        <v>657</v>
      </c>
      <c r="D4129" t="s">
        <v>6889</v>
      </c>
      <c r="E4129" t="str">
        <f>"3309901655821"</f>
        <v>0</v>
      </c>
      <c r="F4129" t="str">
        <f>"000860"</f>
        <v>0</v>
      </c>
      <c r="G4129" t="s">
        <v>21</v>
      </c>
    </row>
    <row r="4130" spans="1:7">
      <c r="A4130">
        <v>4129</v>
      </c>
      <c r="B4130" t="str">
        <f>"012095"</f>
        <v>0</v>
      </c>
      <c r="C4130" t="s">
        <v>4026</v>
      </c>
      <c r="D4130" t="s">
        <v>6887</v>
      </c>
      <c r="E4130" t="str">
        <f>"3309600060969"</f>
        <v>0</v>
      </c>
      <c r="F4130" t="str">
        <f>"000860"</f>
        <v>0</v>
      </c>
      <c r="G4130" t="s">
        <v>21</v>
      </c>
    </row>
    <row r="4131" spans="1:7">
      <c r="A4131">
        <v>4130</v>
      </c>
      <c r="B4131" t="str">
        <f>"012564"</f>
        <v>0</v>
      </c>
      <c r="C4131" t="s">
        <v>1697</v>
      </c>
      <c r="D4131" t="s">
        <v>6890</v>
      </c>
      <c r="E4131" t="str">
        <f>"4250300001151"</f>
        <v>0</v>
      </c>
      <c r="F4131" t="str">
        <f>"000860"</f>
        <v>0</v>
      </c>
      <c r="G4131" t="s">
        <v>21</v>
      </c>
    </row>
    <row r="4132" spans="1:7">
      <c r="A4132">
        <v>4131</v>
      </c>
      <c r="B4132" t="str">
        <f>"012567"</f>
        <v>0</v>
      </c>
      <c r="C4132" t="s">
        <v>2925</v>
      </c>
      <c r="D4132" t="s">
        <v>6891</v>
      </c>
      <c r="E4132" t="str">
        <f>"3301500613861"</f>
        <v>0</v>
      </c>
      <c r="F4132" t="str">
        <f>"000860"</f>
        <v>0</v>
      </c>
      <c r="G4132" t="s">
        <v>21</v>
      </c>
    </row>
    <row r="4133" spans="1:7">
      <c r="A4133">
        <v>4132</v>
      </c>
      <c r="B4133" t="str">
        <f>"013508"</f>
        <v>0</v>
      </c>
      <c r="C4133" t="s">
        <v>6892</v>
      </c>
      <c r="D4133" t="s">
        <v>6893</v>
      </c>
      <c r="E4133" t="str">
        <f>"3301800421178"</f>
        <v>0</v>
      </c>
      <c r="F4133" t="str">
        <f>"000860"</f>
        <v>0</v>
      </c>
      <c r="G4133" t="s">
        <v>21</v>
      </c>
    </row>
    <row r="4134" spans="1:7">
      <c r="A4134">
        <v>4133</v>
      </c>
      <c r="B4134" t="str">
        <f>"013753"</f>
        <v>0</v>
      </c>
      <c r="C4134" t="s">
        <v>590</v>
      </c>
      <c r="D4134" t="s">
        <v>6894</v>
      </c>
      <c r="E4134" t="str">
        <f>"3190900279943"</f>
        <v>0</v>
      </c>
      <c r="F4134" t="str">
        <f>"000860"</f>
        <v>0</v>
      </c>
      <c r="G4134" t="s">
        <v>21</v>
      </c>
    </row>
    <row r="4135" spans="1:7">
      <c r="A4135">
        <v>4134</v>
      </c>
      <c r="B4135" t="str">
        <f>"014265"</f>
        <v>0</v>
      </c>
      <c r="C4135" t="s">
        <v>6895</v>
      </c>
      <c r="D4135" t="s">
        <v>6896</v>
      </c>
      <c r="E4135" t="str">
        <f>"3300400005265"</f>
        <v>0</v>
      </c>
      <c r="F4135" t="str">
        <f>"000860"</f>
        <v>0</v>
      </c>
      <c r="G4135" t="s">
        <v>21</v>
      </c>
    </row>
    <row r="4136" spans="1:7">
      <c r="A4136">
        <v>4135</v>
      </c>
      <c r="B4136" t="str">
        <f>"014381"</f>
        <v>0</v>
      </c>
      <c r="C4136" t="s">
        <v>6897</v>
      </c>
      <c r="D4136" t="s">
        <v>6898</v>
      </c>
      <c r="E4136" t="str">
        <f>"3309900509601"</f>
        <v>0</v>
      </c>
      <c r="F4136" t="str">
        <f>"000860"</f>
        <v>0</v>
      </c>
      <c r="G4136" t="s">
        <v>21</v>
      </c>
    </row>
    <row r="4137" spans="1:7">
      <c r="A4137">
        <v>4136</v>
      </c>
      <c r="B4137" t="str">
        <f>"015007"</f>
        <v>0</v>
      </c>
      <c r="C4137" t="s">
        <v>6899</v>
      </c>
      <c r="D4137" t="s">
        <v>988</v>
      </c>
      <c r="E4137" t="str">
        <f>"3302000287516"</f>
        <v>0</v>
      </c>
      <c r="F4137" t="str">
        <f>"000860"</f>
        <v>0</v>
      </c>
      <c r="G4137" t="s">
        <v>21</v>
      </c>
    </row>
    <row r="4138" spans="1:7">
      <c r="A4138">
        <v>4137</v>
      </c>
      <c r="B4138" t="str">
        <f>"015146"</f>
        <v>0</v>
      </c>
      <c r="C4138" t="s">
        <v>789</v>
      </c>
      <c r="D4138" t="s">
        <v>6900</v>
      </c>
      <c r="E4138" t="str">
        <f>"3301800024781"</f>
        <v>0</v>
      </c>
      <c r="F4138" t="str">
        <f>"000860"</f>
        <v>0</v>
      </c>
      <c r="G4138" t="s">
        <v>21</v>
      </c>
    </row>
    <row r="4139" spans="1:7">
      <c r="A4139">
        <v>4138</v>
      </c>
      <c r="B4139" t="str">
        <f>"015281"</f>
        <v>0</v>
      </c>
      <c r="C4139" t="s">
        <v>6901</v>
      </c>
      <c r="D4139" t="s">
        <v>6902</v>
      </c>
      <c r="E4139" t="str">
        <f>"3101600712642"</f>
        <v>0</v>
      </c>
      <c r="F4139" t="str">
        <f>"000860"</f>
        <v>0</v>
      </c>
      <c r="G4139" t="s">
        <v>21</v>
      </c>
    </row>
    <row r="4140" spans="1:7">
      <c r="A4140">
        <v>4139</v>
      </c>
      <c r="B4140" t="str">
        <f>"015558"</f>
        <v>0</v>
      </c>
      <c r="C4140" t="s">
        <v>6903</v>
      </c>
      <c r="D4140" t="s">
        <v>6904</v>
      </c>
      <c r="E4140" t="str">
        <f>"3309901754269"</f>
        <v>0</v>
      </c>
      <c r="F4140" t="str">
        <f>"000860"</f>
        <v>0</v>
      </c>
      <c r="G4140" t="s">
        <v>21</v>
      </c>
    </row>
    <row r="4141" spans="1:7">
      <c r="A4141">
        <v>4140</v>
      </c>
      <c r="B4141" t="str">
        <f>"016202"</f>
        <v>0</v>
      </c>
      <c r="C4141" t="s">
        <v>2303</v>
      </c>
      <c r="D4141" t="s">
        <v>4398</v>
      </c>
      <c r="E4141" t="str">
        <f>"3309600015823"</f>
        <v>0</v>
      </c>
      <c r="F4141" t="str">
        <f>"000860"</f>
        <v>0</v>
      </c>
      <c r="G4141" t="s">
        <v>21</v>
      </c>
    </row>
    <row r="4142" spans="1:7">
      <c r="A4142">
        <v>4141</v>
      </c>
      <c r="B4142" t="str">
        <f>"016238"</f>
        <v>0</v>
      </c>
      <c r="C4142" t="s">
        <v>3786</v>
      </c>
      <c r="D4142" t="s">
        <v>6905</v>
      </c>
      <c r="E4142" t="str">
        <f>"3309900021837"</f>
        <v>0</v>
      </c>
      <c r="F4142" t="str">
        <f>"000860"</f>
        <v>0</v>
      </c>
      <c r="G4142" t="s">
        <v>21</v>
      </c>
    </row>
    <row r="4143" spans="1:7">
      <c r="A4143">
        <v>4142</v>
      </c>
      <c r="B4143" t="str">
        <f>"016787"</f>
        <v>0</v>
      </c>
      <c r="C4143" t="s">
        <v>6906</v>
      </c>
      <c r="D4143" t="s">
        <v>6907</v>
      </c>
      <c r="E4143" t="str">
        <f>"3301701050619"</f>
        <v>0</v>
      </c>
      <c r="F4143" t="str">
        <f>"000860"</f>
        <v>0</v>
      </c>
      <c r="G4143" t="s">
        <v>21</v>
      </c>
    </row>
    <row r="4144" spans="1:7">
      <c r="A4144">
        <v>4143</v>
      </c>
      <c r="B4144" t="str">
        <f>"016830"</f>
        <v>0</v>
      </c>
      <c r="C4144" t="s">
        <v>36</v>
      </c>
      <c r="D4144" t="s">
        <v>6908</v>
      </c>
      <c r="E4144" t="str">
        <f>"3309900769220"</f>
        <v>0</v>
      </c>
      <c r="F4144" t="str">
        <f>"000860"</f>
        <v>0</v>
      </c>
      <c r="G4144" t="s">
        <v>21</v>
      </c>
    </row>
    <row r="4145" spans="1:7">
      <c r="A4145">
        <v>4144</v>
      </c>
      <c r="B4145" t="str">
        <f>"016900"</f>
        <v>0</v>
      </c>
      <c r="C4145" t="s">
        <v>6909</v>
      </c>
      <c r="D4145" t="s">
        <v>6763</v>
      </c>
      <c r="E4145" t="str">
        <f>"3300400094331"</f>
        <v>0</v>
      </c>
      <c r="F4145" t="str">
        <f>"000860"</f>
        <v>0</v>
      </c>
      <c r="G4145" t="s">
        <v>21</v>
      </c>
    </row>
    <row r="4146" spans="1:7">
      <c r="A4146">
        <v>4145</v>
      </c>
      <c r="B4146" t="str">
        <f>"017718"</f>
        <v>0</v>
      </c>
      <c r="C4146" t="s">
        <v>6910</v>
      </c>
      <c r="D4146" t="s">
        <v>988</v>
      </c>
      <c r="E4146" t="str">
        <f>"3401400056552"</f>
        <v>0</v>
      </c>
      <c r="F4146" t="str">
        <f>"000860"</f>
        <v>0</v>
      </c>
      <c r="G4146" t="s">
        <v>21</v>
      </c>
    </row>
    <row r="4147" spans="1:7">
      <c r="A4147">
        <v>4146</v>
      </c>
      <c r="B4147" t="str">
        <f>"017819"</f>
        <v>0</v>
      </c>
      <c r="C4147" t="s">
        <v>2894</v>
      </c>
      <c r="D4147" t="s">
        <v>6911</v>
      </c>
      <c r="E4147" t="str">
        <f>"3102400654283"</f>
        <v>0</v>
      </c>
      <c r="F4147" t="str">
        <f>"000860"</f>
        <v>0</v>
      </c>
      <c r="G4147" t="s">
        <v>21</v>
      </c>
    </row>
    <row r="4148" spans="1:7">
      <c r="A4148">
        <v>4147</v>
      </c>
      <c r="B4148" t="str">
        <f>"017922"</f>
        <v>0</v>
      </c>
      <c r="C4148" t="s">
        <v>447</v>
      </c>
      <c r="D4148" t="s">
        <v>6912</v>
      </c>
      <c r="E4148" t="str">
        <f>"3800300063862"</f>
        <v>0</v>
      </c>
      <c r="F4148" t="str">
        <f>"000860"</f>
        <v>0</v>
      </c>
      <c r="G4148" t="s">
        <v>21</v>
      </c>
    </row>
    <row r="4149" spans="1:7">
      <c r="A4149">
        <v>4148</v>
      </c>
      <c r="B4149" t="str">
        <f>"017978"</f>
        <v>0</v>
      </c>
      <c r="C4149" t="s">
        <v>6913</v>
      </c>
      <c r="D4149" t="s">
        <v>6914</v>
      </c>
      <c r="E4149" t="str">
        <f>"3320100547585"</f>
        <v>0</v>
      </c>
      <c r="F4149" t="str">
        <f>"000860"</f>
        <v>0</v>
      </c>
      <c r="G4149" t="s">
        <v>21</v>
      </c>
    </row>
    <row r="4150" spans="1:7">
      <c r="A4150">
        <v>4149</v>
      </c>
      <c r="B4150" t="str">
        <f>"017991"</f>
        <v>0</v>
      </c>
      <c r="C4150" t="s">
        <v>6915</v>
      </c>
      <c r="D4150" t="s">
        <v>6916</v>
      </c>
      <c r="E4150" t="str">
        <f>"3309900073802"</f>
        <v>0</v>
      </c>
      <c r="F4150" t="str">
        <f>"000860"</f>
        <v>0</v>
      </c>
      <c r="G4150" t="s">
        <v>21</v>
      </c>
    </row>
    <row r="4151" spans="1:7">
      <c r="A4151">
        <v>4150</v>
      </c>
      <c r="B4151" t="str">
        <f>"017992"</f>
        <v>0</v>
      </c>
      <c r="C4151" t="s">
        <v>6917</v>
      </c>
      <c r="D4151" t="s">
        <v>6918</v>
      </c>
      <c r="E4151" t="str">
        <f>"3401800006455"</f>
        <v>0</v>
      </c>
      <c r="F4151" t="str">
        <f>"000860"</f>
        <v>0</v>
      </c>
      <c r="G4151" t="s">
        <v>21</v>
      </c>
    </row>
    <row r="4152" spans="1:7">
      <c r="A4152">
        <v>4151</v>
      </c>
      <c r="B4152" t="str">
        <f>"018394"</f>
        <v>0</v>
      </c>
      <c r="C4152" t="s">
        <v>6919</v>
      </c>
      <c r="D4152" t="s">
        <v>6920</v>
      </c>
      <c r="E4152" t="str">
        <f>"3300900763088"</f>
        <v>0</v>
      </c>
      <c r="F4152" t="str">
        <f>"000860"</f>
        <v>0</v>
      </c>
      <c r="G4152" t="s">
        <v>21</v>
      </c>
    </row>
    <row r="4153" spans="1:7">
      <c r="A4153">
        <v>4152</v>
      </c>
      <c r="B4153" t="str">
        <f>"018396"</f>
        <v>0</v>
      </c>
      <c r="C4153" t="s">
        <v>3522</v>
      </c>
      <c r="D4153" t="s">
        <v>6921</v>
      </c>
      <c r="E4153" t="str">
        <f>"3309900349697"</f>
        <v>0</v>
      </c>
      <c r="F4153" t="str">
        <f>"000860"</f>
        <v>0</v>
      </c>
      <c r="G4153" t="s">
        <v>21</v>
      </c>
    </row>
    <row r="4154" spans="1:7">
      <c r="A4154">
        <v>4153</v>
      </c>
      <c r="B4154" t="str">
        <f>"018460"</f>
        <v>0</v>
      </c>
      <c r="C4154" t="s">
        <v>3014</v>
      </c>
      <c r="D4154" t="s">
        <v>6922</v>
      </c>
      <c r="E4154" t="str">
        <f>"3309900053976"</f>
        <v>0</v>
      </c>
      <c r="F4154" t="str">
        <f>"000860"</f>
        <v>0</v>
      </c>
      <c r="G4154" t="s">
        <v>21</v>
      </c>
    </row>
    <row r="4155" spans="1:7">
      <c r="A4155">
        <v>4154</v>
      </c>
      <c r="B4155" t="str">
        <f>"018644"</f>
        <v>0</v>
      </c>
      <c r="C4155" t="s">
        <v>755</v>
      </c>
      <c r="D4155" t="s">
        <v>6923</v>
      </c>
      <c r="E4155" t="str">
        <f>"3301700368496"</f>
        <v>0</v>
      </c>
      <c r="F4155" t="str">
        <f>"000860"</f>
        <v>0</v>
      </c>
      <c r="G4155" t="s">
        <v>21</v>
      </c>
    </row>
    <row r="4156" spans="1:7">
      <c r="A4156">
        <v>4155</v>
      </c>
      <c r="B4156" t="str">
        <f>"018732"</f>
        <v>0</v>
      </c>
      <c r="C4156" t="s">
        <v>6924</v>
      </c>
      <c r="D4156" t="s">
        <v>6925</v>
      </c>
      <c r="E4156" t="str">
        <f>"3309900223189"</f>
        <v>0</v>
      </c>
      <c r="F4156" t="str">
        <f>"000860"</f>
        <v>0</v>
      </c>
      <c r="G4156" t="s">
        <v>21</v>
      </c>
    </row>
    <row r="4157" spans="1:7">
      <c r="A4157">
        <v>4156</v>
      </c>
      <c r="B4157" t="str">
        <f>"019337"</f>
        <v>0</v>
      </c>
      <c r="C4157" t="s">
        <v>1792</v>
      </c>
      <c r="D4157" t="s">
        <v>6926</v>
      </c>
      <c r="E4157" t="str">
        <f>"3340600161741"</f>
        <v>0</v>
      </c>
      <c r="F4157" t="str">
        <f>"000860"</f>
        <v>0</v>
      </c>
      <c r="G4157" t="s">
        <v>21</v>
      </c>
    </row>
    <row r="4158" spans="1:7">
      <c r="A4158">
        <v>4157</v>
      </c>
      <c r="B4158" t="str">
        <f>"019405"</f>
        <v>0</v>
      </c>
      <c r="C4158" t="s">
        <v>6927</v>
      </c>
      <c r="D4158" t="s">
        <v>6928</v>
      </c>
      <c r="E4158" t="str">
        <f>"4302000006990"</f>
        <v>0</v>
      </c>
      <c r="F4158" t="str">
        <f>"000860"</f>
        <v>0</v>
      </c>
      <c r="G4158" t="s">
        <v>21</v>
      </c>
    </row>
    <row r="4159" spans="1:7">
      <c r="A4159">
        <v>4158</v>
      </c>
      <c r="B4159" t="str">
        <f>"019622"</f>
        <v>0</v>
      </c>
      <c r="C4159" t="s">
        <v>6929</v>
      </c>
      <c r="D4159" t="s">
        <v>6930</v>
      </c>
      <c r="E4159" t="str">
        <f>"3300800438835"</f>
        <v>0</v>
      </c>
      <c r="F4159" t="str">
        <f>"000860"</f>
        <v>0</v>
      </c>
      <c r="G4159" t="s">
        <v>21</v>
      </c>
    </row>
    <row r="4160" spans="1:7">
      <c r="A4160">
        <v>4159</v>
      </c>
      <c r="B4160" t="str">
        <f>"019762"</f>
        <v>0</v>
      </c>
      <c r="C4160" t="s">
        <v>6931</v>
      </c>
      <c r="D4160" t="s">
        <v>6769</v>
      </c>
      <c r="E4160" t="str">
        <f>"3301800343045"</f>
        <v>0</v>
      </c>
      <c r="F4160" t="str">
        <f>"000860"</f>
        <v>0</v>
      </c>
      <c r="G4160" t="s">
        <v>21</v>
      </c>
    </row>
    <row r="4161" spans="1:7">
      <c r="A4161">
        <v>4160</v>
      </c>
      <c r="B4161" t="str">
        <f>"019963"</f>
        <v>0</v>
      </c>
      <c r="C4161" t="s">
        <v>6932</v>
      </c>
      <c r="D4161" t="s">
        <v>6933</v>
      </c>
      <c r="E4161" t="str">
        <f>"3300100846027"</f>
        <v>0</v>
      </c>
      <c r="F4161" t="str">
        <f>"000860"</f>
        <v>0</v>
      </c>
      <c r="G4161" t="s">
        <v>21</v>
      </c>
    </row>
    <row r="4162" spans="1:7">
      <c r="A4162">
        <v>4161</v>
      </c>
      <c r="B4162" t="str">
        <f>"020126"</f>
        <v>0</v>
      </c>
      <c r="C4162" t="s">
        <v>6934</v>
      </c>
      <c r="D4162" t="s">
        <v>6935</v>
      </c>
      <c r="E4162" t="str">
        <f>"3300800398833"</f>
        <v>0</v>
      </c>
      <c r="F4162" t="str">
        <f>"000860"</f>
        <v>0</v>
      </c>
      <c r="G4162" t="s">
        <v>21</v>
      </c>
    </row>
    <row r="4163" spans="1:7">
      <c r="A4163">
        <v>4162</v>
      </c>
      <c r="B4163" t="str">
        <f>"020219"</f>
        <v>0</v>
      </c>
      <c r="C4163" t="s">
        <v>6936</v>
      </c>
      <c r="D4163" t="s">
        <v>6937</v>
      </c>
      <c r="E4163" t="str">
        <f>"3300200330847"</f>
        <v>0</v>
      </c>
      <c r="F4163" t="str">
        <f>"000860"</f>
        <v>0</v>
      </c>
      <c r="G4163" t="s">
        <v>21</v>
      </c>
    </row>
    <row r="4164" spans="1:7">
      <c r="A4164">
        <v>4163</v>
      </c>
      <c r="B4164" t="str">
        <f>"020222"</f>
        <v>0</v>
      </c>
      <c r="C4164" t="s">
        <v>6938</v>
      </c>
      <c r="D4164" t="s">
        <v>6830</v>
      </c>
      <c r="E4164" t="str">
        <f>"5309790003216"</f>
        <v>0</v>
      </c>
      <c r="F4164" t="str">
        <f>"000860"</f>
        <v>0</v>
      </c>
      <c r="G4164" t="s">
        <v>21</v>
      </c>
    </row>
    <row r="4165" spans="1:7">
      <c r="A4165">
        <v>4164</v>
      </c>
      <c r="B4165" t="str">
        <f>"020257"</f>
        <v>0</v>
      </c>
      <c r="C4165" t="s">
        <v>2303</v>
      </c>
      <c r="D4165" t="s">
        <v>6939</v>
      </c>
      <c r="E4165" t="str">
        <f>"3909900218023"</f>
        <v>0</v>
      </c>
      <c r="F4165" t="str">
        <f>"000860"</f>
        <v>0</v>
      </c>
      <c r="G4165" t="s">
        <v>21</v>
      </c>
    </row>
    <row r="4166" spans="1:7">
      <c r="A4166">
        <v>4165</v>
      </c>
      <c r="B4166" t="str">
        <f>"020294"</f>
        <v>0</v>
      </c>
      <c r="C4166" t="s">
        <v>106</v>
      </c>
      <c r="D4166" t="s">
        <v>3083</v>
      </c>
      <c r="E4166" t="str">
        <f>"3450100933492"</f>
        <v>0</v>
      </c>
      <c r="F4166" t="str">
        <f>"000860"</f>
        <v>0</v>
      </c>
      <c r="G4166" t="s">
        <v>21</v>
      </c>
    </row>
    <row r="4167" spans="1:7">
      <c r="A4167">
        <v>4166</v>
      </c>
      <c r="B4167" t="str">
        <f>"020318"</f>
        <v>0</v>
      </c>
      <c r="C4167" t="s">
        <v>6940</v>
      </c>
      <c r="D4167" t="s">
        <v>6941</v>
      </c>
      <c r="E4167" t="str">
        <f>"3369900005602"</f>
        <v>0</v>
      </c>
      <c r="F4167" t="str">
        <f>"000860"</f>
        <v>0</v>
      </c>
      <c r="G4167" t="s">
        <v>21</v>
      </c>
    </row>
    <row r="4168" spans="1:7">
      <c r="A4168">
        <v>4167</v>
      </c>
      <c r="B4168" t="str">
        <f>"020430"</f>
        <v>0</v>
      </c>
      <c r="C4168" t="s">
        <v>6942</v>
      </c>
      <c r="D4168" t="s">
        <v>6943</v>
      </c>
      <c r="E4168" t="str">
        <f>"3300900594111"</f>
        <v>0</v>
      </c>
      <c r="F4168" t="str">
        <f>"000860"</f>
        <v>0</v>
      </c>
      <c r="G4168" t="s">
        <v>21</v>
      </c>
    </row>
    <row r="4169" spans="1:7">
      <c r="A4169">
        <v>4168</v>
      </c>
      <c r="B4169" t="str">
        <f>"020441"</f>
        <v>0</v>
      </c>
      <c r="C4169" t="s">
        <v>6944</v>
      </c>
      <c r="D4169" t="s">
        <v>6945</v>
      </c>
      <c r="E4169" t="str">
        <f>"3309600092402"</f>
        <v>0</v>
      </c>
      <c r="F4169" t="str">
        <f>"000860"</f>
        <v>0</v>
      </c>
      <c r="G4169" t="s">
        <v>21</v>
      </c>
    </row>
    <row r="4170" spans="1:7">
      <c r="A4170">
        <v>4169</v>
      </c>
      <c r="B4170" t="str">
        <f>"020474"</f>
        <v>0</v>
      </c>
      <c r="C4170" t="s">
        <v>6946</v>
      </c>
      <c r="D4170" t="s">
        <v>6947</v>
      </c>
      <c r="E4170" t="str">
        <f>"4301100001026"</f>
        <v>0</v>
      </c>
      <c r="F4170" t="str">
        <f>"000860"</f>
        <v>0</v>
      </c>
      <c r="G4170" t="s">
        <v>21</v>
      </c>
    </row>
    <row r="4171" spans="1:7">
      <c r="A4171">
        <v>4170</v>
      </c>
      <c r="B4171" t="str">
        <f>"020570"</f>
        <v>0</v>
      </c>
      <c r="C4171" t="s">
        <v>6948</v>
      </c>
      <c r="D4171" t="s">
        <v>6949</v>
      </c>
      <c r="E4171" t="str">
        <f>"3301800025884"</f>
        <v>0</v>
      </c>
      <c r="F4171" t="str">
        <f>"000860"</f>
        <v>0</v>
      </c>
      <c r="G4171" t="s">
        <v>21</v>
      </c>
    </row>
    <row r="4172" spans="1:7">
      <c r="A4172">
        <v>4171</v>
      </c>
      <c r="B4172" t="str">
        <f>"020610"</f>
        <v>0</v>
      </c>
      <c r="C4172" t="s">
        <v>6950</v>
      </c>
      <c r="D4172" t="s">
        <v>6951</v>
      </c>
      <c r="E4172" t="str">
        <f>"3301200118458"</f>
        <v>0</v>
      </c>
      <c r="F4172" t="str">
        <f>"000860"</f>
        <v>0</v>
      </c>
      <c r="G4172" t="s">
        <v>21</v>
      </c>
    </row>
    <row r="4173" spans="1:7">
      <c r="A4173">
        <v>4172</v>
      </c>
      <c r="B4173" t="str">
        <f>"020659"</f>
        <v>0</v>
      </c>
      <c r="C4173" t="s">
        <v>6952</v>
      </c>
      <c r="D4173" t="s">
        <v>6953</v>
      </c>
      <c r="E4173" t="str">
        <f>"3301800554674"</f>
        <v>0</v>
      </c>
      <c r="F4173" t="str">
        <f>"000860"</f>
        <v>0</v>
      </c>
      <c r="G4173" t="s">
        <v>21</v>
      </c>
    </row>
    <row r="4174" spans="1:7">
      <c r="A4174">
        <v>4173</v>
      </c>
      <c r="B4174" t="str">
        <f>"020661"</f>
        <v>0</v>
      </c>
      <c r="C4174" t="s">
        <v>6954</v>
      </c>
      <c r="D4174" t="s">
        <v>6955</v>
      </c>
      <c r="E4174" t="str">
        <f>"3100503596705"</f>
        <v>0</v>
      </c>
      <c r="F4174" t="str">
        <f>"000860"</f>
        <v>0</v>
      </c>
      <c r="G4174" t="s">
        <v>21</v>
      </c>
    </row>
    <row r="4175" spans="1:7">
      <c r="A4175">
        <v>4174</v>
      </c>
      <c r="B4175" t="str">
        <f>"020700"</f>
        <v>0</v>
      </c>
      <c r="C4175" t="s">
        <v>6956</v>
      </c>
      <c r="D4175" t="s">
        <v>6957</v>
      </c>
      <c r="E4175" t="str">
        <f>"3110401319591"</f>
        <v>0</v>
      </c>
      <c r="F4175" t="str">
        <f>"000860"</f>
        <v>0</v>
      </c>
      <c r="G4175" t="s">
        <v>21</v>
      </c>
    </row>
    <row r="4176" spans="1:7">
      <c r="A4176">
        <v>4175</v>
      </c>
      <c r="B4176" t="str">
        <f>"021118"</f>
        <v>0</v>
      </c>
      <c r="C4176" t="s">
        <v>1718</v>
      </c>
      <c r="D4176" t="s">
        <v>6958</v>
      </c>
      <c r="E4176" t="str">
        <f>"3301401001248"</f>
        <v>0</v>
      </c>
      <c r="F4176" t="str">
        <f>"000860"</f>
        <v>0</v>
      </c>
      <c r="G4176" t="s">
        <v>21</v>
      </c>
    </row>
    <row r="4177" spans="1:7">
      <c r="A4177">
        <v>4176</v>
      </c>
      <c r="B4177" t="str">
        <f>"021138"</f>
        <v>0</v>
      </c>
      <c r="C4177" t="s">
        <v>2669</v>
      </c>
      <c r="D4177" t="s">
        <v>6959</v>
      </c>
      <c r="E4177" t="str">
        <f>"3301400013544"</f>
        <v>0</v>
      </c>
      <c r="F4177" t="str">
        <f>"000860"</f>
        <v>0</v>
      </c>
      <c r="G4177" t="s">
        <v>21</v>
      </c>
    </row>
    <row r="4178" spans="1:7">
      <c r="A4178">
        <v>4177</v>
      </c>
      <c r="B4178" t="str">
        <f>"021321"</f>
        <v>0</v>
      </c>
      <c r="C4178" t="s">
        <v>3736</v>
      </c>
      <c r="D4178" t="s">
        <v>1902</v>
      </c>
      <c r="E4178" t="str">
        <f>"1309900018431"</f>
        <v>0</v>
      </c>
      <c r="F4178" t="str">
        <f>"000860"</f>
        <v>0</v>
      </c>
      <c r="G4178" t="s">
        <v>21</v>
      </c>
    </row>
    <row r="4179" spans="1:7">
      <c r="A4179">
        <v>4178</v>
      </c>
      <c r="B4179" t="str">
        <f>"021406"</f>
        <v>0</v>
      </c>
      <c r="C4179" t="s">
        <v>6960</v>
      </c>
      <c r="D4179" t="s">
        <v>6961</v>
      </c>
      <c r="E4179" t="str">
        <f>"3310500245209"</f>
        <v>0</v>
      </c>
      <c r="F4179" t="str">
        <f>"000860"</f>
        <v>0</v>
      </c>
      <c r="G4179" t="s">
        <v>21</v>
      </c>
    </row>
    <row r="4180" spans="1:7">
      <c r="A4180">
        <v>4179</v>
      </c>
      <c r="B4180" t="str">
        <f>"021408"</f>
        <v>0</v>
      </c>
      <c r="C4180" t="s">
        <v>731</v>
      </c>
      <c r="D4180" t="s">
        <v>5271</v>
      </c>
      <c r="E4180" t="str">
        <f>"3301400356221"</f>
        <v>0</v>
      </c>
      <c r="F4180" t="str">
        <f>"000860"</f>
        <v>0</v>
      </c>
      <c r="G4180" t="s">
        <v>21</v>
      </c>
    </row>
    <row r="4181" spans="1:7">
      <c r="A4181">
        <v>4180</v>
      </c>
      <c r="B4181" t="str">
        <f>"021413"</f>
        <v>0</v>
      </c>
      <c r="C4181" t="s">
        <v>6962</v>
      </c>
      <c r="D4181" t="s">
        <v>6963</v>
      </c>
      <c r="E4181" t="str">
        <f>"3302100475713"</f>
        <v>0</v>
      </c>
      <c r="F4181" t="str">
        <f>"000860"</f>
        <v>0</v>
      </c>
      <c r="G4181" t="s">
        <v>21</v>
      </c>
    </row>
    <row r="4182" spans="1:7">
      <c r="A4182">
        <v>4181</v>
      </c>
      <c r="B4182" t="str">
        <f>"021466"</f>
        <v>0</v>
      </c>
      <c r="C4182" t="s">
        <v>4030</v>
      </c>
      <c r="D4182" t="s">
        <v>3806</v>
      </c>
      <c r="E4182" t="str">
        <f>"5451000019419"</f>
        <v>0</v>
      </c>
      <c r="F4182" t="str">
        <f>"000860"</f>
        <v>0</v>
      </c>
      <c r="G4182" t="s">
        <v>21</v>
      </c>
    </row>
    <row r="4183" spans="1:7">
      <c r="A4183">
        <v>4182</v>
      </c>
      <c r="B4183" t="str">
        <f>"021470"</f>
        <v>0</v>
      </c>
      <c r="C4183" t="s">
        <v>1926</v>
      </c>
      <c r="D4183" t="s">
        <v>6964</v>
      </c>
      <c r="E4183" t="str">
        <f>"3301000245669"</f>
        <v>0</v>
      </c>
      <c r="F4183" t="str">
        <f>"000860"</f>
        <v>0</v>
      </c>
      <c r="G4183" t="s">
        <v>21</v>
      </c>
    </row>
    <row r="4184" spans="1:7">
      <c r="A4184">
        <v>4183</v>
      </c>
      <c r="B4184" t="str">
        <f>"021472"</f>
        <v>0</v>
      </c>
      <c r="C4184" t="s">
        <v>250</v>
      </c>
      <c r="D4184" t="s">
        <v>6965</v>
      </c>
      <c r="E4184" t="str">
        <f>"3301000415432"</f>
        <v>0</v>
      </c>
      <c r="F4184" t="str">
        <f>"000860"</f>
        <v>0</v>
      </c>
      <c r="G4184" t="s">
        <v>21</v>
      </c>
    </row>
    <row r="4185" spans="1:7">
      <c r="A4185">
        <v>4184</v>
      </c>
      <c r="B4185" t="str">
        <f>"021475"</f>
        <v>0</v>
      </c>
      <c r="C4185" t="s">
        <v>6966</v>
      </c>
      <c r="D4185" t="s">
        <v>6967</v>
      </c>
      <c r="E4185" t="str">
        <f>"3302000364502"</f>
        <v>0</v>
      </c>
      <c r="F4185" t="str">
        <f>"000860"</f>
        <v>0</v>
      </c>
      <c r="G4185" t="s">
        <v>21</v>
      </c>
    </row>
    <row r="4186" spans="1:7">
      <c r="A4186">
        <v>4185</v>
      </c>
      <c r="B4186" t="str">
        <f>"021538"</f>
        <v>0</v>
      </c>
      <c r="C4186" t="s">
        <v>6968</v>
      </c>
      <c r="D4186" t="s">
        <v>6969</v>
      </c>
      <c r="E4186" t="str">
        <f>"1310500001991"</f>
        <v>0</v>
      </c>
      <c r="F4186" t="str">
        <f>"000860"</f>
        <v>0</v>
      </c>
      <c r="G4186" t="s">
        <v>21</v>
      </c>
    </row>
    <row r="4187" spans="1:7">
      <c r="A4187">
        <v>4186</v>
      </c>
      <c r="B4187" t="str">
        <f>"021545"</f>
        <v>0</v>
      </c>
      <c r="C4187" t="s">
        <v>3823</v>
      </c>
      <c r="D4187" t="s">
        <v>6970</v>
      </c>
      <c r="E4187" t="str">
        <f>"3300800166720"</f>
        <v>0</v>
      </c>
      <c r="F4187" t="str">
        <f>"000860"</f>
        <v>0</v>
      </c>
      <c r="G4187" t="s">
        <v>21</v>
      </c>
    </row>
    <row r="4188" spans="1:7">
      <c r="A4188">
        <v>4187</v>
      </c>
      <c r="B4188" t="str">
        <f>"021618"</f>
        <v>0</v>
      </c>
      <c r="C4188" t="s">
        <v>6971</v>
      </c>
      <c r="D4188" t="s">
        <v>6972</v>
      </c>
      <c r="E4188" t="str">
        <f>"3301300504708"</f>
        <v>0</v>
      </c>
      <c r="F4188" t="str">
        <f>"000860"</f>
        <v>0</v>
      </c>
      <c r="G4188" t="s">
        <v>21</v>
      </c>
    </row>
    <row r="4189" spans="1:7">
      <c r="A4189">
        <v>4188</v>
      </c>
      <c r="B4189" t="str">
        <f>"021709"</f>
        <v>0</v>
      </c>
      <c r="C4189" t="s">
        <v>6973</v>
      </c>
      <c r="D4189" t="s">
        <v>6974</v>
      </c>
      <c r="E4189" t="str">
        <f>"3301500108580"</f>
        <v>0</v>
      </c>
      <c r="F4189" t="str">
        <f>"000860"</f>
        <v>0</v>
      </c>
      <c r="G4189" t="s">
        <v>21</v>
      </c>
    </row>
    <row r="4190" spans="1:7">
      <c r="A4190">
        <v>4189</v>
      </c>
      <c r="B4190" t="str">
        <f>"021744"</f>
        <v>0</v>
      </c>
      <c r="C4190" t="s">
        <v>6975</v>
      </c>
      <c r="D4190" t="s">
        <v>6976</v>
      </c>
      <c r="E4190" t="str">
        <f>"3300800934069"</f>
        <v>0</v>
      </c>
      <c r="F4190" t="str">
        <f>"000860"</f>
        <v>0</v>
      </c>
      <c r="G4190" t="s">
        <v>21</v>
      </c>
    </row>
    <row r="4191" spans="1:7">
      <c r="A4191">
        <v>4190</v>
      </c>
      <c r="B4191" t="str">
        <f>"021774"</f>
        <v>0</v>
      </c>
      <c r="C4191" t="s">
        <v>6977</v>
      </c>
      <c r="D4191" t="s">
        <v>6978</v>
      </c>
      <c r="E4191" t="str">
        <f>"3300100127781"</f>
        <v>0</v>
      </c>
      <c r="F4191" t="str">
        <f>"000860"</f>
        <v>0</v>
      </c>
      <c r="G4191" t="s">
        <v>21</v>
      </c>
    </row>
    <row r="4192" spans="1:7">
      <c r="A4192">
        <v>4191</v>
      </c>
      <c r="B4192" t="str">
        <f>"021787"</f>
        <v>0</v>
      </c>
      <c r="C4192" t="s">
        <v>6979</v>
      </c>
      <c r="D4192" t="s">
        <v>6980</v>
      </c>
      <c r="E4192" t="str">
        <f>"3300200288841"</f>
        <v>0</v>
      </c>
      <c r="F4192" t="str">
        <f>"000860"</f>
        <v>0</v>
      </c>
      <c r="G4192" t="s">
        <v>21</v>
      </c>
    </row>
    <row r="4193" spans="1:7">
      <c r="A4193">
        <v>4192</v>
      </c>
      <c r="B4193" t="str">
        <f>"021868"</f>
        <v>0</v>
      </c>
      <c r="C4193" t="s">
        <v>6981</v>
      </c>
      <c r="D4193" t="s">
        <v>6982</v>
      </c>
      <c r="E4193" t="str">
        <f>"3300200687508"</f>
        <v>0</v>
      </c>
      <c r="F4193" t="str">
        <f>"000860"</f>
        <v>0</v>
      </c>
      <c r="G4193" t="s">
        <v>21</v>
      </c>
    </row>
    <row r="4194" spans="1:7">
      <c r="A4194">
        <v>4193</v>
      </c>
      <c r="B4194" t="str">
        <f>"021966"</f>
        <v>0</v>
      </c>
      <c r="C4194" t="s">
        <v>4118</v>
      </c>
      <c r="D4194" t="s">
        <v>6983</v>
      </c>
      <c r="E4194" t="str">
        <f>"1341800004031"</f>
        <v>0</v>
      </c>
      <c r="F4194" t="str">
        <f>"000860"</f>
        <v>0</v>
      </c>
      <c r="G4194" t="s">
        <v>21</v>
      </c>
    </row>
    <row r="4195" spans="1:7">
      <c r="A4195">
        <v>4194</v>
      </c>
      <c r="B4195" t="str">
        <f>"021980"</f>
        <v>0</v>
      </c>
      <c r="C4195" t="s">
        <v>6984</v>
      </c>
      <c r="D4195" t="s">
        <v>6985</v>
      </c>
      <c r="E4195" t="str">
        <f>"3360100141783"</f>
        <v>0</v>
      </c>
      <c r="F4195" t="str">
        <f>"000860"</f>
        <v>0</v>
      </c>
      <c r="G4195" t="s">
        <v>21</v>
      </c>
    </row>
    <row r="4196" spans="1:7">
      <c r="A4196">
        <v>4195</v>
      </c>
      <c r="B4196" t="str">
        <f>"021981"</f>
        <v>0</v>
      </c>
      <c r="C4196" t="s">
        <v>6986</v>
      </c>
      <c r="D4196" t="s">
        <v>6987</v>
      </c>
      <c r="E4196" t="str">
        <f>"3300100543938"</f>
        <v>0</v>
      </c>
      <c r="F4196" t="str">
        <f>"000860"</f>
        <v>0</v>
      </c>
      <c r="G4196" t="s">
        <v>21</v>
      </c>
    </row>
    <row r="4197" spans="1:7">
      <c r="A4197">
        <v>4196</v>
      </c>
      <c r="B4197" t="str">
        <f>"021992"</f>
        <v>0</v>
      </c>
      <c r="C4197" t="s">
        <v>1028</v>
      </c>
      <c r="D4197" t="s">
        <v>6988</v>
      </c>
      <c r="E4197" t="str">
        <f>"3320100348868"</f>
        <v>0</v>
      </c>
      <c r="F4197" t="str">
        <f>"000860"</f>
        <v>0</v>
      </c>
      <c r="G4197" t="s">
        <v>21</v>
      </c>
    </row>
    <row r="4198" spans="1:7">
      <c r="A4198">
        <v>4197</v>
      </c>
      <c r="B4198" t="str">
        <f>"022017"</f>
        <v>0</v>
      </c>
      <c r="C4198" t="s">
        <v>6989</v>
      </c>
      <c r="D4198" t="s">
        <v>6990</v>
      </c>
      <c r="E4198" t="str">
        <f>"3301401181432"</f>
        <v>0</v>
      </c>
      <c r="F4198" t="str">
        <f>"000860"</f>
        <v>0</v>
      </c>
      <c r="G4198" t="s">
        <v>21</v>
      </c>
    </row>
    <row r="4199" spans="1:7">
      <c r="A4199">
        <v>4198</v>
      </c>
      <c r="B4199" t="str">
        <f>"022513"</f>
        <v>0</v>
      </c>
      <c r="C4199" t="s">
        <v>2702</v>
      </c>
      <c r="D4199" t="s">
        <v>6991</v>
      </c>
      <c r="E4199" t="str">
        <f>"1301800004619"</f>
        <v>0</v>
      </c>
      <c r="F4199" t="str">
        <f>"000860"</f>
        <v>0</v>
      </c>
      <c r="G4199" t="s">
        <v>21</v>
      </c>
    </row>
    <row r="4200" spans="1:7">
      <c r="A4200">
        <v>4199</v>
      </c>
      <c r="B4200" t="str">
        <f>"022536"</f>
        <v>0</v>
      </c>
      <c r="C4200" t="s">
        <v>753</v>
      </c>
      <c r="D4200" t="s">
        <v>6992</v>
      </c>
      <c r="E4200" t="str">
        <f>"5300100001287"</f>
        <v>0</v>
      </c>
      <c r="F4200" t="str">
        <f>"000860"</f>
        <v>0</v>
      </c>
      <c r="G4200" t="s">
        <v>21</v>
      </c>
    </row>
    <row r="4201" spans="1:7">
      <c r="A4201">
        <v>4200</v>
      </c>
      <c r="B4201" t="str">
        <f>"022546"</f>
        <v>0</v>
      </c>
      <c r="C4201" t="s">
        <v>1216</v>
      </c>
      <c r="D4201" t="s">
        <v>6993</v>
      </c>
      <c r="E4201" t="str">
        <f>"3300900403561"</f>
        <v>0</v>
      </c>
      <c r="F4201" t="str">
        <f>"000860"</f>
        <v>0</v>
      </c>
      <c r="G4201" t="s">
        <v>21</v>
      </c>
    </row>
    <row r="4202" spans="1:7">
      <c r="A4202">
        <v>4201</v>
      </c>
      <c r="B4202" t="str">
        <f>"022608"</f>
        <v>0</v>
      </c>
      <c r="C4202" t="s">
        <v>6994</v>
      </c>
      <c r="D4202" t="s">
        <v>6995</v>
      </c>
      <c r="E4202" t="str">
        <f>"3301500244238"</f>
        <v>0</v>
      </c>
      <c r="F4202" t="str">
        <f>"000860"</f>
        <v>0</v>
      </c>
      <c r="G4202" t="s">
        <v>21</v>
      </c>
    </row>
    <row r="4203" spans="1:7">
      <c r="A4203">
        <v>4202</v>
      </c>
      <c r="B4203" t="str">
        <f>"022624"</f>
        <v>0</v>
      </c>
      <c r="C4203" t="s">
        <v>6996</v>
      </c>
      <c r="D4203" t="s">
        <v>6997</v>
      </c>
      <c r="E4203" t="str">
        <f>"3302000532162"</f>
        <v>0</v>
      </c>
      <c r="F4203" t="str">
        <f>"000860"</f>
        <v>0</v>
      </c>
      <c r="G4203" t="s">
        <v>21</v>
      </c>
    </row>
    <row r="4204" spans="1:7">
      <c r="A4204">
        <v>4203</v>
      </c>
      <c r="B4204" t="str">
        <f>"022654"</f>
        <v>0</v>
      </c>
      <c r="C4204" t="s">
        <v>6998</v>
      </c>
      <c r="D4204" t="s">
        <v>6999</v>
      </c>
      <c r="E4204" t="str">
        <f>"3400400712238"</f>
        <v>0</v>
      </c>
      <c r="F4204" t="str">
        <f>"000860"</f>
        <v>0</v>
      </c>
      <c r="G4204" t="s">
        <v>21</v>
      </c>
    </row>
    <row r="4205" spans="1:7">
      <c r="A4205">
        <v>4204</v>
      </c>
      <c r="B4205" t="str">
        <f>"022655"</f>
        <v>0</v>
      </c>
      <c r="C4205" t="s">
        <v>3095</v>
      </c>
      <c r="D4205" t="s">
        <v>7000</v>
      </c>
      <c r="E4205" t="str">
        <f>"3309901585149"</f>
        <v>0</v>
      </c>
      <c r="F4205" t="str">
        <f>"000860"</f>
        <v>0</v>
      </c>
      <c r="G4205" t="s">
        <v>21</v>
      </c>
    </row>
    <row r="4206" spans="1:7">
      <c r="A4206">
        <v>4205</v>
      </c>
      <c r="B4206" t="str">
        <f>"022659"</f>
        <v>0</v>
      </c>
      <c r="C4206" t="s">
        <v>7001</v>
      </c>
      <c r="D4206" t="s">
        <v>7002</v>
      </c>
      <c r="E4206" t="str">
        <f>"3300600478612"</f>
        <v>0</v>
      </c>
      <c r="F4206" t="str">
        <f>"000860"</f>
        <v>0</v>
      </c>
      <c r="G4206" t="s">
        <v>21</v>
      </c>
    </row>
    <row r="4207" spans="1:7">
      <c r="A4207">
        <v>4206</v>
      </c>
      <c r="B4207" t="str">
        <f>"022714"</f>
        <v>0</v>
      </c>
      <c r="C4207" t="s">
        <v>7003</v>
      </c>
      <c r="D4207" t="s">
        <v>7004</v>
      </c>
      <c r="E4207" t="str">
        <f>"3130700347376"</f>
        <v>0</v>
      </c>
      <c r="F4207" t="str">
        <f>"000860"</f>
        <v>0</v>
      </c>
      <c r="G4207" t="s">
        <v>21</v>
      </c>
    </row>
    <row r="4208" spans="1:7">
      <c r="A4208">
        <v>4207</v>
      </c>
      <c r="B4208" t="str">
        <f>"022718"</f>
        <v>0</v>
      </c>
      <c r="C4208" t="s">
        <v>7005</v>
      </c>
      <c r="D4208" t="s">
        <v>7006</v>
      </c>
      <c r="E4208" t="str">
        <f>"3309900618493"</f>
        <v>0</v>
      </c>
      <c r="F4208" t="str">
        <f>"000860"</f>
        <v>0</v>
      </c>
      <c r="G4208" t="s">
        <v>21</v>
      </c>
    </row>
    <row r="4209" spans="1:7">
      <c r="A4209">
        <v>4208</v>
      </c>
      <c r="B4209" t="str">
        <f>"022758"</f>
        <v>0</v>
      </c>
      <c r="C4209" t="s">
        <v>2298</v>
      </c>
      <c r="D4209" t="s">
        <v>7007</v>
      </c>
      <c r="E4209" t="str">
        <f>"3360700112580"</f>
        <v>0</v>
      </c>
      <c r="F4209" t="str">
        <f>"000860"</f>
        <v>0</v>
      </c>
      <c r="G4209" t="s">
        <v>21</v>
      </c>
    </row>
    <row r="4210" spans="1:7">
      <c r="A4210">
        <v>4209</v>
      </c>
      <c r="B4210" t="str">
        <f>"022966"</f>
        <v>0</v>
      </c>
      <c r="C4210" t="s">
        <v>7008</v>
      </c>
      <c r="D4210" t="s">
        <v>7009</v>
      </c>
      <c r="E4210" t="str">
        <f>"1300200013497"</f>
        <v>0</v>
      </c>
      <c r="F4210" t="str">
        <f>"000860"</f>
        <v>0</v>
      </c>
      <c r="G4210" t="s">
        <v>21</v>
      </c>
    </row>
    <row r="4211" spans="1:7">
      <c r="A4211">
        <v>4210</v>
      </c>
      <c r="B4211" t="str">
        <f>"022967"</f>
        <v>0</v>
      </c>
      <c r="C4211" t="s">
        <v>7010</v>
      </c>
      <c r="D4211" t="s">
        <v>7011</v>
      </c>
      <c r="E4211" t="str">
        <f>"3420900210193"</f>
        <v>0</v>
      </c>
      <c r="F4211" t="str">
        <f>"000860"</f>
        <v>0</v>
      </c>
      <c r="G4211" t="s">
        <v>21</v>
      </c>
    </row>
    <row r="4212" spans="1:7">
      <c r="A4212">
        <v>4211</v>
      </c>
      <c r="B4212" t="str">
        <f>"023057"</f>
        <v>0</v>
      </c>
      <c r="C4212" t="s">
        <v>6192</v>
      </c>
      <c r="D4212" t="s">
        <v>7012</v>
      </c>
      <c r="E4212" t="str">
        <f>"3300200639538"</f>
        <v>0</v>
      </c>
      <c r="F4212" t="str">
        <f>"000860"</f>
        <v>0</v>
      </c>
      <c r="G4212" t="s">
        <v>21</v>
      </c>
    </row>
    <row r="4213" spans="1:7">
      <c r="A4213">
        <v>4212</v>
      </c>
      <c r="B4213" t="str">
        <f>"023143"</f>
        <v>0</v>
      </c>
      <c r="C4213" t="s">
        <v>7013</v>
      </c>
      <c r="D4213" t="s">
        <v>7014</v>
      </c>
      <c r="E4213" t="str">
        <f>"3300600443657"</f>
        <v>0</v>
      </c>
      <c r="F4213" t="str">
        <f>"000860"</f>
        <v>0</v>
      </c>
      <c r="G4213" t="s">
        <v>21</v>
      </c>
    </row>
    <row r="4214" spans="1:7">
      <c r="A4214">
        <v>4213</v>
      </c>
      <c r="B4214" t="str">
        <f>"023145"</f>
        <v>0</v>
      </c>
      <c r="C4214" t="s">
        <v>7015</v>
      </c>
      <c r="D4214" t="s">
        <v>7016</v>
      </c>
      <c r="E4214" t="str">
        <f>"3300200550812"</f>
        <v>0</v>
      </c>
      <c r="F4214" t="str">
        <f>"000860"</f>
        <v>0</v>
      </c>
      <c r="G4214" t="s">
        <v>21</v>
      </c>
    </row>
    <row r="4215" spans="1:7">
      <c r="A4215">
        <v>4214</v>
      </c>
      <c r="B4215" t="str">
        <f>"023254"</f>
        <v>0</v>
      </c>
      <c r="C4215" t="s">
        <v>1597</v>
      </c>
      <c r="D4215" t="s">
        <v>7017</v>
      </c>
      <c r="E4215" t="str">
        <f>"1302300003797"</f>
        <v>0</v>
      </c>
      <c r="F4215" t="str">
        <f>"000860"</f>
        <v>0</v>
      </c>
      <c r="G4215" t="s">
        <v>21</v>
      </c>
    </row>
    <row r="4216" spans="1:7">
      <c r="A4216">
        <v>4215</v>
      </c>
      <c r="B4216" t="str">
        <f>"023340"</f>
        <v>0</v>
      </c>
      <c r="C4216" t="s">
        <v>7018</v>
      </c>
      <c r="D4216" t="s">
        <v>7019</v>
      </c>
      <c r="E4216" t="str">
        <f>"3301500891853"</f>
        <v>0</v>
      </c>
      <c r="F4216" t="str">
        <f>"000860"</f>
        <v>0</v>
      </c>
      <c r="G4216" t="s">
        <v>21</v>
      </c>
    </row>
    <row r="4217" spans="1:7">
      <c r="A4217">
        <v>4216</v>
      </c>
      <c r="B4217" t="str">
        <f>"023534"</f>
        <v>0</v>
      </c>
      <c r="C4217" t="s">
        <v>7020</v>
      </c>
      <c r="D4217" t="s">
        <v>7021</v>
      </c>
      <c r="E4217" t="str">
        <f>"3230500126260"</f>
        <v>0</v>
      </c>
      <c r="F4217" t="str">
        <f>"000860"</f>
        <v>0</v>
      </c>
      <c r="G4217" t="s">
        <v>21</v>
      </c>
    </row>
    <row r="4218" spans="1:7">
      <c r="A4218">
        <v>4217</v>
      </c>
      <c r="B4218" t="str">
        <f>"023655"</f>
        <v>0</v>
      </c>
      <c r="C4218" t="s">
        <v>6589</v>
      </c>
      <c r="D4218" t="s">
        <v>7022</v>
      </c>
      <c r="E4218" t="str">
        <f>"1309800111170"</f>
        <v>0</v>
      </c>
      <c r="F4218" t="str">
        <f>"000860"</f>
        <v>0</v>
      </c>
      <c r="G4218" t="s">
        <v>21</v>
      </c>
    </row>
    <row r="4219" spans="1:7">
      <c r="A4219">
        <v>4218</v>
      </c>
      <c r="B4219" t="str">
        <f>"023673"</f>
        <v>0</v>
      </c>
      <c r="C4219" t="s">
        <v>7023</v>
      </c>
      <c r="D4219" t="s">
        <v>7024</v>
      </c>
      <c r="E4219" t="str">
        <f>"3480700245121"</f>
        <v>0</v>
      </c>
      <c r="F4219" t="str">
        <f>"000860"</f>
        <v>0</v>
      </c>
      <c r="G4219" t="s">
        <v>21</v>
      </c>
    </row>
    <row r="4220" spans="1:7">
      <c r="A4220">
        <v>4219</v>
      </c>
      <c r="B4220" t="str">
        <f>"023685"</f>
        <v>0</v>
      </c>
      <c r="C4220" t="s">
        <v>4607</v>
      </c>
      <c r="D4220" t="s">
        <v>7025</v>
      </c>
      <c r="E4220" t="str">
        <f>"3300100771612"</f>
        <v>0</v>
      </c>
      <c r="F4220" t="str">
        <f>"000860"</f>
        <v>0</v>
      </c>
      <c r="G4220" t="s">
        <v>21</v>
      </c>
    </row>
    <row r="4221" spans="1:7">
      <c r="A4221">
        <v>4220</v>
      </c>
      <c r="B4221" t="str">
        <f>"023705"</f>
        <v>0</v>
      </c>
      <c r="C4221" t="s">
        <v>7026</v>
      </c>
      <c r="D4221" t="s">
        <v>7027</v>
      </c>
      <c r="E4221" t="str">
        <f>"3300100022962"</f>
        <v>0</v>
      </c>
      <c r="F4221" t="str">
        <f>"000860"</f>
        <v>0</v>
      </c>
      <c r="G4221" t="s">
        <v>21</v>
      </c>
    </row>
    <row r="4222" spans="1:7">
      <c r="A4222">
        <v>4221</v>
      </c>
      <c r="B4222" t="str">
        <f>"023771"</f>
        <v>0</v>
      </c>
      <c r="C4222" t="s">
        <v>5693</v>
      </c>
      <c r="D4222" t="s">
        <v>7028</v>
      </c>
      <c r="E4222" t="str">
        <f>"3300700418506"</f>
        <v>0</v>
      </c>
      <c r="F4222" t="str">
        <f>"000860"</f>
        <v>0</v>
      </c>
      <c r="G4222" t="s">
        <v>21</v>
      </c>
    </row>
    <row r="4223" spans="1:7">
      <c r="A4223">
        <v>4222</v>
      </c>
      <c r="B4223" t="str">
        <f>"023828"</f>
        <v>0</v>
      </c>
      <c r="C4223" t="s">
        <v>2113</v>
      </c>
      <c r="D4223" t="s">
        <v>7029</v>
      </c>
      <c r="E4223" t="str">
        <f>"1301200027430"</f>
        <v>0</v>
      </c>
      <c r="F4223" t="str">
        <f>"000860"</f>
        <v>0</v>
      </c>
      <c r="G4223" t="s">
        <v>21</v>
      </c>
    </row>
    <row r="4224" spans="1:7">
      <c r="A4224">
        <v>4223</v>
      </c>
      <c r="B4224" t="str">
        <f>"023930"</f>
        <v>0</v>
      </c>
      <c r="C4224" t="s">
        <v>56</v>
      </c>
      <c r="D4224" t="s">
        <v>7030</v>
      </c>
      <c r="E4224" t="str">
        <f>"3469900366779"</f>
        <v>0</v>
      </c>
      <c r="F4224" t="str">
        <f>"000860"</f>
        <v>0</v>
      </c>
      <c r="G4224" t="s">
        <v>21</v>
      </c>
    </row>
    <row r="4225" spans="1:7">
      <c r="A4225">
        <v>4224</v>
      </c>
      <c r="B4225" t="str">
        <f>"024260"</f>
        <v>0</v>
      </c>
      <c r="C4225" t="s">
        <v>7031</v>
      </c>
      <c r="D4225" t="s">
        <v>7032</v>
      </c>
      <c r="E4225" t="str">
        <f>"3301500362851"</f>
        <v>0</v>
      </c>
      <c r="F4225" t="str">
        <f>"000860"</f>
        <v>0</v>
      </c>
      <c r="G4225" t="s">
        <v>21</v>
      </c>
    </row>
    <row r="4226" spans="1:7">
      <c r="A4226">
        <v>4225</v>
      </c>
      <c r="B4226" t="str">
        <f>"024413"</f>
        <v>0</v>
      </c>
      <c r="C4226" t="s">
        <v>7033</v>
      </c>
      <c r="D4226" t="s">
        <v>7034</v>
      </c>
      <c r="E4226" t="str">
        <f>"3470400014697"</f>
        <v>0</v>
      </c>
      <c r="F4226" t="str">
        <f>"000860"</f>
        <v>0</v>
      </c>
      <c r="G4226" t="s">
        <v>21</v>
      </c>
    </row>
    <row r="4227" spans="1:7">
      <c r="A4227">
        <v>4226</v>
      </c>
      <c r="B4227" t="str">
        <f>"024554"</f>
        <v>0</v>
      </c>
      <c r="C4227" t="s">
        <v>7035</v>
      </c>
      <c r="D4227" t="s">
        <v>7036</v>
      </c>
      <c r="E4227" t="str">
        <f>"3301401096621"</f>
        <v>0</v>
      </c>
      <c r="F4227" t="str">
        <f>"000860"</f>
        <v>0</v>
      </c>
      <c r="G4227" t="s">
        <v>21</v>
      </c>
    </row>
    <row r="4228" spans="1:7">
      <c r="A4228">
        <v>4227</v>
      </c>
      <c r="B4228" t="str">
        <f>"024555"</f>
        <v>0</v>
      </c>
      <c r="C4228" t="s">
        <v>7037</v>
      </c>
      <c r="D4228" t="s">
        <v>7038</v>
      </c>
      <c r="E4228" t="str">
        <f>"1301500085486"</f>
        <v>0</v>
      </c>
      <c r="F4228" t="str">
        <f>"000860"</f>
        <v>0</v>
      </c>
      <c r="G4228" t="s">
        <v>21</v>
      </c>
    </row>
    <row r="4229" spans="1:7">
      <c r="A4229">
        <v>4228</v>
      </c>
      <c r="B4229" t="str">
        <f>"024614"</f>
        <v>0</v>
      </c>
      <c r="C4229" t="s">
        <v>7039</v>
      </c>
      <c r="D4229" t="s">
        <v>7040</v>
      </c>
      <c r="E4229" t="str">
        <f>"1309900247529"</f>
        <v>0</v>
      </c>
      <c r="F4229" t="str">
        <f>"000860"</f>
        <v>0</v>
      </c>
      <c r="G4229" t="s">
        <v>21</v>
      </c>
    </row>
    <row r="4230" spans="1:7">
      <c r="A4230">
        <v>4229</v>
      </c>
      <c r="B4230" t="str">
        <f>"024771"</f>
        <v>0</v>
      </c>
      <c r="C4230" t="s">
        <v>7041</v>
      </c>
      <c r="D4230" t="s">
        <v>7007</v>
      </c>
      <c r="E4230" t="str">
        <f>"1309900515787"</f>
        <v>0</v>
      </c>
      <c r="F4230" t="str">
        <f>"000860"</f>
        <v>0</v>
      </c>
      <c r="G4230" t="s">
        <v>21</v>
      </c>
    </row>
    <row r="4231" spans="1:7">
      <c r="A4231">
        <v>4230</v>
      </c>
      <c r="B4231" t="str">
        <f>"024772"</f>
        <v>0</v>
      </c>
      <c r="C4231" t="s">
        <v>734</v>
      </c>
      <c r="D4231" t="s">
        <v>7042</v>
      </c>
      <c r="E4231" t="str">
        <f>"3300101648938"</f>
        <v>0</v>
      </c>
      <c r="F4231" t="str">
        <f>"000860"</f>
        <v>0</v>
      </c>
      <c r="G4231" t="s">
        <v>21</v>
      </c>
    </row>
    <row r="4232" spans="1:7">
      <c r="A4232">
        <v>4231</v>
      </c>
      <c r="B4232" t="str">
        <f>"024791"</f>
        <v>0</v>
      </c>
      <c r="C4232" t="s">
        <v>7043</v>
      </c>
      <c r="D4232" t="s">
        <v>7044</v>
      </c>
      <c r="E4232" t="str">
        <f>"3302000680609"</f>
        <v>0</v>
      </c>
      <c r="F4232" t="str">
        <f>"000860"</f>
        <v>0</v>
      </c>
      <c r="G4232" t="s">
        <v>21</v>
      </c>
    </row>
    <row r="4233" spans="1:7">
      <c r="A4233">
        <v>4232</v>
      </c>
      <c r="B4233" t="str">
        <f>"024941"</f>
        <v>0</v>
      </c>
      <c r="C4233" t="s">
        <v>7045</v>
      </c>
      <c r="D4233" t="s">
        <v>7046</v>
      </c>
      <c r="E4233" t="str">
        <f>"3309900676221"</f>
        <v>0</v>
      </c>
      <c r="F4233" t="str">
        <f>"000860"</f>
        <v>0</v>
      </c>
      <c r="G4233" t="s">
        <v>21</v>
      </c>
    </row>
    <row r="4234" spans="1:7">
      <c r="A4234">
        <v>4233</v>
      </c>
      <c r="B4234" t="str">
        <f>"024942"</f>
        <v>0</v>
      </c>
      <c r="C4234" t="s">
        <v>7047</v>
      </c>
      <c r="D4234" t="s">
        <v>7048</v>
      </c>
      <c r="E4234" t="str">
        <f>"3310500121224"</f>
        <v>0</v>
      </c>
      <c r="F4234" t="str">
        <f>"000860"</f>
        <v>0</v>
      </c>
      <c r="G4234" t="s">
        <v>21</v>
      </c>
    </row>
    <row r="4235" spans="1:7">
      <c r="A4235">
        <v>4234</v>
      </c>
      <c r="B4235" t="str">
        <f>"025070"</f>
        <v>0</v>
      </c>
      <c r="C4235" t="s">
        <v>7049</v>
      </c>
      <c r="D4235" t="s">
        <v>7050</v>
      </c>
      <c r="E4235" t="str">
        <f>"3300700044541"</f>
        <v>0</v>
      </c>
      <c r="F4235" t="str">
        <f>"000860"</f>
        <v>0</v>
      </c>
      <c r="G4235" t="s">
        <v>21</v>
      </c>
    </row>
    <row r="4236" spans="1:7">
      <c r="A4236">
        <v>4235</v>
      </c>
      <c r="B4236" t="str">
        <f>"025107"</f>
        <v>0</v>
      </c>
      <c r="C4236" t="s">
        <v>7051</v>
      </c>
      <c r="D4236" t="s">
        <v>7052</v>
      </c>
      <c r="E4236" t="str">
        <f>"3301800452961"</f>
        <v>0</v>
      </c>
      <c r="F4236" t="str">
        <f>"000860"</f>
        <v>0</v>
      </c>
      <c r="G4236" t="s">
        <v>21</v>
      </c>
    </row>
    <row r="4237" spans="1:7">
      <c r="A4237">
        <v>4236</v>
      </c>
      <c r="B4237" t="str">
        <f>"025108"</f>
        <v>0</v>
      </c>
      <c r="C4237" t="s">
        <v>7053</v>
      </c>
      <c r="D4237" t="s">
        <v>7054</v>
      </c>
      <c r="E4237" t="str">
        <f>"1101400319851"</f>
        <v>0</v>
      </c>
      <c r="F4237" t="str">
        <f>"000860"</f>
        <v>0</v>
      </c>
      <c r="G4237" t="s">
        <v>21</v>
      </c>
    </row>
    <row r="4238" spans="1:7">
      <c r="A4238">
        <v>4237</v>
      </c>
      <c r="B4238" t="str">
        <f>"025191"</f>
        <v>0</v>
      </c>
      <c r="C4238" t="s">
        <v>7055</v>
      </c>
      <c r="D4238" t="s">
        <v>7056</v>
      </c>
      <c r="E4238" t="str">
        <f>"3660500134307"</f>
        <v>0</v>
      </c>
      <c r="F4238" t="str">
        <f>"000860"</f>
        <v>0</v>
      </c>
      <c r="G4238" t="s">
        <v>21</v>
      </c>
    </row>
    <row r="4239" spans="1:7">
      <c r="A4239">
        <v>4238</v>
      </c>
      <c r="B4239" t="str">
        <f>"025271"</f>
        <v>0</v>
      </c>
      <c r="C4239" t="s">
        <v>7057</v>
      </c>
      <c r="D4239" t="s">
        <v>7058</v>
      </c>
      <c r="E4239" t="str">
        <f>"3410800015151"</f>
        <v>0</v>
      </c>
      <c r="F4239" t="str">
        <f>"000860"</f>
        <v>0</v>
      </c>
      <c r="G4239" t="s">
        <v>21</v>
      </c>
    </row>
    <row r="4240" spans="1:7">
      <c r="A4240">
        <v>4239</v>
      </c>
      <c r="B4240" t="str">
        <f>"025468"</f>
        <v>0</v>
      </c>
      <c r="C4240" t="s">
        <v>7059</v>
      </c>
      <c r="D4240" t="s">
        <v>7060</v>
      </c>
      <c r="E4240" t="str">
        <f>"1659900044005"</f>
        <v>0</v>
      </c>
      <c r="F4240" t="str">
        <f>"000860"</f>
        <v>0</v>
      </c>
      <c r="G4240" t="s">
        <v>21</v>
      </c>
    </row>
    <row r="4241" spans="1:7">
      <c r="A4241">
        <v>4240</v>
      </c>
      <c r="B4241" t="str">
        <f>"025594"</f>
        <v>0</v>
      </c>
      <c r="C4241" t="s">
        <v>1720</v>
      </c>
      <c r="D4241" t="s">
        <v>7061</v>
      </c>
      <c r="E4241" t="str">
        <f>"3300900353980"</f>
        <v>0</v>
      </c>
      <c r="F4241" t="str">
        <f>"000860"</f>
        <v>0</v>
      </c>
      <c r="G4241" t="s">
        <v>21</v>
      </c>
    </row>
    <row r="4242" spans="1:7">
      <c r="A4242">
        <v>4241</v>
      </c>
      <c r="B4242" t="str">
        <f>"025595"</f>
        <v>0</v>
      </c>
      <c r="C4242" t="s">
        <v>7062</v>
      </c>
      <c r="D4242" t="s">
        <v>7063</v>
      </c>
      <c r="E4242" t="str">
        <f>"1300800169269"</f>
        <v>0</v>
      </c>
      <c r="F4242" t="str">
        <f>"000860"</f>
        <v>0</v>
      </c>
      <c r="G4242" t="s">
        <v>21</v>
      </c>
    </row>
    <row r="4243" spans="1:7">
      <c r="A4243">
        <v>4242</v>
      </c>
      <c r="B4243" t="str">
        <f>"025597"</f>
        <v>0</v>
      </c>
      <c r="C4243" t="s">
        <v>7064</v>
      </c>
      <c r="D4243" t="s">
        <v>7065</v>
      </c>
      <c r="E4243" t="str">
        <f>"1309900057908"</f>
        <v>0</v>
      </c>
      <c r="F4243" t="str">
        <f>"000860"</f>
        <v>0</v>
      </c>
      <c r="G4243" t="s">
        <v>21</v>
      </c>
    </row>
    <row r="4244" spans="1:7">
      <c r="A4244">
        <v>4243</v>
      </c>
      <c r="B4244" t="str">
        <f>"025609"</f>
        <v>0</v>
      </c>
      <c r="C4244" t="s">
        <v>5307</v>
      </c>
      <c r="D4244" t="s">
        <v>7066</v>
      </c>
      <c r="E4244" t="str">
        <f>"3309600005607"</f>
        <v>0</v>
      </c>
      <c r="F4244" t="str">
        <f>"000860"</f>
        <v>0</v>
      </c>
      <c r="G4244" t="s">
        <v>21</v>
      </c>
    </row>
    <row r="4245" spans="1:7">
      <c r="A4245">
        <v>4244</v>
      </c>
      <c r="B4245" t="str">
        <f>"025783"</f>
        <v>0</v>
      </c>
      <c r="C4245" t="s">
        <v>7067</v>
      </c>
      <c r="D4245" t="s">
        <v>7068</v>
      </c>
      <c r="E4245" t="str">
        <f>"1309900024244"</f>
        <v>0</v>
      </c>
      <c r="F4245" t="str">
        <f>"000860"</f>
        <v>0</v>
      </c>
      <c r="G4245" t="s">
        <v>21</v>
      </c>
    </row>
    <row r="4246" spans="1:7">
      <c r="A4246">
        <v>4245</v>
      </c>
      <c r="B4246" t="str">
        <f>"025855"</f>
        <v>0</v>
      </c>
      <c r="C4246" t="s">
        <v>7069</v>
      </c>
      <c r="D4246" t="s">
        <v>7070</v>
      </c>
      <c r="E4246" t="str">
        <f>"3301000360930"</f>
        <v>0</v>
      </c>
      <c r="F4246" t="str">
        <f>"000860"</f>
        <v>0</v>
      </c>
      <c r="G4246" t="s">
        <v>21</v>
      </c>
    </row>
    <row r="4247" spans="1:7">
      <c r="A4247">
        <v>4246</v>
      </c>
      <c r="B4247" t="str">
        <f>"025889"</f>
        <v>0</v>
      </c>
      <c r="C4247" t="s">
        <v>7071</v>
      </c>
      <c r="D4247" t="s">
        <v>7072</v>
      </c>
      <c r="E4247" t="str">
        <f>"1300300001148"</f>
        <v>0</v>
      </c>
      <c r="F4247" t="str">
        <f>"000860"</f>
        <v>0</v>
      </c>
      <c r="G4247" t="s">
        <v>21</v>
      </c>
    </row>
    <row r="4248" spans="1:7">
      <c r="A4248">
        <v>4247</v>
      </c>
      <c r="B4248" t="str">
        <f>"025892"</f>
        <v>0</v>
      </c>
      <c r="C4248" t="s">
        <v>7073</v>
      </c>
      <c r="D4248" t="s">
        <v>7074</v>
      </c>
      <c r="E4248" t="str">
        <f>"1101400487568"</f>
        <v>0</v>
      </c>
      <c r="F4248" t="str">
        <f>"000860"</f>
        <v>0</v>
      </c>
      <c r="G4248" t="s">
        <v>21</v>
      </c>
    </row>
    <row r="4249" spans="1:7">
      <c r="A4249">
        <v>4248</v>
      </c>
      <c r="B4249" t="str">
        <f>"025971"</f>
        <v>0</v>
      </c>
      <c r="C4249" t="s">
        <v>7075</v>
      </c>
      <c r="D4249" t="s">
        <v>7076</v>
      </c>
      <c r="E4249" t="str">
        <f>"1309900367842"</f>
        <v>0</v>
      </c>
      <c r="F4249" t="str">
        <f>"000860"</f>
        <v>0</v>
      </c>
      <c r="G4249" t="s">
        <v>21</v>
      </c>
    </row>
    <row r="4250" spans="1:7">
      <c r="A4250">
        <v>4249</v>
      </c>
      <c r="B4250" t="str">
        <f>"026131"</f>
        <v>0</v>
      </c>
      <c r="C4250" t="s">
        <v>3212</v>
      </c>
      <c r="D4250" t="s">
        <v>7077</v>
      </c>
      <c r="E4250" t="str">
        <f>"1301700186286"</f>
        <v>0</v>
      </c>
      <c r="F4250" t="str">
        <f>"000860"</f>
        <v>0</v>
      </c>
      <c r="G4250" t="s">
        <v>21</v>
      </c>
    </row>
    <row r="4251" spans="1:7">
      <c r="A4251">
        <v>4250</v>
      </c>
      <c r="B4251" t="str">
        <f>"026333"</f>
        <v>0</v>
      </c>
      <c r="C4251" t="s">
        <v>3949</v>
      </c>
      <c r="D4251" t="s">
        <v>7078</v>
      </c>
      <c r="E4251" t="str">
        <f>"1369900087432"</f>
        <v>0</v>
      </c>
      <c r="F4251" t="str">
        <f>"000860"</f>
        <v>0</v>
      </c>
      <c r="G4251" t="s">
        <v>21</v>
      </c>
    </row>
    <row r="4252" spans="1:7">
      <c r="A4252">
        <v>4251</v>
      </c>
      <c r="B4252" t="str">
        <f>"026574"</f>
        <v>0</v>
      </c>
      <c r="C4252" t="s">
        <v>7079</v>
      </c>
      <c r="D4252" t="s">
        <v>7080</v>
      </c>
      <c r="E4252" t="str">
        <f>"5301590005366"</f>
        <v>0</v>
      </c>
      <c r="F4252" t="str">
        <f>"000860"</f>
        <v>0</v>
      </c>
      <c r="G4252" t="s">
        <v>21</v>
      </c>
    </row>
    <row r="4253" spans="1:7">
      <c r="A4253">
        <v>4252</v>
      </c>
      <c r="B4253" t="str">
        <f>"026637"</f>
        <v>0</v>
      </c>
      <c r="C4253" t="s">
        <v>7081</v>
      </c>
      <c r="D4253" t="s">
        <v>7082</v>
      </c>
      <c r="E4253" t="str">
        <f>"1100701225693"</f>
        <v>0</v>
      </c>
      <c r="F4253" t="str">
        <f>"000860"</f>
        <v>0</v>
      </c>
      <c r="G4253" t="s">
        <v>21</v>
      </c>
    </row>
    <row r="4254" spans="1:7">
      <c r="A4254">
        <v>4253</v>
      </c>
      <c r="B4254" t="str">
        <f>"026707"</f>
        <v>0</v>
      </c>
      <c r="C4254" t="s">
        <v>7083</v>
      </c>
      <c r="D4254" t="s">
        <v>7084</v>
      </c>
      <c r="E4254" t="str">
        <f>"3301200131624"</f>
        <v>0</v>
      </c>
      <c r="F4254" t="str">
        <f>"000860"</f>
        <v>0</v>
      </c>
      <c r="G4254" t="s">
        <v>21</v>
      </c>
    </row>
    <row r="4255" spans="1:7">
      <c r="A4255">
        <v>4254</v>
      </c>
      <c r="B4255" t="str">
        <f>"026708"</f>
        <v>0</v>
      </c>
      <c r="C4255" t="s">
        <v>7085</v>
      </c>
      <c r="D4255" t="s">
        <v>7086</v>
      </c>
      <c r="E4255" t="str">
        <f>"3300101645661"</f>
        <v>0</v>
      </c>
      <c r="F4255" t="str">
        <f>"000860"</f>
        <v>0</v>
      </c>
      <c r="G4255" t="s">
        <v>21</v>
      </c>
    </row>
    <row r="4256" spans="1:7">
      <c r="A4256">
        <v>4255</v>
      </c>
      <c r="B4256" t="str">
        <f>"026710"</f>
        <v>0</v>
      </c>
      <c r="C4256" t="s">
        <v>7087</v>
      </c>
      <c r="D4256" t="s">
        <v>7088</v>
      </c>
      <c r="E4256" t="str">
        <f>"1301000085886"</f>
        <v>0</v>
      </c>
      <c r="F4256" t="str">
        <f>"000860"</f>
        <v>0</v>
      </c>
      <c r="G4256" t="s">
        <v>21</v>
      </c>
    </row>
    <row r="4257" spans="1:7">
      <c r="A4257">
        <v>4256</v>
      </c>
      <c r="B4257" t="str">
        <f>"026711"</f>
        <v>0</v>
      </c>
      <c r="C4257" t="s">
        <v>3256</v>
      </c>
      <c r="D4257" t="s">
        <v>7089</v>
      </c>
      <c r="E4257" t="str">
        <f>"1309700004029"</f>
        <v>0</v>
      </c>
      <c r="F4257" t="str">
        <f>"000860"</f>
        <v>0</v>
      </c>
      <c r="G4257" t="s">
        <v>21</v>
      </c>
    </row>
    <row r="4258" spans="1:7">
      <c r="A4258">
        <v>4257</v>
      </c>
      <c r="B4258" t="str">
        <f>"026713"</f>
        <v>0</v>
      </c>
      <c r="C4258" t="s">
        <v>7090</v>
      </c>
      <c r="D4258" t="s">
        <v>7091</v>
      </c>
      <c r="E4258" t="str">
        <f>"3300800937114"</f>
        <v>0</v>
      </c>
      <c r="F4258" t="str">
        <f>"000860"</f>
        <v>0</v>
      </c>
      <c r="G4258" t="s">
        <v>21</v>
      </c>
    </row>
    <row r="4259" spans="1:7">
      <c r="A4259">
        <v>4258</v>
      </c>
      <c r="B4259" t="str">
        <f>"027347"</f>
        <v>0</v>
      </c>
      <c r="C4259" t="s">
        <v>1938</v>
      </c>
      <c r="D4259" t="s">
        <v>7092</v>
      </c>
      <c r="E4259" t="str">
        <f>"3301200665891"</f>
        <v>0</v>
      </c>
      <c r="F4259" t="str">
        <f>"000860"</f>
        <v>0</v>
      </c>
      <c r="G4259" t="s">
        <v>21</v>
      </c>
    </row>
    <row r="4260" spans="1:7">
      <c r="A4260">
        <v>4259</v>
      </c>
      <c r="B4260" t="str">
        <f>"027349"</f>
        <v>0</v>
      </c>
      <c r="C4260" t="s">
        <v>5073</v>
      </c>
      <c r="D4260" t="s">
        <v>7093</v>
      </c>
      <c r="E4260" t="str">
        <f>"1309900281336"</f>
        <v>0</v>
      </c>
      <c r="F4260" t="str">
        <f>"000860"</f>
        <v>0</v>
      </c>
      <c r="G4260" t="s">
        <v>21</v>
      </c>
    </row>
    <row r="4261" spans="1:7">
      <c r="A4261">
        <v>4260</v>
      </c>
      <c r="B4261" t="str">
        <f>"027350"</f>
        <v>0</v>
      </c>
      <c r="C4261" t="s">
        <v>7094</v>
      </c>
      <c r="D4261" t="s">
        <v>7095</v>
      </c>
      <c r="E4261" t="str">
        <f>"1300900155111"</f>
        <v>0</v>
      </c>
      <c r="F4261" t="str">
        <f>"000860"</f>
        <v>0</v>
      </c>
      <c r="G4261" t="s">
        <v>21</v>
      </c>
    </row>
    <row r="4262" spans="1:7">
      <c r="A4262">
        <v>4261</v>
      </c>
      <c r="B4262" t="str">
        <f>"027351"</f>
        <v>0</v>
      </c>
      <c r="C4262" t="s">
        <v>7096</v>
      </c>
      <c r="D4262" t="s">
        <v>7097</v>
      </c>
      <c r="E4262" t="str">
        <f>"1301300164366"</f>
        <v>0</v>
      </c>
      <c r="F4262" t="str">
        <f>"000860"</f>
        <v>0</v>
      </c>
      <c r="G4262" t="s">
        <v>21</v>
      </c>
    </row>
    <row r="4263" spans="1:7">
      <c r="A4263">
        <v>4262</v>
      </c>
      <c r="B4263" t="str">
        <f>"027353"</f>
        <v>0</v>
      </c>
      <c r="C4263" t="s">
        <v>7098</v>
      </c>
      <c r="D4263" t="s">
        <v>7099</v>
      </c>
      <c r="E4263" t="str">
        <f>"1470400141234"</f>
        <v>0</v>
      </c>
      <c r="F4263" t="str">
        <f>"000860"</f>
        <v>0</v>
      </c>
      <c r="G4263" t="s">
        <v>21</v>
      </c>
    </row>
    <row r="4264" spans="1:7">
      <c r="A4264">
        <v>4263</v>
      </c>
      <c r="B4264" t="str">
        <f>"027355"</f>
        <v>0</v>
      </c>
      <c r="C4264" t="s">
        <v>7100</v>
      </c>
      <c r="D4264" t="s">
        <v>7101</v>
      </c>
      <c r="E4264" t="str">
        <f>"1301700211507"</f>
        <v>0</v>
      </c>
      <c r="F4264" t="str">
        <f>"000860"</f>
        <v>0</v>
      </c>
      <c r="G4264" t="s">
        <v>21</v>
      </c>
    </row>
    <row r="4265" spans="1:7">
      <c r="A4265">
        <v>4264</v>
      </c>
      <c r="B4265" t="str">
        <f>"027356"</f>
        <v>0</v>
      </c>
      <c r="C4265" t="s">
        <v>993</v>
      </c>
      <c r="D4265" t="s">
        <v>7102</v>
      </c>
      <c r="E4265" t="str">
        <f>"1309901105710"</f>
        <v>0</v>
      </c>
      <c r="F4265" t="str">
        <f>"000860"</f>
        <v>0</v>
      </c>
      <c r="G4265" t="s">
        <v>21</v>
      </c>
    </row>
    <row r="4266" spans="1:7">
      <c r="A4266">
        <v>4265</v>
      </c>
      <c r="B4266" t="str">
        <f>"027357"</f>
        <v>0</v>
      </c>
      <c r="C4266" t="s">
        <v>1097</v>
      </c>
      <c r="D4266" t="s">
        <v>7103</v>
      </c>
      <c r="E4266" t="str">
        <f>"1300400017682"</f>
        <v>0</v>
      </c>
      <c r="F4266" t="str">
        <f>"000860"</f>
        <v>0</v>
      </c>
      <c r="G4266" t="s">
        <v>21</v>
      </c>
    </row>
    <row r="4267" spans="1:7">
      <c r="A4267">
        <v>4266</v>
      </c>
      <c r="B4267" t="str">
        <f>"027503"</f>
        <v>0</v>
      </c>
      <c r="C4267" t="s">
        <v>7104</v>
      </c>
      <c r="D4267" t="s">
        <v>7105</v>
      </c>
      <c r="E4267" t="str">
        <f>"1460100166703"</f>
        <v>0</v>
      </c>
      <c r="F4267" t="str">
        <f>"000860"</f>
        <v>0</v>
      </c>
      <c r="G4267" t="s">
        <v>21</v>
      </c>
    </row>
    <row r="4268" spans="1:7">
      <c r="A4268">
        <v>4267</v>
      </c>
      <c r="B4268" t="str">
        <f>"009519"</f>
        <v>0</v>
      </c>
      <c r="C4268" t="s">
        <v>7106</v>
      </c>
      <c r="D4268" t="s">
        <v>7107</v>
      </c>
      <c r="E4268" t="str">
        <f>"3589900051661"</f>
        <v>0</v>
      </c>
      <c r="F4268" t="str">
        <f>"000860"</f>
        <v>0</v>
      </c>
      <c r="G4268" t="s">
        <v>21</v>
      </c>
    </row>
    <row r="4269" spans="1:7">
      <c r="A4269">
        <v>4268</v>
      </c>
      <c r="B4269" t="str">
        <f>"022167"</f>
        <v>0</v>
      </c>
      <c r="C4269" t="s">
        <v>1597</v>
      </c>
      <c r="D4269" t="s">
        <v>7108</v>
      </c>
      <c r="E4269" t="str">
        <f>"3309901344265"</f>
        <v>0</v>
      </c>
      <c r="F4269" t="str">
        <f>"000860"</f>
        <v>0</v>
      </c>
      <c r="G4269" t="s">
        <v>21</v>
      </c>
    </row>
    <row r="4270" spans="1:7">
      <c r="A4270">
        <v>4269</v>
      </c>
      <c r="B4270" t="str">
        <f>"024209"</f>
        <v>0</v>
      </c>
      <c r="C4270" t="s">
        <v>4761</v>
      </c>
      <c r="D4270" t="s">
        <v>7109</v>
      </c>
      <c r="E4270" t="str">
        <f>"3319900123851"</f>
        <v>0</v>
      </c>
      <c r="F4270" t="str">
        <f>"000860"</f>
        <v>0</v>
      </c>
      <c r="G4270" t="s">
        <v>21</v>
      </c>
    </row>
    <row r="4271" spans="1:7">
      <c r="A4271">
        <v>4270</v>
      </c>
      <c r="B4271" t="str">
        <f>"024160"</f>
        <v>0</v>
      </c>
      <c r="C4271" t="s">
        <v>7110</v>
      </c>
      <c r="D4271" t="s">
        <v>7111</v>
      </c>
      <c r="E4271" t="str">
        <f>"1329900098108"</f>
        <v>0</v>
      </c>
      <c r="F4271" t="str">
        <f>"000860"</f>
        <v>0</v>
      </c>
      <c r="G4271" t="s">
        <v>21</v>
      </c>
    </row>
    <row r="4272" spans="1:7">
      <c r="A4272">
        <v>4271</v>
      </c>
      <c r="B4272" t="str">
        <f>"025596"</f>
        <v>0</v>
      </c>
      <c r="C4272" t="s">
        <v>7112</v>
      </c>
      <c r="D4272" t="s">
        <v>7113</v>
      </c>
      <c r="E4272" t="str">
        <f>"3329900192160"</f>
        <v>0</v>
      </c>
      <c r="F4272" t="str">
        <f>"000860"</f>
        <v>0</v>
      </c>
      <c r="G4272" t="s">
        <v>21</v>
      </c>
    </row>
    <row r="4273" spans="1:7">
      <c r="A4273">
        <v>4272</v>
      </c>
      <c r="B4273" t="str">
        <f>"026334"</f>
        <v>0</v>
      </c>
      <c r="C4273" t="s">
        <v>1108</v>
      </c>
      <c r="D4273" t="s">
        <v>7114</v>
      </c>
      <c r="E4273" t="str">
        <f>"1329900409464"</f>
        <v>0</v>
      </c>
      <c r="F4273" t="str">
        <f>"000860"</f>
        <v>0</v>
      </c>
      <c r="G4273" t="s">
        <v>21</v>
      </c>
    </row>
    <row r="4274" spans="1:7">
      <c r="A4274">
        <v>4273</v>
      </c>
      <c r="B4274" t="str">
        <f>"026575"</f>
        <v>0</v>
      </c>
      <c r="C4274" t="s">
        <v>3000</v>
      </c>
      <c r="D4274" t="s">
        <v>7115</v>
      </c>
      <c r="E4274" t="str">
        <f>"1320900121373"</f>
        <v>0</v>
      </c>
      <c r="F4274" t="str">
        <f>"000860"</f>
        <v>0</v>
      </c>
      <c r="G4274" t="s">
        <v>21</v>
      </c>
    </row>
    <row r="4275" spans="1:7">
      <c r="A4275">
        <v>4274</v>
      </c>
      <c r="B4275" t="str">
        <f>"027354"</f>
        <v>0</v>
      </c>
      <c r="C4275" t="s">
        <v>7116</v>
      </c>
      <c r="D4275" t="s">
        <v>6324</v>
      </c>
      <c r="E4275" t="str">
        <f>"1321000072890"</f>
        <v>0</v>
      </c>
      <c r="F4275" t="str">
        <f>"000860"</f>
        <v>0</v>
      </c>
      <c r="G4275" t="s">
        <v>21</v>
      </c>
    </row>
    <row r="4276" spans="1:7">
      <c r="A4276">
        <v>4275</v>
      </c>
      <c r="B4276" t="str">
        <f>"019219"</f>
        <v>0</v>
      </c>
      <c r="C4276" t="s">
        <v>7117</v>
      </c>
      <c r="D4276" t="s">
        <v>7118</v>
      </c>
      <c r="E4276" t="str">
        <f>"4429900001001"</f>
        <v>0</v>
      </c>
      <c r="F4276" t="str">
        <f>"000860"</f>
        <v>0</v>
      </c>
      <c r="G4276" t="s">
        <v>21</v>
      </c>
    </row>
    <row r="4277" spans="1:7">
      <c r="A4277">
        <v>4276</v>
      </c>
      <c r="B4277" t="str">
        <f>"019333"</f>
        <v>0</v>
      </c>
      <c r="C4277" t="s">
        <v>344</v>
      </c>
      <c r="D4277" t="s">
        <v>7119</v>
      </c>
      <c r="E4277" t="str">
        <f>"3369900155612"</f>
        <v>0</v>
      </c>
      <c r="F4277" t="str">
        <f>"000860"</f>
        <v>0</v>
      </c>
      <c r="G4277" t="s">
        <v>21</v>
      </c>
    </row>
    <row r="4278" spans="1:7">
      <c r="A4278">
        <v>4277</v>
      </c>
      <c r="B4278" t="str">
        <f>"024129"</f>
        <v>0</v>
      </c>
      <c r="C4278" t="s">
        <v>6203</v>
      </c>
      <c r="D4278" t="s">
        <v>7120</v>
      </c>
      <c r="E4278" t="str">
        <f>"1360500007328"</f>
        <v>0</v>
      </c>
      <c r="F4278" t="str">
        <f>"000860"</f>
        <v>0</v>
      </c>
      <c r="G4278" t="s">
        <v>21</v>
      </c>
    </row>
    <row r="4279" spans="1:7">
      <c r="A4279">
        <v>4278</v>
      </c>
      <c r="B4279" t="str">
        <f>"025482"</f>
        <v>0</v>
      </c>
      <c r="C4279" t="s">
        <v>7121</v>
      </c>
      <c r="D4279" t="s">
        <v>7122</v>
      </c>
      <c r="E4279" t="str">
        <f>"3360600278257"</f>
        <v>0</v>
      </c>
      <c r="F4279" t="str">
        <f>"000860"</f>
        <v>0</v>
      </c>
      <c r="G4279" t="s">
        <v>21</v>
      </c>
    </row>
    <row r="4280" spans="1:7">
      <c r="A4280">
        <v>4279</v>
      </c>
      <c r="B4280" t="str">
        <f>"026025"</f>
        <v>0</v>
      </c>
      <c r="C4280" t="s">
        <v>7123</v>
      </c>
      <c r="D4280" t="s">
        <v>7124</v>
      </c>
      <c r="E4280" t="str">
        <f>"1369900025321"</f>
        <v>0</v>
      </c>
      <c r="F4280" t="str">
        <f>"000860"</f>
        <v>0</v>
      </c>
      <c r="G4280" t="s">
        <v>21</v>
      </c>
    </row>
    <row r="4281" spans="1:7">
      <c r="A4281">
        <v>4280</v>
      </c>
      <c r="B4281" t="str">
        <f>"026888"</f>
        <v>0</v>
      </c>
      <c r="C4281" t="s">
        <v>7125</v>
      </c>
      <c r="D4281" t="s">
        <v>7126</v>
      </c>
      <c r="E4281" t="str">
        <f>"1361200101044"</f>
        <v>0</v>
      </c>
      <c r="F4281" t="str">
        <f>"000860"</f>
        <v>0</v>
      </c>
      <c r="G4281" t="s">
        <v>21</v>
      </c>
    </row>
    <row r="4282" spans="1:7">
      <c r="A4282">
        <v>4281</v>
      </c>
      <c r="B4282" t="str">
        <f>"010743"</f>
        <v>0</v>
      </c>
      <c r="C4282" t="s">
        <v>7127</v>
      </c>
      <c r="D4282" t="s">
        <v>7128</v>
      </c>
      <c r="E4282" t="str">
        <f>"3302000077333"</f>
        <v>0</v>
      </c>
      <c r="F4282" t="str">
        <f>"000860"</f>
        <v>0</v>
      </c>
      <c r="G4282" t="s">
        <v>21</v>
      </c>
    </row>
    <row r="4283" spans="1:7">
      <c r="A4283">
        <v>4282</v>
      </c>
      <c r="B4283" t="str">
        <f>"024009"</f>
        <v>0</v>
      </c>
      <c r="C4283" t="s">
        <v>7129</v>
      </c>
      <c r="D4283" t="s">
        <v>7130</v>
      </c>
      <c r="E4283" t="str">
        <f>"1409900241708"</f>
        <v>0</v>
      </c>
      <c r="F4283" t="str">
        <f>"000860"</f>
        <v>0</v>
      </c>
      <c r="G4283" t="s">
        <v>21</v>
      </c>
    </row>
    <row r="4284" spans="1:7">
      <c r="A4284">
        <v>4283</v>
      </c>
      <c r="B4284" t="str">
        <f>"026490"</f>
        <v>0</v>
      </c>
      <c r="C4284" t="s">
        <v>7131</v>
      </c>
      <c r="D4284" t="s">
        <v>6343</v>
      </c>
      <c r="E4284" t="str">
        <f>"3440301001236"</f>
        <v>0</v>
      </c>
      <c r="F4284" t="str">
        <f>"000860"</f>
        <v>0</v>
      </c>
      <c r="G4284" t="s">
        <v>21</v>
      </c>
    </row>
    <row r="4285" spans="1:7">
      <c r="A4285">
        <v>4284</v>
      </c>
      <c r="B4285" t="str">
        <f>"027448"</f>
        <v>0</v>
      </c>
      <c r="C4285" t="s">
        <v>7132</v>
      </c>
      <c r="D4285" t="s">
        <v>551</v>
      </c>
      <c r="E4285" t="str">
        <f>"1409900716129"</f>
        <v>0</v>
      </c>
      <c r="F4285" t="str">
        <f>"000860"</f>
        <v>0</v>
      </c>
      <c r="G4285" t="s">
        <v>21</v>
      </c>
    </row>
    <row r="4286" spans="1:7">
      <c r="A4286">
        <v>4285</v>
      </c>
      <c r="B4286" t="str">
        <f>"027501"</f>
        <v>0</v>
      </c>
      <c r="C4286" t="s">
        <v>7133</v>
      </c>
      <c r="D4286" t="s">
        <v>7134</v>
      </c>
      <c r="E4286" t="str">
        <f>"1409900965471"</f>
        <v>0</v>
      </c>
      <c r="F4286" t="str">
        <f>"000860"</f>
        <v>0</v>
      </c>
      <c r="G4286" t="s">
        <v>21</v>
      </c>
    </row>
    <row r="4287" spans="1:7">
      <c r="A4287">
        <v>4286</v>
      </c>
      <c r="B4287" t="str">
        <f>"027131"</f>
        <v>0</v>
      </c>
      <c r="C4287" t="s">
        <v>7135</v>
      </c>
      <c r="D4287" t="s">
        <v>7136</v>
      </c>
      <c r="E4287" t="str">
        <f>"1409900526427"</f>
        <v>0</v>
      </c>
      <c r="F4287" t="str">
        <f>"000860"</f>
        <v>0</v>
      </c>
      <c r="G4287" t="s">
        <v>21</v>
      </c>
    </row>
    <row r="4288" spans="1:7">
      <c r="A4288">
        <v>4287</v>
      </c>
      <c r="B4288" t="str">
        <f>"021443"</f>
        <v>0</v>
      </c>
      <c r="C4288" t="s">
        <v>7137</v>
      </c>
      <c r="D4288" t="s">
        <v>7138</v>
      </c>
      <c r="E4288" t="str">
        <f>"3440800569131"</f>
        <v>0</v>
      </c>
      <c r="F4288" t="str">
        <f>"000860"</f>
        <v>0</v>
      </c>
      <c r="G4288" t="s">
        <v>21</v>
      </c>
    </row>
    <row r="4289" spans="1:7">
      <c r="A4289">
        <v>4288</v>
      </c>
      <c r="B4289" t="str">
        <f>"024773"</f>
        <v>0</v>
      </c>
      <c r="C4289" t="s">
        <v>3975</v>
      </c>
      <c r="D4289" t="s">
        <v>7139</v>
      </c>
      <c r="E4289" t="str">
        <f>"1451000002181"</f>
        <v>0</v>
      </c>
      <c r="F4289" t="str">
        <f>"000860"</f>
        <v>0</v>
      </c>
      <c r="G4289" t="s">
        <v>21</v>
      </c>
    </row>
    <row r="4290" spans="1:7">
      <c r="A4290">
        <v>4289</v>
      </c>
      <c r="B4290" t="str">
        <f>"021758"</f>
        <v>0</v>
      </c>
      <c r="C4290" t="s">
        <v>7140</v>
      </c>
      <c r="D4290" t="s">
        <v>7141</v>
      </c>
      <c r="E4290" t="str">
        <f>"3469900206844"</f>
        <v>0</v>
      </c>
      <c r="F4290" t="str">
        <f>"000860"</f>
        <v>0</v>
      </c>
      <c r="G4290" t="s">
        <v>21</v>
      </c>
    </row>
    <row r="4291" spans="1:7">
      <c r="A4291">
        <v>4290</v>
      </c>
      <c r="B4291" t="str">
        <f>"026492"</f>
        <v>0</v>
      </c>
      <c r="C4291" t="s">
        <v>7142</v>
      </c>
      <c r="D4291" t="s">
        <v>7143</v>
      </c>
      <c r="E4291" t="str">
        <f>"1501600088965"</f>
        <v>0</v>
      </c>
      <c r="F4291" t="str">
        <f>"000860"</f>
        <v>0</v>
      </c>
      <c r="G4291" t="s">
        <v>21</v>
      </c>
    </row>
    <row r="4292" spans="1:7">
      <c r="A4292">
        <v>4291</v>
      </c>
      <c r="B4292" t="str">
        <f>"024487"</f>
        <v>0</v>
      </c>
      <c r="C4292" t="s">
        <v>5757</v>
      </c>
      <c r="D4292" t="s">
        <v>7144</v>
      </c>
      <c r="E4292" t="str">
        <f>"1509900223971"</f>
        <v>0</v>
      </c>
      <c r="F4292" t="str">
        <f>"000860"</f>
        <v>0</v>
      </c>
      <c r="G4292" t="s">
        <v>21</v>
      </c>
    </row>
    <row r="4293" spans="1:7">
      <c r="A4293">
        <v>4292</v>
      </c>
      <c r="B4293" t="str">
        <f>"024615"</f>
        <v>0</v>
      </c>
      <c r="C4293" t="s">
        <v>7145</v>
      </c>
      <c r="D4293" t="s">
        <v>7146</v>
      </c>
      <c r="E4293" t="str">
        <f>"1709900426373"</f>
        <v>0</v>
      </c>
      <c r="F4293" t="str">
        <f>"000860"</f>
        <v>0</v>
      </c>
      <c r="G4293" t="s">
        <v>21</v>
      </c>
    </row>
    <row r="4294" spans="1:7">
      <c r="A4294">
        <v>4293</v>
      </c>
      <c r="B4294" t="str">
        <f>"026488"</f>
        <v>0</v>
      </c>
      <c r="C4294" t="s">
        <v>4384</v>
      </c>
      <c r="D4294" t="s">
        <v>7147</v>
      </c>
      <c r="E4294" t="str">
        <f>"1719900192267"</f>
        <v>0</v>
      </c>
      <c r="F4294" t="str">
        <f>"000860"</f>
        <v>0</v>
      </c>
      <c r="G4294" t="s">
        <v>21</v>
      </c>
    </row>
    <row r="4295" spans="1:7">
      <c r="A4295">
        <v>4294</v>
      </c>
      <c r="B4295" t="str">
        <f>"021468"</f>
        <v>0</v>
      </c>
      <c r="C4295" t="s">
        <v>7148</v>
      </c>
      <c r="D4295" t="s">
        <v>7149</v>
      </c>
      <c r="E4295" t="str">
        <f>"3720900704096"</f>
        <v>0</v>
      </c>
      <c r="F4295" t="str">
        <f>"000860"</f>
        <v>0</v>
      </c>
      <c r="G4295" t="s">
        <v>21</v>
      </c>
    </row>
    <row r="4296" spans="1:7">
      <c r="A4296">
        <v>4295</v>
      </c>
      <c r="B4296" t="str">
        <f>"024243"</f>
        <v>0</v>
      </c>
      <c r="C4296" t="s">
        <v>2022</v>
      </c>
      <c r="D4296" t="s">
        <v>2168</v>
      </c>
      <c r="E4296" t="str">
        <f>"1301600060469"</f>
        <v>0</v>
      </c>
      <c r="F4296" t="str">
        <f>"000860"</f>
        <v>0</v>
      </c>
      <c r="G4296" t="s">
        <v>21</v>
      </c>
    </row>
    <row r="4297" spans="1:7">
      <c r="A4297">
        <v>4296</v>
      </c>
      <c r="B4297" t="str">
        <f>"026706"</f>
        <v>0</v>
      </c>
      <c r="C4297" t="s">
        <v>7150</v>
      </c>
      <c r="D4297" t="s">
        <v>7151</v>
      </c>
      <c r="E4297" t="str">
        <f>"1769900169061"</f>
        <v>0</v>
      </c>
      <c r="F4297" t="str">
        <f>"000860"</f>
        <v>0</v>
      </c>
      <c r="G4297" t="s">
        <v>21</v>
      </c>
    </row>
    <row r="4298" spans="1:7">
      <c r="A4298">
        <v>4297</v>
      </c>
      <c r="B4298" t="str">
        <f>"027348"</f>
        <v>0</v>
      </c>
      <c r="C4298" t="s">
        <v>7152</v>
      </c>
      <c r="D4298" t="s">
        <v>7153</v>
      </c>
      <c r="E4298" t="str">
        <f>"1769900223511"</f>
        <v>0</v>
      </c>
      <c r="F4298" t="str">
        <f>"000860"</f>
        <v>0</v>
      </c>
      <c r="G4298" t="s">
        <v>21</v>
      </c>
    </row>
    <row r="4299" spans="1:7">
      <c r="A4299">
        <v>4298</v>
      </c>
      <c r="B4299" t="str">
        <f>"016269"</f>
        <v>0</v>
      </c>
      <c r="C4299" t="s">
        <v>7154</v>
      </c>
      <c r="D4299" t="s">
        <v>7155</v>
      </c>
      <c r="E4299" t="str">
        <f>"3302000284975"</f>
        <v>0</v>
      </c>
      <c r="F4299" t="str">
        <f>"000860"</f>
        <v>0</v>
      </c>
      <c r="G4299" t="s">
        <v>21</v>
      </c>
    </row>
    <row r="4300" spans="1:7">
      <c r="A4300">
        <v>4299</v>
      </c>
      <c r="B4300" t="str">
        <f>"026709"</f>
        <v>0</v>
      </c>
      <c r="C4300" t="s">
        <v>7156</v>
      </c>
      <c r="D4300" t="s">
        <v>7157</v>
      </c>
      <c r="E4300" t="str">
        <f>"1909900201612"</f>
        <v>0</v>
      </c>
      <c r="F4300" t="str">
        <f>"000860"</f>
        <v>0</v>
      </c>
      <c r="G4300" t="s">
        <v>21</v>
      </c>
    </row>
    <row r="4301" spans="1:7">
      <c r="A4301">
        <v>4300</v>
      </c>
      <c r="B4301" t="str">
        <f>"013684"</f>
        <v>0</v>
      </c>
      <c r="C4301" t="s">
        <v>2331</v>
      </c>
      <c r="D4301" t="s">
        <v>4643</v>
      </c>
      <c r="E4301" t="str">
        <f>"5940999008083"</f>
        <v>0</v>
      </c>
      <c r="F4301" t="str">
        <f>"000860"</f>
        <v>0</v>
      </c>
      <c r="G4301" t="s">
        <v>21</v>
      </c>
    </row>
    <row r="4302" spans="1:7">
      <c r="A4302">
        <v>4301</v>
      </c>
      <c r="B4302" t="str">
        <f>"026712"</f>
        <v>0</v>
      </c>
      <c r="C4302" t="s">
        <v>7158</v>
      </c>
      <c r="D4302" t="s">
        <v>7159</v>
      </c>
      <c r="E4302" t="str">
        <f>"1959800072837"</f>
        <v>0</v>
      </c>
      <c r="F4302" t="str">
        <f>"000860"</f>
        <v>0</v>
      </c>
      <c r="G4302" t="s">
        <v>21</v>
      </c>
    </row>
    <row r="4303" spans="1:7">
      <c r="A4303">
        <v>4302</v>
      </c>
      <c r="B4303" t="str">
        <f>"009629"</f>
        <v>0</v>
      </c>
      <c r="C4303" t="s">
        <v>1285</v>
      </c>
      <c r="D4303" t="s">
        <v>7160</v>
      </c>
      <c r="E4303" t="str">
        <f>"3309600002942"</f>
        <v>0</v>
      </c>
      <c r="F4303" t="str">
        <f>"000860"</f>
        <v>0</v>
      </c>
      <c r="G4303" t="s">
        <v>21</v>
      </c>
    </row>
    <row r="4304" spans="1:7">
      <c r="A4304">
        <v>4303</v>
      </c>
      <c r="B4304" t="str">
        <f>"011637"</f>
        <v>0</v>
      </c>
      <c r="C4304" t="s">
        <v>7161</v>
      </c>
      <c r="D4304" t="s">
        <v>7162</v>
      </c>
      <c r="E4304" t="str">
        <f>"3300100522876"</f>
        <v>0</v>
      </c>
      <c r="F4304" t="str">
        <f>"000860"</f>
        <v>0</v>
      </c>
      <c r="G4304" t="s">
        <v>21</v>
      </c>
    </row>
    <row r="4305" spans="1:7">
      <c r="A4305">
        <v>4304</v>
      </c>
      <c r="B4305" t="str">
        <f>"018072"</f>
        <v>0</v>
      </c>
      <c r="C4305" t="s">
        <v>5133</v>
      </c>
      <c r="D4305" t="s">
        <v>7163</v>
      </c>
      <c r="E4305" t="str">
        <f>"5301090009427"</f>
        <v>0</v>
      </c>
      <c r="F4305" t="str">
        <f>"000860"</f>
        <v>0</v>
      </c>
      <c r="G4305" t="s">
        <v>21</v>
      </c>
    </row>
    <row r="4306" spans="1:7">
      <c r="A4306">
        <v>4305</v>
      </c>
      <c r="B4306" t="str">
        <f>"018076"</f>
        <v>0</v>
      </c>
      <c r="C4306" t="s">
        <v>1849</v>
      </c>
      <c r="D4306" t="s">
        <v>7164</v>
      </c>
      <c r="E4306" t="str">
        <f>"3301100379241"</f>
        <v>0</v>
      </c>
      <c r="F4306" t="str">
        <f>"000860"</f>
        <v>0</v>
      </c>
      <c r="G4306" t="s">
        <v>21</v>
      </c>
    </row>
    <row r="4307" spans="1:7">
      <c r="A4307">
        <v>4306</v>
      </c>
      <c r="B4307" t="str">
        <f>"018613"</f>
        <v>0</v>
      </c>
      <c r="C4307" t="s">
        <v>2476</v>
      </c>
      <c r="D4307" t="s">
        <v>7165</v>
      </c>
      <c r="E4307" t="str">
        <f>"3250100611756"</f>
        <v>0</v>
      </c>
      <c r="F4307" t="str">
        <f>"000860"</f>
        <v>0</v>
      </c>
      <c r="G4307" t="s">
        <v>21</v>
      </c>
    </row>
    <row r="4308" spans="1:7">
      <c r="A4308">
        <v>4307</v>
      </c>
      <c r="B4308" t="str">
        <f>"020432"</f>
        <v>0</v>
      </c>
      <c r="C4308" t="s">
        <v>7166</v>
      </c>
      <c r="D4308" t="s">
        <v>7167</v>
      </c>
      <c r="E4308" t="str">
        <f>"3141600004052"</f>
        <v>0</v>
      </c>
      <c r="F4308" t="str">
        <f>"000860"</f>
        <v>0</v>
      </c>
      <c r="G4308" t="s">
        <v>21</v>
      </c>
    </row>
    <row r="4309" spans="1:7">
      <c r="A4309">
        <v>4308</v>
      </c>
      <c r="B4309" t="str">
        <f>"021619"</f>
        <v>0</v>
      </c>
      <c r="C4309" t="s">
        <v>7168</v>
      </c>
      <c r="D4309" t="s">
        <v>4778</v>
      </c>
      <c r="E4309" t="str">
        <f>"3300200080832"</f>
        <v>0</v>
      </c>
      <c r="F4309" t="str">
        <f>"000860"</f>
        <v>0</v>
      </c>
      <c r="G4309" t="s">
        <v>21</v>
      </c>
    </row>
    <row r="4310" spans="1:7">
      <c r="A4310">
        <v>4309</v>
      </c>
      <c r="B4310" t="str">
        <f>"023278"</f>
        <v>0</v>
      </c>
      <c r="C4310" t="s">
        <v>7169</v>
      </c>
      <c r="D4310" t="s">
        <v>7170</v>
      </c>
      <c r="E4310" t="str">
        <f>"3160200465621"</f>
        <v>0</v>
      </c>
      <c r="F4310" t="str">
        <f>"000860"</f>
        <v>0</v>
      </c>
      <c r="G4310" t="s">
        <v>21</v>
      </c>
    </row>
    <row r="4311" spans="1:7">
      <c r="A4311">
        <v>4310</v>
      </c>
      <c r="B4311" t="str">
        <f>"020961"</f>
        <v>0</v>
      </c>
      <c r="C4311" t="s">
        <v>7171</v>
      </c>
      <c r="D4311" t="s">
        <v>7172</v>
      </c>
      <c r="E4311" t="str">
        <f>"3301700763301"</f>
        <v>0</v>
      </c>
      <c r="F4311" t="str">
        <f>"000860"</f>
        <v>0</v>
      </c>
      <c r="G4311" t="s">
        <v>21</v>
      </c>
    </row>
    <row r="4312" spans="1:7">
      <c r="A4312">
        <v>4311</v>
      </c>
      <c r="B4312" t="str">
        <f>"022320"</f>
        <v>0</v>
      </c>
      <c r="C4312" t="s">
        <v>7173</v>
      </c>
      <c r="D4312" t="s">
        <v>7174</v>
      </c>
      <c r="E4312" t="str">
        <f>"3571100474871"</f>
        <v>0</v>
      </c>
      <c r="F4312" t="str">
        <f>"000860"</f>
        <v>0</v>
      </c>
      <c r="G4312" t="s">
        <v>21</v>
      </c>
    </row>
    <row r="4313" spans="1:7">
      <c r="A4313">
        <v>4312</v>
      </c>
      <c r="B4313" t="str">
        <f>"011565"</f>
        <v>0</v>
      </c>
      <c r="C4313" t="s">
        <v>2815</v>
      </c>
      <c r="D4313" t="s">
        <v>7175</v>
      </c>
      <c r="E4313" t="str">
        <f>"3640600307297"</f>
        <v>0</v>
      </c>
      <c r="F4313" t="str">
        <f>"000860"</f>
        <v>0</v>
      </c>
      <c r="G4313" t="s">
        <v>21</v>
      </c>
    </row>
    <row r="4314" spans="1:7">
      <c r="A4314">
        <v>4313</v>
      </c>
      <c r="B4314" t="str">
        <f>"017471"</f>
        <v>0</v>
      </c>
      <c r="C4314" t="s">
        <v>7176</v>
      </c>
      <c r="D4314" t="s">
        <v>7177</v>
      </c>
      <c r="E4314" t="str">
        <f>"3360400503664"</f>
        <v>0</v>
      </c>
      <c r="F4314" t="str">
        <f>"000860"</f>
        <v>0</v>
      </c>
      <c r="G4314" t="s">
        <v>21</v>
      </c>
    </row>
    <row r="4315" spans="1:7">
      <c r="A4315">
        <v>4314</v>
      </c>
      <c r="B4315" t="str">
        <f>"019169"</f>
        <v>0</v>
      </c>
      <c r="C4315" t="s">
        <v>3023</v>
      </c>
      <c r="D4315" t="s">
        <v>7178</v>
      </c>
      <c r="E4315" t="str">
        <f>"3580200131109"</f>
        <v>0</v>
      </c>
      <c r="F4315" t="str">
        <f>"000860"</f>
        <v>0</v>
      </c>
      <c r="G4315" t="s">
        <v>21</v>
      </c>
    </row>
    <row r="4316" spans="1:7">
      <c r="A4316">
        <v>4315</v>
      </c>
      <c r="B4316" t="str">
        <f>"024341"</f>
        <v>0</v>
      </c>
      <c r="C4316" t="s">
        <v>6584</v>
      </c>
      <c r="D4316" t="s">
        <v>7179</v>
      </c>
      <c r="E4316" t="str">
        <f>"3300800492686"</f>
        <v>0</v>
      </c>
      <c r="F4316" t="str">
        <f>"000860"</f>
        <v>0</v>
      </c>
      <c r="G4316" t="s">
        <v>21</v>
      </c>
    </row>
    <row r="4317" spans="1:7">
      <c r="A4317">
        <v>4316</v>
      </c>
      <c r="B4317" t="str">
        <f>"021480"</f>
        <v>0</v>
      </c>
      <c r="C4317" t="s">
        <v>7180</v>
      </c>
      <c r="D4317" t="s">
        <v>7181</v>
      </c>
      <c r="E4317" t="str">
        <f>"3440900183587"</f>
        <v>0</v>
      </c>
      <c r="F4317" t="str">
        <f>"000860"</f>
        <v>0</v>
      </c>
      <c r="G4317" t="s">
        <v>21</v>
      </c>
    </row>
    <row r="4318" spans="1:7">
      <c r="A4318">
        <v>4317</v>
      </c>
      <c r="B4318" t="str">
        <f>"027516"</f>
        <v>0</v>
      </c>
      <c r="C4318" t="s">
        <v>7182</v>
      </c>
      <c r="D4318" t="s">
        <v>7183</v>
      </c>
      <c r="E4318" t="str">
        <f>"1309800171652"</f>
        <v>0</v>
      </c>
      <c r="F4318" t="str">
        <f>"000860"</f>
        <v>0</v>
      </c>
      <c r="G4318" t="s">
        <v>21</v>
      </c>
    </row>
    <row r="4319" spans="1:7">
      <c r="A4319">
        <v>4318</v>
      </c>
      <c r="B4319" t="str">
        <f>"027579"</f>
        <v>0</v>
      </c>
      <c r="C4319" t="s">
        <v>7184</v>
      </c>
      <c r="D4319" t="s">
        <v>7185</v>
      </c>
      <c r="E4319" t="str">
        <f>"1100600009413"</f>
        <v>0</v>
      </c>
      <c r="F4319" t="str">
        <f>"000860"</f>
        <v>0</v>
      </c>
      <c r="G4319" t="s">
        <v>21</v>
      </c>
    </row>
    <row r="4320" spans="1:7">
      <c r="A4320">
        <v>4319</v>
      </c>
      <c r="B4320" t="str">
        <f>"000733"</f>
        <v>0</v>
      </c>
      <c r="C4320" t="s">
        <v>837</v>
      </c>
      <c r="D4320" t="s">
        <v>7186</v>
      </c>
      <c r="E4320" t="str">
        <f>"3841800002138"</f>
        <v>0</v>
      </c>
      <c r="F4320" t="str">
        <f>"000920"</f>
        <v>0</v>
      </c>
      <c r="G4320" t="s">
        <v>21</v>
      </c>
    </row>
    <row r="4321" spans="1:7">
      <c r="A4321">
        <v>4320</v>
      </c>
      <c r="B4321" t="str">
        <f>"001158"</f>
        <v>0</v>
      </c>
      <c r="C4321" t="s">
        <v>7187</v>
      </c>
      <c r="D4321" t="s">
        <v>7188</v>
      </c>
      <c r="E4321" t="str">
        <f>"3809900343139"</f>
        <v>0</v>
      </c>
      <c r="F4321" t="str">
        <f>"000920"</f>
        <v>0</v>
      </c>
      <c r="G4321" t="s">
        <v>21</v>
      </c>
    </row>
    <row r="4322" spans="1:7">
      <c r="A4322">
        <v>4321</v>
      </c>
      <c r="B4322" t="str">
        <f>"001396"</f>
        <v>0</v>
      </c>
      <c r="C4322" t="s">
        <v>587</v>
      </c>
      <c r="D4322" t="s">
        <v>4729</v>
      </c>
      <c r="E4322" t="str">
        <f>"3939900147835"</f>
        <v>0</v>
      </c>
      <c r="F4322" t="str">
        <f>"000920"</f>
        <v>0</v>
      </c>
      <c r="G4322" t="s">
        <v>21</v>
      </c>
    </row>
    <row r="4323" spans="1:7">
      <c r="A4323">
        <v>4322</v>
      </c>
      <c r="B4323" t="str">
        <f>"001540"</f>
        <v>0</v>
      </c>
      <c r="C4323" t="s">
        <v>411</v>
      </c>
      <c r="D4323" t="s">
        <v>7189</v>
      </c>
      <c r="E4323" t="str">
        <f>"3800500133104"</f>
        <v>0</v>
      </c>
      <c r="F4323" t="str">
        <f>"000920"</f>
        <v>0</v>
      </c>
      <c r="G4323" t="s">
        <v>21</v>
      </c>
    </row>
    <row r="4324" spans="1:7">
      <c r="A4324">
        <v>4323</v>
      </c>
      <c r="B4324" t="str">
        <f>"001547"</f>
        <v>0</v>
      </c>
      <c r="C4324" t="s">
        <v>7190</v>
      </c>
      <c r="D4324" t="s">
        <v>6532</v>
      </c>
      <c r="E4324" t="str">
        <f>"3800900878506"</f>
        <v>0</v>
      </c>
      <c r="F4324" t="str">
        <f>"000920"</f>
        <v>0</v>
      </c>
      <c r="G4324" t="s">
        <v>21</v>
      </c>
    </row>
    <row r="4325" spans="1:7">
      <c r="A4325">
        <v>4324</v>
      </c>
      <c r="B4325" t="str">
        <f>"001585"</f>
        <v>0</v>
      </c>
      <c r="C4325" t="s">
        <v>239</v>
      </c>
      <c r="D4325" t="s">
        <v>7191</v>
      </c>
      <c r="E4325" t="str">
        <f>"3919900058697"</f>
        <v>0</v>
      </c>
      <c r="F4325" t="str">
        <f>"000920"</f>
        <v>0</v>
      </c>
      <c r="G4325" t="s">
        <v>21</v>
      </c>
    </row>
    <row r="4326" spans="1:7">
      <c r="A4326">
        <v>4325</v>
      </c>
      <c r="B4326" t="str">
        <f>"002110"</f>
        <v>0</v>
      </c>
      <c r="C4326" t="s">
        <v>694</v>
      </c>
      <c r="D4326" t="s">
        <v>7192</v>
      </c>
      <c r="E4326" t="str">
        <f>"3940200028983"</f>
        <v>0</v>
      </c>
      <c r="F4326" t="str">
        <f>"000920"</f>
        <v>0</v>
      </c>
      <c r="G4326" t="s">
        <v>21</v>
      </c>
    </row>
    <row r="4327" spans="1:7">
      <c r="A4327">
        <v>4326</v>
      </c>
      <c r="B4327" t="str">
        <f>"002227"</f>
        <v>0</v>
      </c>
      <c r="C4327" t="s">
        <v>5216</v>
      </c>
      <c r="D4327" t="s">
        <v>7193</v>
      </c>
      <c r="E4327" t="str">
        <f>"3251000413970"</f>
        <v>0</v>
      </c>
      <c r="F4327" t="str">
        <f>"000920"</f>
        <v>0</v>
      </c>
      <c r="G4327" t="s">
        <v>21</v>
      </c>
    </row>
    <row r="4328" spans="1:7">
      <c r="A4328">
        <v>4327</v>
      </c>
      <c r="B4328" t="str">
        <f>"002249"</f>
        <v>0</v>
      </c>
      <c r="C4328" t="s">
        <v>7194</v>
      </c>
      <c r="D4328" t="s">
        <v>7195</v>
      </c>
      <c r="E4328" t="str">
        <f>"3809700165121"</f>
        <v>0</v>
      </c>
      <c r="F4328" t="str">
        <f>"000920"</f>
        <v>0</v>
      </c>
      <c r="G4328" t="s">
        <v>21</v>
      </c>
    </row>
    <row r="4329" spans="1:7">
      <c r="A4329">
        <v>4328</v>
      </c>
      <c r="B4329" t="str">
        <f>"002340"</f>
        <v>0</v>
      </c>
      <c r="C4329" t="s">
        <v>7196</v>
      </c>
      <c r="D4329" t="s">
        <v>7197</v>
      </c>
      <c r="E4329" t="str">
        <f>"3800300164324"</f>
        <v>0</v>
      </c>
      <c r="F4329" t="str">
        <f>"000920"</f>
        <v>0</v>
      </c>
      <c r="G4329" t="s">
        <v>21</v>
      </c>
    </row>
    <row r="4330" spans="1:7">
      <c r="A4330">
        <v>4329</v>
      </c>
      <c r="B4330" t="str">
        <f>"002341"</f>
        <v>0</v>
      </c>
      <c r="C4330" t="s">
        <v>7198</v>
      </c>
      <c r="D4330" t="s">
        <v>7199</v>
      </c>
      <c r="E4330" t="str">
        <f>"3800100147116"</f>
        <v>0</v>
      </c>
      <c r="F4330" t="str">
        <f>"000920"</f>
        <v>0</v>
      </c>
      <c r="G4330" t="s">
        <v>21</v>
      </c>
    </row>
    <row r="4331" spans="1:7">
      <c r="A4331">
        <v>4330</v>
      </c>
      <c r="B4331" t="str">
        <f>"002396"</f>
        <v>0</v>
      </c>
      <c r="C4331" t="s">
        <v>1355</v>
      </c>
      <c r="D4331" t="s">
        <v>7200</v>
      </c>
      <c r="E4331" t="str">
        <f>"3760300027620"</f>
        <v>0</v>
      </c>
      <c r="F4331" t="str">
        <f>"000920"</f>
        <v>0</v>
      </c>
      <c r="G4331" t="s">
        <v>21</v>
      </c>
    </row>
    <row r="4332" spans="1:7">
      <c r="A4332">
        <v>4331</v>
      </c>
      <c r="B4332" t="str">
        <f>"002447"</f>
        <v>0</v>
      </c>
      <c r="C4332" t="s">
        <v>587</v>
      </c>
      <c r="D4332" t="s">
        <v>7201</v>
      </c>
      <c r="E4332" t="str">
        <f>"3800800016715"</f>
        <v>0</v>
      </c>
      <c r="F4332" t="str">
        <f>"000920"</f>
        <v>0</v>
      </c>
      <c r="G4332" t="s">
        <v>21</v>
      </c>
    </row>
    <row r="4333" spans="1:7">
      <c r="A4333">
        <v>4332</v>
      </c>
      <c r="B4333" t="str">
        <f>"002448"</f>
        <v>0</v>
      </c>
      <c r="C4333" t="s">
        <v>7202</v>
      </c>
      <c r="D4333" t="s">
        <v>1805</v>
      </c>
      <c r="E4333" t="str">
        <f>"3800800970320"</f>
        <v>0</v>
      </c>
      <c r="F4333" t="str">
        <f>"000920"</f>
        <v>0</v>
      </c>
      <c r="G4333" t="s">
        <v>21</v>
      </c>
    </row>
    <row r="4334" spans="1:7">
      <c r="A4334">
        <v>4333</v>
      </c>
      <c r="B4334" t="str">
        <f>"002449"</f>
        <v>0</v>
      </c>
      <c r="C4334" t="s">
        <v>7203</v>
      </c>
      <c r="D4334" t="s">
        <v>7204</v>
      </c>
      <c r="E4334" t="str">
        <f>"3800100915105"</f>
        <v>0</v>
      </c>
      <c r="F4334" t="str">
        <f>"000920"</f>
        <v>0</v>
      </c>
      <c r="G4334" t="s">
        <v>21</v>
      </c>
    </row>
    <row r="4335" spans="1:7">
      <c r="A4335">
        <v>4334</v>
      </c>
      <c r="B4335" t="str">
        <f>"002452"</f>
        <v>0</v>
      </c>
      <c r="C4335" t="s">
        <v>7205</v>
      </c>
      <c r="D4335" t="s">
        <v>7206</v>
      </c>
      <c r="E4335" t="str">
        <f>"3809700131740"</f>
        <v>0</v>
      </c>
      <c r="F4335" t="str">
        <f>"000920"</f>
        <v>0</v>
      </c>
      <c r="G4335" t="s">
        <v>21</v>
      </c>
    </row>
    <row r="4336" spans="1:7">
      <c r="A4336">
        <v>4335</v>
      </c>
      <c r="B4336" t="str">
        <f>"002455"</f>
        <v>0</v>
      </c>
      <c r="C4336" t="s">
        <v>7207</v>
      </c>
      <c r="D4336" t="s">
        <v>7208</v>
      </c>
      <c r="E4336" t="str">
        <f>"3800900091549"</f>
        <v>0</v>
      </c>
      <c r="F4336" t="str">
        <f>"000920"</f>
        <v>0</v>
      </c>
      <c r="G4336" t="s">
        <v>21</v>
      </c>
    </row>
    <row r="4337" spans="1:7">
      <c r="A4337">
        <v>4336</v>
      </c>
      <c r="B4337" t="str">
        <f>"002636"</f>
        <v>0</v>
      </c>
      <c r="C4337" t="s">
        <v>4041</v>
      </c>
      <c r="D4337" t="s">
        <v>7209</v>
      </c>
      <c r="E4337" t="str">
        <f>"3940300075614"</f>
        <v>0</v>
      </c>
      <c r="F4337" t="str">
        <f>"000920"</f>
        <v>0</v>
      </c>
      <c r="G4337" t="s">
        <v>21</v>
      </c>
    </row>
    <row r="4338" spans="1:7">
      <c r="A4338">
        <v>4337</v>
      </c>
      <c r="B4338" t="str">
        <f>"002654"</f>
        <v>0</v>
      </c>
      <c r="C4338" t="s">
        <v>765</v>
      </c>
      <c r="D4338" t="s">
        <v>7210</v>
      </c>
      <c r="E4338" t="str">
        <f>"3809900145914"</f>
        <v>0</v>
      </c>
      <c r="F4338" t="str">
        <f>"000920"</f>
        <v>0</v>
      </c>
      <c r="G4338" t="s">
        <v>21</v>
      </c>
    </row>
    <row r="4339" spans="1:7">
      <c r="A4339">
        <v>4338</v>
      </c>
      <c r="B4339" t="str">
        <f>"002718"</f>
        <v>0</v>
      </c>
      <c r="C4339" t="s">
        <v>7211</v>
      </c>
      <c r="D4339" t="s">
        <v>7212</v>
      </c>
      <c r="E4339" t="str">
        <f>"3809900437648"</f>
        <v>0</v>
      </c>
      <c r="F4339" t="str">
        <f>"000920"</f>
        <v>0</v>
      </c>
      <c r="G4339" t="s">
        <v>21</v>
      </c>
    </row>
    <row r="4340" spans="1:7">
      <c r="A4340">
        <v>4339</v>
      </c>
      <c r="B4340" t="str">
        <f>"002732"</f>
        <v>0</v>
      </c>
      <c r="C4340" t="s">
        <v>694</v>
      </c>
      <c r="D4340" t="s">
        <v>7213</v>
      </c>
      <c r="E4340" t="str">
        <f>"5800400047024"</f>
        <v>0</v>
      </c>
      <c r="F4340" t="str">
        <f>"000920"</f>
        <v>0</v>
      </c>
      <c r="G4340" t="s">
        <v>21</v>
      </c>
    </row>
    <row r="4341" spans="1:7">
      <c r="A4341">
        <v>4340</v>
      </c>
      <c r="B4341" t="str">
        <f>"002741"</f>
        <v>0</v>
      </c>
      <c r="C4341" t="s">
        <v>7214</v>
      </c>
      <c r="D4341" t="s">
        <v>7215</v>
      </c>
      <c r="E4341" t="str">
        <f>"3809900424261"</f>
        <v>0</v>
      </c>
      <c r="F4341" t="str">
        <f>"000920"</f>
        <v>0</v>
      </c>
      <c r="G4341" t="s">
        <v>21</v>
      </c>
    </row>
    <row r="4342" spans="1:7">
      <c r="A4342">
        <v>4341</v>
      </c>
      <c r="B4342" t="str">
        <f>"002801"</f>
        <v>0</v>
      </c>
      <c r="C4342" t="s">
        <v>1162</v>
      </c>
      <c r="D4342" t="s">
        <v>7216</v>
      </c>
      <c r="E4342" t="str">
        <f>"3760100054950"</f>
        <v>0</v>
      </c>
      <c r="F4342" t="str">
        <f>"000920"</f>
        <v>0</v>
      </c>
      <c r="G4342" t="s">
        <v>21</v>
      </c>
    </row>
    <row r="4343" spans="1:7">
      <c r="A4343">
        <v>4342</v>
      </c>
      <c r="B4343" t="str">
        <f>"002942"</f>
        <v>0</v>
      </c>
      <c r="C4343" t="s">
        <v>1804</v>
      </c>
      <c r="D4343" t="s">
        <v>7217</v>
      </c>
      <c r="E4343" t="str">
        <f>"3801600447284"</f>
        <v>0</v>
      </c>
      <c r="F4343" t="str">
        <f>"000920"</f>
        <v>0</v>
      </c>
      <c r="G4343" t="s">
        <v>21</v>
      </c>
    </row>
    <row r="4344" spans="1:7">
      <c r="A4344">
        <v>4343</v>
      </c>
      <c r="B4344" t="str">
        <f>"002945"</f>
        <v>0</v>
      </c>
      <c r="C4344" t="s">
        <v>2301</v>
      </c>
      <c r="D4344" t="s">
        <v>7218</v>
      </c>
      <c r="E4344" t="str">
        <f>"3809900276555"</f>
        <v>0</v>
      </c>
      <c r="F4344" t="str">
        <f>"000920"</f>
        <v>0</v>
      </c>
      <c r="G4344" t="s">
        <v>21</v>
      </c>
    </row>
    <row r="4345" spans="1:7">
      <c r="A4345">
        <v>4344</v>
      </c>
      <c r="B4345" t="str">
        <f>"002985"</f>
        <v>0</v>
      </c>
      <c r="C4345" t="s">
        <v>4866</v>
      </c>
      <c r="D4345" t="s">
        <v>5402</v>
      </c>
      <c r="E4345" t="str">
        <f>"3800300178023"</f>
        <v>0</v>
      </c>
      <c r="F4345" t="str">
        <f>"000920"</f>
        <v>0</v>
      </c>
      <c r="G4345" t="s">
        <v>21</v>
      </c>
    </row>
    <row r="4346" spans="1:7">
      <c r="A4346">
        <v>4345</v>
      </c>
      <c r="B4346" t="str">
        <f>"003156"</f>
        <v>0</v>
      </c>
      <c r="C4346" t="s">
        <v>4861</v>
      </c>
      <c r="D4346" t="s">
        <v>7219</v>
      </c>
      <c r="E4346" t="str">
        <f>"3800101539808"</f>
        <v>0</v>
      </c>
      <c r="F4346" t="str">
        <f>"000920"</f>
        <v>0</v>
      </c>
      <c r="G4346" t="s">
        <v>21</v>
      </c>
    </row>
    <row r="4347" spans="1:7">
      <c r="A4347">
        <v>4346</v>
      </c>
      <c r="B4347" t="str">
        <f>"003325"</f>
        <v>0</v>
      </c>
      <c r="C4347" t="s">
        <v>48</v>
      </c>
      <c r="D4347" t="s">
        <v>7220</v>
      </c>
      <c r="E4347" t="str">
        <f>"3800400024966"</f>
        <v>0</v>
      </c>
      <c r="F4347" t="str">
        <f>"000920"</f>
        <v>0</v>
      </c>
      <c r="G4347" t="s">
        <v>21</v>
      </c>
    </row>
    <row r="4348" spans="1:7">
      <c r="A4348">
        <v>4347</v>
      </c>
      <c r="B4348" t="str">
        <f>"003326"</f>
        <v>0</v>
      </c>
      <c r="C4348" t="s">
        <v>7221</v>
      </c>
      <c r="D4348" t="s">
        <v>7222</v>
      </c>
      <c r="E4348" t="str">
        <f>"3800600047692"</f>
        <v>0</v>
      </c>
      <c r="F4348" t="str">
        <f>"000920"</f>
        <v>0</v>
      </c>
      <c r="G4348" t="s">
        <v>21</v>
      </c>
    </row>
    <row r="4349" spans="1:7">
      <c r="A4349">
        <v>4348</v>
      </c>
      <c r="B4349" t="str">
        <f>"003374"</f>
        <v>0</v>
      </c>
      <c r="C4349" t="s">
        <v>7223</v>
      </c>
      <c r="D4349" t="s">
        <v>7224</v>
      </c>
      <c r="E4349" t="str">
        <f>"3801300658212"</f>
        <v>0</v>
      </c>
      <c r="F4349" t="str">
        <f>"000920"</f>
        <v>0</v>
      </c>
      <c r="G4349" t="s">
        <v>21</v>
      </c>
    </row>
    <row r="4350" spans="1:7">
      <c r="A4350">
        <v>4349</v>
      </c>
      <c r="B4350" t="str">
        <f>"003376"</f>
        <v>0</v>
      </c>
      <c r="C4350" t="s">
        <v>7225</v>
      </c>
      <c r="D4350" t="s">
        <v>7226</v>
      </c>
      <c r="E4350" t="str">
        <f>"3800200247252"</f>
        <v>0</v>
      </c>
      <c r="F4350" t="str">
        <f>"000920"</f>
        <v>0</v>
      </c>
      <c r="G4350" t="s">
        <v>21</v>
      </c>
    </row>
    <row r="4351" spans="1:7">
      <c r="A4351">
        <v>4350</v>
      </c>
      <c r="B4351" t="str">
        <f>"003964"</f>
        <v>0</v>
      </c>
      <c r="C4351" t="s">
        <v>3546</v>
      </c>
      <c r="D4351" t="s">
        <v>7227</v>
      </c>
      <c r="E4351" t="str">
        <f>"5800290001602"</f>
        <v>0</v>
      </c>
      <c r="F4351" t="str">
        <f>"000920"</f>
        <v>0</v>
      </c>
      <c r="G4351" t="s">
        <v>21</v>
      </c>
    </row>
    <row r="4352" spans="1:7">
      <c r="A4352">
        <v>4351</v>
      </c>
      <c r="B4352" t="str">
        <f>"003965"</f>
        <v>0</v>
      </c>
      <c r="C4352" t="s">
        <v>3407</v>
      </c>
      <c r="D4352" t="s">
        <v>7228</v>
      </c>
      <c r="E4352" t="str">
        <f>"3809900276300"</f>
        <v>0</v>
      </c>
      <c r="F4352" t="str">
        <f>"000920"</f>
        <v>0</v>
      </c>
      <c r="G4352" t="s">
        <v>21</v>
      </c>
    </row>
    <row r="4353" spans="1:7">
      <c r="A4353">
        <v>4352</v>
      </c>
      <c r="B4353" t="str">
        <f>"004081"</f>
        <v>0</v>
      </c>
      <c r="C4353" t="s">
        <v>7229</v>
      </c>
      <c r="D4353" t="s">
        <v>7230</v>
      </c>
      <c r="E4353" t="str">
        <f>"3800800409237"</f>
        <v>0</v>
      </c>
      <c r="F4353" t="str">
        <f>"000920"</f>
        <v>0</v>
      </c>
      <c r="G4353" t="s">
        <v>21</v>
      </c>
    </row>
    <row r="4354" spans="1:7">
      <c r="A4354">
        <v>4353</v>
      </c>
      <c r="B4354" t="str">
        <f>"004227"</f>
        <v>0</v>
      </c>
      <c r="C4354" t="s">
        <v>7231</v>
      </c>
      <c r="D4354" t="s">
        <v>7232</v>
      </c>
      <c r="E4354" t="str">
        <f>"3829800104612"</f>
        <v>0</v>
      </c>
      <c r="F4354" t="str">
        <f>"000920"</f>
        <v>0</v>
      </c>
      <c r="G4354" t="s">
        <v>21</v>
      </c>
    </row>
    <row r="4355" spans="1:7">
      <c r="A4355">
        <v>4354</v>
      </c>
      <c r="B4355" t="str">
        <f>"004284"</f>
        <v>0</v>
      </c>
      <c r="C4355" t="s">
        <v>6446</v>
      </c>
      <c r="D4355" t="s">
        <v>7233</v>
      </c>
      <c r="E4355" t="str">
        <f>"3840300174796"</f>
        <v>0</v>
      </c>
      <c r="F4355" t="str">
        <f>"000920"</f>
        <v>0</v>
      </c>
      <c r="G4355" t="s">
        <v>21</v>
      </c>
    </row>
    <row r="4356" spans="1:7">
      <c r="A4356">
        <v>4355</v>
      </c>
      <c r="B4356" t="str">
        <f>"004330"</f>
        <v>0</v>
      </c>
      <c r="C4356" t="s">
        <v>7234</v>
      </c>
      <c r="D4356" t="s">
        <v>7235</v>
      </c>
      <c r="E4356" t="str">
        <f>"3800700175315"</f>
        <v>0</v>
      </c>
      <c r="F4356" t="str">
        <f>"000920"</f>
        <v>0</v>
      </c>
      <c r="G4356" t="s">
        <v>21</v>
      </c>
    </row>
    <row r="4357" spans="1:7">
      <c r="A4357">
        <v>4356</v>
      </c>
      <c r="B4357" t="str">
        <f>"004331"</f>
        <v>0</v>
      </c>
      <c r="C4357" t="s">
        <v>7236</v>
      </c>
      <c r="D4357" t="s">
        <v>7237</v>
      </c>
      <c r="E4357" t="str">
        <f>"3801300326210"</f>
        <v>0</v>
      </c>
      <c r="F4357" t="str">
        <f>"000920"</f>
        <v>0</v>
      </c>
      <c r="G4357" t="s">
        <v>21</v>
      </c>
    </row>
    <row r="4358" spans="1:7">
      <c r="A4358">
        <v>4357</v>
      </c>
      <c r="B4358" t="str">
        <f>"004333"</f>
        <v>0</v>
      </c>
      <c r="C4358" t="s">
        <v>6732</v>
      </c>
      <c r="D4358" t="s">
        <v>7238</v>
      </c>
      <c r="E4358" t="str">
        <f>"3809900262937"</f>
        <v>0</v>
      </c>
      <c r="F4358" t="str">
        <f>"000920"</f>
        <v>0</v>
      </c>
      <c r="G4358" t="s">
        <v>21</v>
      </c>
    </row>
    <row r="4359" spans="1:7">
      <c r="A4359">
        <v>4358</v>
      </c>
      <c r="B4359" t="str">
        <f>"004582"</f>
        <v>0</v>
      </c>
      <c r="C4359" t="s">
        <v>7239</v>
      </c>
      <c r="D4359" t="s">
        <v>7240</v>
      </c>
      <c r="E4359" t="str">
        <f>"4160800001607"</f>
        <v>0</v>
      </c>
      <c r="F4359" t="str">
        <f>"000920"</f>
        <v>0</v>
      </c>
      <c r="G4359" t="s">
        <v>21</v>
      </c>
    </row>
    <row r="4360" spans="1:7">
      <c r="A4360">
        <v>4359</v>
      </c>
      <c r="B4360" t="str">
        <f>"004593"</f>
        <v>0</v>
      </c>
      <c r="C4360" t="s">
        <v>7241</v>
      </c>
      <c r="D4360" t="s">
        <v>7242</v>
      </c>
      <c r="E4360" t="str">
        <f>"3841500322943"</f>
        <v>0</v>
      </c>
      <c r="F4360" t="str">
        <f>"000920"</f>
        <v>0</v>
      </c>
      <c r="G4360" t="s">
        <v>21</v>
      </c>
    </row>
    <row r="4361" spans="1:7">
      <c r="A4361">
        <v>4360</v>
      </c>
      <c r="B4361" t="str">
        <f>"004621"</f>
        <v>0</v>
      </c>
      <c r="C4361" t="s">
        <v>7243</v>
      </c>
      <c r="D4361" t="s">
        <v>7244</v>
      </c>
      <c r="E4361" t="str">
        <f>"3850300012079"</f>
        <v>0</v>
      </c>
      <c r="F4361" t="str">
        <f>"000920"</f>
        <v>0</v>
      </c>
      <c r="G4361" t="s">
        <v>21</v>
      </c>
    </row>
    <row r="4362" spans="1:7">
      <c r="A4362">
        <v>4361</v>
      </c>
      <c r="B4362" t="str">
        <f>"004755"</f>
        <v>0</v>
      </c>
      <c r="C4362" t="s">
        <v>5091</v>
      </c>
      <c r="D4362" t="s">
        <v>7245</v>
      </c>
      <c r="E4362" t="str">
        <f>"3809900085105"</f>
        <v>0</v>
      </c>
      <c r="F4362" t="str">
        <f>"000920"</f>
        <v>0</v>
      </c>
      <c r="G4362" t="s">
        <v>21</v>
      </c>
    </row>
    <row r="4363" spans="1:7">
      <c r="A4363">
        <v>4362</v>
      </c>
      <c r="B4363" t="str">
        <f>"004896"</f>
        <v>0</v>
      </c>
      <c r="C4363" t="s">
        <v>7246</v>
      </c>
      <c r="D4363" t="s">
        <v>7247</v>
      </c>
      <c r="E4363" t="str">
        <f>"3800200125351"</f>
        <v>0</v>
      </c>
      <c r="F4363" t="str">
        <f>"000920"</f>
        <v>0</v>
      </c>
      <c r="G4363" t="s">
        <v>21</v>
      </c>
    </row>
    <row r="4364" spans="1:7">
      <c r="A4364">
        <v>4363</v>
      </c>
      <c r="B4364" t="str">
        <f>"004944"</f>
        <v>0</v>
      </c>
      <c r="C4364" t="s">
        <v>6615</v>
      </c>
      <c r="D4364" t="s">
        <v>7248</v>
      </c>
      <c r="E4364" t="str">
        <f>"5900299001400"</f>
        <v>0</v>
      </c>
      <c r="F4364" t="str">
        <f>"000920"</f>
        <v>0</v>
      </c>
      <c r="G4364" t="s">
        <v>21</v>
      </c>
    </row>
    <row r="4365" spans="1:7">
      <c r="A4365">
        <v>4364</v>
      </c>
      <c r="B4365" t="str">
        <f>"004983"</f>
        <v>0</v>
      </c>
      <c r="C4365" t="s">
        <v>7249</v>
      </c>
      <c r="D4365" t="s">
        <v>7250</v>
      </c>
      <c r="E4365" t="str">
        <f>"3800800409245"</f>
        <v>0</v>
      </c>
      <c r="F4365" t="str">
        <f>"000920"</f>
        <v>0</v>
      </c>
      <c r="G4365" t="s">
        <v>21</v>
      </c>
    </row>
    <row r="4366" spans="1:7">
      <c r="A4366">
        <v>4365</v>
      </c>
      <c r="B4366" t="str">
        <f>"005149"</f>
        <v>0</v>
      </c>
      <c r="C4366" t="s">
        <v>5236</v>
      </c>
      <c r="D4366" t="s">
        <v>2489</v>
      </c>
      <c r="E4366" t="str">
        <f>"3959900317790"</f>
        <v>0</v>
      </c>
      <c r="F4366" t="str">
        <f>"000920"</f>
        <v>0</v>
      </c>
      <c r="G4366" t="s">
        <v>21</v>
      </c>
    </row>
    <row r="4367" spans="1:7">
      <c r="A4367">
        <v>4366</v>
      </c>
      <c r="B4367" t="str">
        <f>"005339"</f>
        <v>0</v>
      </c>
      <c r="C4367" t="s">
        <v>7251</v>
      </c>
      <c r="D4367" t="s">
        <v>7252</v>
      </c>
      <c r="E4367" t="str">
        <f>"3820800139116"</f>
        <v>0</v>
      </c>
      <c r="F4367" t="str">
        <f>"000920"</f>
        <v>0</v>
      </c>
      <c r="G4367" t="s">
        <v>21</v>
      </c>
    </row>
    <row r="4368" spans="1:7">
      <c r="A4368">
        <v>4367</v>
      </c>
      <c r="B4368" t="str">
        <f>"005651"</f>
        <v>0</v>
      </c>
      <c r="C4368" t="s">
        <v>7253</v>
      </c>
      <c r="D4368" t="s">
        <v>7254</v>
      </c>
      <c r="E4368" t="str">
        <f>"3859900113168"</f>
        <v>0</v>
      </c>
      <c r="F4368" t="str">
        <f>"000920"</f>
        <v>0</v>
      </c>
      <c r="G4368" t="s">
        <v>21</v>
      </c>
    </row>
    <row r="4369" spans="1:7">
      <c r="A4369">
        <v>4368</v>
      </c>
      <c r="B4369" t="str">
        <f>"005843"</f>
        <v>0</v>
      </c>
      <c r="C4369" t="s">
        <v>7255</v>
      </c>
      <c r="D4369" t="s">
        <v>7220</v>
      </c>
      <c r="E4369" t="str">
        <f>"3800400024974"</f>
        <v>0</v>
      </c>
      <c r="F4369" t="str">
        <f>"000920"</f>
        <v>0</v>
      </c>
      <c r="G4369" t="s">
        <v>21</v>
      </c>
    </row>
    <row r="4370" spans="1:7">
      <c r="A4370">
        <v>4369</v>
      </c>
      <c r="B4370" t="str">
        <f>"005844"</f>
        <v>0</v>
      </c>
      <c r="C4370" t="s">
        <v>7256</v>
      </c>
      <c r="D4370" t="s">
        <v>7257</v>
      </c>
      <c r="E4370" t="str">
        <f>"3800400492099"</f>
        <v>0</v>
      </c>
      <c r="F4370" t="str">
        <f>"000920"</f>
        <v>0</v>
      </c>
      <c r="G4370" t="s">
        <v>21</v>
      </c>
    </row>
    <row r="4371" spans="1:7">
      <c r="A4371">
        <v>4370</v>
      </c>
      <c r="B4371" t="str">
        <f>"005858"</f>
        <v>0</v>
      </c>
      <c r="C4371" t="s">
        <v>7258</v>
      </c>
      <c r="D4371" t="s">
        <v>7259</v>
      </c>
      <c r="E4371" t="str">
        <f>"3820600032393"</f>
        <v>0</v>
      </c>
      <c r="F4371" t="str">
        <f>"000920"</f>
        <v>0</v>
      </c>
      <c r="G4371" t="s">
        <v>21</v>
      </c>
    </row>
    <row r="4372" spans="1:7">
      <c r="A4372">
        <v>4371</v>
      </c>
      <c r="B4372" t="str">
        <f>"005893"</f>
        <v>0</v>
      </c>
      <c r="C4372" t="s">
        <v>5191</v>
      </c>
      <c r="D4372" t="s">
        <v>7260</v>
      </c>
      <c r="E4372" t="str">
        <f>"3900500038097"</f>
        <v>0</v>
      </c>
      <c r="F4372" t="str">
        <f>"000920"</f>
        <v>0</v>
      </c>
      <c r="G4372" t="s">
        <v>21</v>
      </c>
    </row>
    <row r="4373" spans="1:7">
      <c r="A4373">
        <v>4372</v>
      </c>
      <c r="B4373" t="str">
        <f>"005979"</f>
        <v>0</v>
      </c>
      <c r="C4373" t="s">
        <v>7261</v>
      </c>
      <c r="D4373" t="s">
        <v>4735</v>
      </c>
      <c r="E4373" t="str">
        <f>"3809900135226"</f>
        <v>0</v>
      </c>
      <c r="F4373" t="str">
        <f>"000920"</f>
        <v>0</v>
      </c>
      <c r="G4373" t="s">
        <v>21</v>
      </c>
    </row>
    <row r="4374" spans="1:7">
      <c r="A4374">
        <v>4373</v>
      </c>
      <c r="B4374" t="str">
        <f>"006072"</f>
        <v>0</v>
      </c>
      <c r="C4374" t="s">
        <v>2331</v>
      </c>
      <c r="D4374" t="s">
        <v>7262</v>
      </c>
      <c r="E4374" t="str">
        <f>"3250300075777"</f>
        <v>0</v>
      </c>
      <c r="F4374" t="str">
        <f>"000920"</f>
        <v>0</v>
      </c>
      <c r="G4374" t="s">
        <v>21</v>
      </c>
    </row>
    <row r="4375" spans="1:7">
      <c r="A4375">
        <v>4374</v>
      </c>
      <c r="B4375" t="str">
        <f>"006356"</f>
        <v>0</v>
      </c>
      <c r="C4375" t="s">
        <v>4799</v>
      </c>
      <c r="D4375" t="s">
        <v>7263</v>
      </c>
      <c r="E4375" t="str">
        <f>"3800300233521"</f>
        <v>0</v>
      </c>
      <c r="F4375" t="str">
        <f>"000920"</f>
        <v>0</v>
      </c>
      <c r="G4375" t="s">
        <v>21</v>
      </c>
    </row>
    <row r="4376" spans="1:7">
      <c r="A4376">
        <v>4375</v>
      </c>
      <c r="B4376" t="str">
        <f>"006589"</f>
        <v>0</v>
      </c>
      <c r="C4376" t="s">
        <v>1878</v>
      </c>
      <c r="D4376" t="s">
        <v>7264</v>
      </c>
      <c r="E4376" t="str">
        <f>"5800990021312"</f>
        <v>0</v>
      </c>
      <c r="F4376" t="str">
        <f>"000920"</f>
        <v>0</v>
      </c>
      <c r="G4376" t="s">
        <v>21</v>
      </c>
    </row>
    <row r="4377" spans="1:7">
      <c r="A4377">
        <v>4376</v>
      </c>
      <c r="B4377" t="str">
        <f>"007120"</f>
        <v>0</v>
      </c>
      <c r="C4377" t="s">
        <v>7265</v>
      </c>
      <c r="D4377" t="s">
        <v>1807</v>
      </c>
      <c r="E4377" t="str">
        <f>"3819900087221"</f>
        <v>0</v>
      </c>
      <c r="F4377" t="str">
        <f>"000920"</f>
        <v>0</v>
      </c>
      <c r="G4377" t="s">
        <v>21</v>
      </c>
    </row>
    <row r="4378" spans="1:7">
      <c r="A4378">
        <v>4377</v>
      </c>
      <c r="B4378" t="str">
        <f>"007169"</f>
        <v>0</v>
      </c>
      <c r="C4378" t="s">
        <v>7266</v>
      </c>
      <c r="D4378" t="s">
        <v>7267</v>
      </c>
      <c r="E4378" t="str">
        <f>"3949900163962"</f>
        <v>0</v>
      </c>
      <c r="F4378" t="str">
        <f>"000920"</f>
        <v>0</v>
      </c>
      <c r="G4378" t="s">
        <v>21</v>
      </c>
    </row>
    <row r="4379" spans="1:7">
      <c r="A4379">
        <v>4378</v>
      </c>
      <c r="B4379" t="str">
        <f>"007404"</f>
        <v>0</v>
      </c>
      <c r="C4379" t="s">
        <v>2310</v>
      </c>
      <c r="D4379" t="s">
        <v>7268</v>
      </c>
      <c r="E4379" t="str">
        <f>"3800900597302"</f>
        <v>0</v>
      </c>
      <c r="F4379" t="str">
        <f>"000920"</f>
        <v>0</v>
      </c>
      <c r="G4379" t="s">
        <v>21</v>
      </c>
    </row>
    <row r="4380" spans="1:7">
      <c r="A4380">
        <v>4379</v>
      </c>
      <c r="B4380" t="str">
        <f>"007405"</f>
        <v>0</v>
      </c>
      <c r="C4380" t="s">
        <v>4286</v>
      </c>
      <c r="D4380" t="s">
        <v>7269</v>
      </c>
      <c r="E4380" t="str">
        <f>"3801500021455"</f>
        <v>0</v>
      </c>
      <c r="F4380" t="str">
        <f>"000920"</f>
        <v>0</v>
      </c>
      <c r="G4380" t="s">
        <v>21</v>
      </c>
    </row>
    <row r="4381" spans="1:7">
      <c r="A4381">
        <v>4380</v>
      </c>
      <c r="B4381" t="str">
        <f>"007600"</f>
        <v>0</v>
      </c>
      <c r="C4381" t="s">
        <v>2014</v>
      </c>
      <c r="D4381" t="s">
        <v>7270</v>
      </c>
      <c r="E4381" t="str">
        <f>"3540400146690"</f>
        <v>0</v>
      </c>
      <c r="F4381" t="str">
        <f>"000920"</f>
        <v>0</v>
      </c>
      <c r="G4381" t="s">
        <v>21</v>
      </c>
    </row>
    <row r="4382" spans="1:7">
      <c r="A4382">
        <v>4381</v>
      </c>
      <c r="B4382" t="str">
        <f>"008021"</f>
        <v>0</v>
      </c>
      <c r="C4382" t="s">
        <v>7256</v>
      </c>
      <c r="D4382" t="s">
        <v>7271</v>
      </c>
      <c r="E4382" t="str">
        <f>"3700800479961"</f>
        <v>0</v>
      </c>
      <c r="F4382" t="str">
        <f>"000920"</f>
        <v>0</v>
      </c>
      <c r="G4382" t="s">
        <v>21</v>
      </c>
    </row>
    <row r="4383" spans="1:7">
      <c r="A4383">
        <v>4382</v>
      </c>
      <c r="B4383" t="str">
        <f>"008094"</f>
        <v>0</v>
      </c>
      <c r="C4383" t="s">
        <v>798</v>
      </c>
      <c r="D4383" t="s">
        <v>7272</v>
      </c>
      <c r="E4383" t="str">
        <f>"3539900221788"</f>
        <v>0</v>
      </c>
      <c r="F4383" t="str">
        <f>"000920"</f>
        <v>0</v>
      </c>
      <c r="G4383" t="s">
        <v>21</v>
      </c>
    </row>
    <row r="4384" spans="1:7">
      <c r="A4384">
        <v>4383</v>
      </c>
      <c r="B4384" t="str">
        <f>"008365"</f>
        <v>0</v>
      </c>
      <c r="C4384" t="s">
        <v>4928</v>
      </c>
      <c r="D4384" t="s">
        <v>4729</v>
      </c>
      <c r="E4384" t="str">
        <f>"3801000245711"</f>
        <v>0</v>
      </c>
      <c r="F4384" t="str">
        <f>"000920"</f>
        <v>0</v>
      </c>
      <c r="G4384" t="s">
        <v>21</v>
      </c>
    </row>
    <row r="4385" spans="1:7">
      <c r="A4385">
        <v>4384</v>
      </c>
      <c r="B4385" t="str">
        <f>"008620"</f>
        <v>0</v>
      </c>
      <c r="C4385" t="s">
        <v>2076</v>
      </c>
      <c r="D4385" t="s">
        <v>7273</v>
      </c>
      <c r="E4385" t="str">
        <f>"3700400612923"</f>
        <v>0</v>
      </c>
      <c r="F4385" t="str">
        <f>"000920"</f>
        <v>0</v>
      </c>
      <c r="G4385" t="s">
        <v>21</v>
      </c>
    </row>
    <row r="4386" spans="1:7">
      <c r="A4386">
        <v>4385</v>
      </c>
      <c r="B4386" t="str">
        <f>"008684"</f>
        <v>0</v>
      </c>
      <c r="C4386" t="s">
        <v>7274</v>
      </c>
      <c r="D4386" t="s">
        <v>5196</v>
      </c>
      <c r="E4386" t="str">
        <f>"3960800138721"</f>
        <v>0</v>
      </c>
      <c r="F4386" t="str">
        <f>"000920"</f>
        <v>0</v>
      </c>
      <c r="G4386" t="s">
        <v>21</v>
      </c>
    </row>
    <row r="4387" spans="1:7">
      <c r="A4387">
        <v>4386</v>
      </c>
      <c r="B4387" t="str">
        <f>"008802"</f>
        <v>0</v>
      </c>
      <c r="C4387" t="s">
        <v>3841</v>
      </c>
      <c r="D4387" t="s">
        <v>7275</v>
      </c>
      <c r="E4387" t="str">
        <f>"3801100215422"</f>
        <v>0</v>
      </c>
      <c r="F4387" t="str">
        <f>"000920"</f>
        <v>0</v>
      </c>
      <c r="G4387" t="s">
        <v>21</v>
      </c>
    </row>
    <row r="4388" spans="1:7">
      <c r="A4388">
        <v>4387</v>
      </c>
      <c r="B4388" t="str">
        <f>"008806"</f>
        <v>0</v>
      </c>
      <c r="C4388" t="s">
        <v>7276</v>
      </c>
      <c r="D4388" t="s">
        <v>7277</v>
      </c>
      <c r="E4388" t="str">
        <f>"3960200292931"</f>
        <v>0</v>
      </c>
      <c r="F4388" t="str">
        <f>"000920"</f>
        <v>0</v>
      </c>
      <c r="G4388" t="s">
        <v>21</v>
      </c>
    </row>
    <row r="4389" spans="1:7">
      <c r="A4389">
        <v>4388</v>
      </c>
      <c r="B4389" t="str">
        <f>"008881"</f>
        <v>0</v>
      </c>
      <c r="C4389" t="s">
        <v>555</v>
      </c>
      <c r="D4389" t="s">
        <v>7278</v>
      </c>
      <c r="E4389" t="str">
        <f>"3959800072531"</f>
        <v>0</v>
      </c>
      <c r="F4389" t="str">
        <f>"000920"</f>
        <v>0</v>
      </c>
      <c r="G4389" t="s">
        <v>21</v>
      </c>
    </row>
    <row r="4390" spans="1:7">
      <c r="A4390">
        <v>4389</v>
      </c>
      <c r="B4390" t="str">
        <f>"008883"</f>
        <v>0</v>
      </c>
      <c r="C4390" t="s">
        <v>336</v>
      </c>
      <c r="D4390" t="s">
        <v>7279</v>
      </c>
      <c r="E4390" t="str">
        <f>"3801500227487"</f>
        <v>0</v>
      </c>
      <c r="F4390" t="str">
        <f>"000920"</f>
        <v>0</v>
      </c>
      <c r="G4390" t="s">
        <v>21</v>
      </c>
    </row>
    <row r="4391" spans="1:7">
      <c r="A4391">
        <v>4390</v>
      </c>
      <c r="B4391" t="str">
        <f>"008893"</f>
        <v>0</v>
      </c>
      <c r="C4391" t="s">
        <v>5987</v>
      </c>
      <c r="D4391" t="s">
        <v>7280</v>
      </c>
      <c r="E4391" t="str">
        <f>"3800100015546"</f>
        <v>0</v>
      </c>
      <c r="F4391" t="str">
        <f>"000920"</f>
        <v>0</v>
      </c>
      <c r="G4391" t="s">
        <v>21</v>
      </c>
    </row>
    <row r="4392" spans="1:7">
      <c r="A4392">
        <v>4391</v>
      </c>
      <c r="B4392" t="str">
        <f>"009112"</f>
        <v>0</v>
      </c>
      <c r="C4392" t="s">
        <v>7281</v>
      </c>
      <c r="D4392" t="s">
        <v>7282</v>
      </c>
      <c r="E4392" t="str">
        <f>"3959900103811"</f>
        <v>0</v>
      </c>
      <c r="F4392" t="str">
        <f>"000920"</f>
        <v>0</v>
      </c>
      <c r="G4392" t="s">
        <v>21</v>
      </c>
    </row>
    <row r="4393" spans="1:7">
      <c r="A4393">
        <v>4392</v>
      </c>
      <c r="B4393" t="str">
        <f>"009814"</f>
        <v>0</v>
      </c>
      <c r="C4393" t="s">
        <v>822</v>
      </c>
      <c r="D4393" t="s">
        <v>7283</v>
      </c>
      <c r="E4393" t="str">
        <f>"3800800488731"</f>
        <v>0</v>
      </c>
      <c r="F4393" t="str">
        <f>"000920"</f>
        <v>0</v>
      </c>
      <c r="G4393" t="s">
        <v>21</v>
      </c>
    </row>
    <row r="4394" spans="1:7">
      <c r="A4394">
        <v>4393</v>
      </c>
      <c r="B4394" t="str">
        <f>"009893"</f>
        <v>0</v>
      </c>
      <c r="C4394" t="s">
        <v>2746</v>
      </c>
      <c r="D4394" t="s">
        <v>7284</v>
      </c>
      <c r="E4394" t="str">
        <f>"3800600018200"</f>
        <v>0</v>
      </c>
      <c r="F4394" t="str">
        <f>"000920"</f>
        <v>0</v>
      </c>
      <c r="G4394" t="s">
        <v>21</v>
      </c>
    </row>
    <row r="4395" spans="1:7">
      <c r="A4395">
        <v>4394</v>
      </c>
      <c r="B4395" t="str">
        <f>"010281"</f>
        <v>0</v>
      </c>
      <c r="C4395" t="s">
        <v>7285</v>
      </c>
      <c r="D4395" t="s">
        <v>7216</v>
      </c>
      <c r="E4395" t="str">
        <f>"3160400127516"</f>
        <v>0</v>
      </c>
      <c r="F4395" t="str">
        <f>"000920"</f>
        <v>0</v>
      </c>
      <c r="G4395" t="s">
        <v>21</v>
      </c>
    </row>
    <row r="4396" spans="1:7">
      <c r="A4396">
        <v>4395</v>
      </c>
      <c r="B4396" t="str">
        <f>"010416"</f>
        <v>0</v>
      </c>
      <c r="C4396" t="s">
        <v>7286</v>
      </c>
      <c r="D4396" t="s">
        <v>7287</v>
      </c>
      <c r="E4396" t="str">
        <f>"3809900476112"</f>
        <v>0</v>
      </c>
      <c r="F4396" t="str">
        <f>"000920"</f>
        <v>0</v>
      </c>
      <c r="G4396" t="s">
        <v>21</v>
      </c>
    </row>
    <row r="4397" spans="1:7">
      <c r="A4397">
        <v>4396</v>
      </c>
      <c r="B4397" t="str">
        <f>"010565"</f>
        <v>0</v>
      </c>
      <c r="C4397" t="s">
        <v>3776</v>
      </c>
      <c r="D4397" t="s">
        <v>880</v>
      </c>
      <c r="E4397" t="str">
        <f>"3809900047050"</f>
        <v>0</v>
      </c>
      <c r="F4397" t="str">
        <f>"000920"</f>
        <v>0</v>
      </c>
      <c r="G4397" t="s">
        <v>21</v>
      </c>
    </row>
    <row r="4398" spans="1:7">
      <c r="A4398">
        <v>4397</v>
      </c>
      <c r="B4398" t="str">
        <f>"010703"</f>
        <v>0</v>
      </c>
      <c r="C4398" t="s">
        <v>7288</v>
      </c>
      <c r="D4398" t="s">
        <v>7289</v>
      </c>
      <c r="E4398" t="str">
        <f>"3810400034465"</f>
        <v>0</v>
      </c>
      <c r="F4398" t="str">
        <f>"000920"</f>
        <v>0</v>
      </c>
      <c r="G4398" t="s">
        <v>21</v>
      </c>
    </row>
    <row r="4399" spans="1:7">
      <c r="A4399">
        <v>4398</v>
      </c>
      <c r="B4399" t="str">
        <f>"010737"</f>
        <v>0</v>
      </c>
      <c r="C4399" t="s">
        <v>5258</v>
      </c>
      <c r="D4399" t="s">
        <v>7290</v>
      </c>
      <c r="E4399" t="str">
        <f>"3950300021051"</f>
        <v>0</v>
      </c>
      <c r="F4399" t="str">
        <f>"000920"</f>
        <v>0</v>
      </c>
      <c r="G4399" t="s">
        <v>21</v>
      </c>
    </row>
    <row r="4400" spans="1:7">
      <c r="A4400">
        <v>4399</v>
      </c>
      <c r="B4400" t="str">
        <f>"010940"</f>
        <v>0</v>
      </c>
      <c r="C4400" t="s">
        <v>2335</v>
      </c>
      <c r="D4400" t="s">
        <v>7291</v>
      </c>
      <c r="E4400" t="str">
        <f>"3149900289432"</f>
        <v>0</v>
      </c>
      <c r="F4400" t="str">
        <f>"000920"</f>
        <v>0</v>
      </c>
      <c r="G4400" t="s">
        <v>21</v>
      </c>
    </row>
    <row r="4401" spans="1:7">
      <c r="A4401">
        <v>4400</v>
      </c>
      <c r="B4401" t="str">
        <f>"010950"</f>
        <v>0</v>
      </c>
      <c r="C4401" t="s">
        <v>260</v>
      </c>
      <c r="D4401" t="s">
        <v>5079</v>
      </c>
      <c r="E4401" t="str">
        <f>"3209600200869"</f>
        <v>0</v>
      </c>
      <c r="F4401" t="str">
        <f>"000920"</f>
        <v>0</v>
      </c>
      <c r="G4401" t="s">
        <v>21</v>
      </c>
    </row>
    <row r="4402" spans="1:7">
      <c r="A4402">
        <v>4401</v>
      </c>
      <c r="B4402" t="str">
        <f>"011002"</f>
        <v>0</v>
      </c>
      <c r="C4402" t="s">
        <v>447</v>
      </c>
      <c r="D4402" t="s">
        <v>7292</v>
      </c>
      <c r="E4402" t="str">
        <f>"3809900467245"</f>
        <v>0</v>
      </c>
      <c r="F4402" t="str">
        <f>"000920"</f>
        <v>0</v>
      </c>
      <c r="G4402" t="s">
        <v>21</v>
      </c>
    </row>
    <row r="4403" spans="1:7">
      <c r="A4403">
        <v>4402</v>
      </c>
      <c r="B4403" t="str">
        <f>"011003"</f>
        <v>0</v>
      </c>
      <c r="C4403" t="s">
        <v>5158</v>
      </c>
      <c r="D4403" t="s">
        <v>7293</v>
      </c>
      <c r="E4403" t="str">
        <f>"3800100634491"</f>
        <v>0</v>
      </c>
      <c r="F4403" t="str">
        <f>"000920"</f>
        <v>0</v>
      </c>
      <c r="G4403" t="s">
        <v>21</v>
      </c>
    </row>
    <row r="4404" spans="1:7">
      <c r="A4404">
        <v>4403</v>
      </c>
      <c r="B4404" t="str">
        <f>"011177"</f>
        <v>0</v>
      </c>
      <c r="C4404" t="s">
        <v>7294</v>
      </c>
      <c r="D4404" t="s">
        <v>3895</v>
      </c>
      <c r="E4404" t="str">
        <f>"3200601088801"</f>
        <v>0</v>
      </c>
      <c r="F4404" t="str">
        <f>"000920"</f>
        <v>0</v>
      </c>
      <c r="G4404" t="s">
        <v>21</v>
      </c>
    </row>
    <row r="4405" spans="1:7">
      <c r="A4405">
        <v>4404</v>
      </c>
      <c r="B4405" t="str">
        <f>"011327"</f>
        <v>0</v>
      </c>
      <c r="C4405" t="s">
        <v>7295</v>
      </c>
      <c r="D4405" t="s">
        <v>7296</v>
      </c>
      <c r="E4405" t="str">
        <f>"3800500112409"</f>
        <v>0</v>
      </c>
      <c r="F4405" t="str">
        <f>"000920"</f>
        <v>0</v>
      </c>
      <c r="G4405" t="s">
        <v>21</v>
      </c>
    </row>
    <row r="4406" spans="1:7">
      <c r="A4406">
        <v>4405</v>
      </c>
      <c r="B4406" t="str">
        <f>"011773"</f>
        <v>0</v>
      </c>
      <c r="C4406" t="s">
        <v>3373</v>
      </c>
      <c r="D4406" t="s">
        <v>7297</v>
      </c>
      <c r="E4406" t="str">
        <f>"4110400003882"</f>
        <v>0</v>
      </c>
      <c r="F4406" t="str">
        <f>"000920"</f>
        <v>0</v>
      </c>
      <c r="G4406" t="s">
        <v>21</v>
      </c>
    </row>
    <row r="4407" spans="1:7">
      <c r="A4407">
        <v>4406</v>
      </c>
      <c r="B4407" t="str">
        <f>"012129"</f>
        <v>0</v>
      </c>
      <c r="C4407" t="s">
        <v>7298</v>
      </c>
      <c r="D4407" t="s">
        <v>7299</v>
      </c>
      <c r="E4407" t="str">
        <f>"3809700097321"</f>
        <v>0</v>
      </c>
      <c r="F4407" t="str">
        <f>"000920"</f>
        <v>0</v>
      </c>
      <c r="G4407" t="s">
        <v>21</v>
      </c>
    </row>
    <row r="4408" spans="1:7">
      <c r="A4408">
        <v>4407</v>
      </c>
      <c r="B4408" t="str">
        <f>"012491"</f>
        <v>0</v>
      </c>
      <c r="C4408" t="s">
        <v>4566</v>
      </c>
      <c r="D4408" t="s">
        <v>3647</v>
      </c>
      <c r="E4408" t="str">
        <f>"3810300011676"</f>
        <v>0</v>
      </c>
      <c r="F4408" t="str">
        <f>"000920"</f>
        <v>0</v>
      </c>
      <c r="G4408" t="s">
        <v>21</v>
      </c>
    </row>
    <row r="4409" spans="1:7">
      <c r="A4409">
        <v>4408</v>
      </c>
      <c r="B4409" t="str">
        <f>"012631"</f>
        <v>0</v>
      </c>
      <c r="C4409" t="s">
        <v>731</v>
      </c>
      <c r="D4409" t="s">
        <v>7300</v>
      </c>
      <c r="E4409" t="str">
        <f>"3801500007461"</f>
        <v>0</v>
      </c>
      <c r="F4409" t="str">
        <f>"000920"</f>
        <v>0</v>
      </c>
      <c r="G4409" t="s">
        <v>21</v>
      </c>
    </row>
    <row r="4410" spans="1:7">
      <c r="A4410">
        <v>4409</v>
      </c>
      <c r="B4410" t="str">
        <f>"012770"</f>
        <v>0</v>
      </c>
      <c r="C4410" t="s">
        <v>7301</v>
      </c>
      <c r="D4410" t="s">
        <v>7302</v>
      </c>
      <c r="E4410" t="str">
        <f>"3350700071107"</f>
        <v>0</v>
      </c>
      <c r="F4410" t="str">
        <f>"000920"</f>
        <v>0</v>
      </c>
      <c r="G4410" t="s">
        <v>21</v>
      </c>
    </row>
    <row r="4411" spans="1:7">
      <c r="A4411">
        <v>4410</v>
      </c>
      <c r="B4411" t="str">
        <f>"012799"</f>
        <v>0</v>
      </c>
      <c r="C4411" t="s">
        <v>4799</v>
      </c>
      <c r="D4411" t="s">
        <v>7303</v>
      </c>
      <c r="E4411" t="str">
        <f>"5329990031515"</f>
        <v>0</v>
      </c>
      <c r="F4411" t="str">
        <f>"000920"</f>
        <v>0</v>
      </c>
      <c r="G4411" t="s">
        <v>21</v>
      </c>
    </row>
    <row r="4412" spans="1:7">
      <c r="A4412">
        <v>4411</v>
      </c>
      <c r="B4412" t="str">
        <f>"012951"</f>
        <v>0</v>
      </c>
      <c r="C4412" t="s">
        <v>6681</v>
      </c>
      <c r="D4412" t="s">
        <v>7304</v>
      </c>
      <c r="E4412" t="str">
        <f>"3809900258921"</f>
        <v>0</v>
      </c>
      <c r="F4412" t="str">
        <f>"000920"</f>
        <v>0</v>
      </c>
      <c r="G4412" t="s">
        <v>21</v>
      </c>
    </row>
    <row r="4413" spans="1:7">
      <c r="A4413">
        <v>4412</v>
      </c>
      <c r="B4413" t="str">
        <f>"014448"</f>
        <v>0</v>
      </c>
      <c r="C4413" t="s">
        <v>7305</v>
      </c>
      <c r="D4413" t="s">
        <v>7306</v>
      </c>
      <c r="E4413" t="str">
        <f>"3960200332968"</f>
        <v>0</v>
      </c>
      <c r="F4413" t="str">
        <f>"000920"</f>
        <v>0</v>
      </c>
      <c r="G4413" t="s">
        <v>21</v>
      </c>
    </row>
    <row r="4414" spans="1:7">
      <c r="A4414">
        <v>4413</v>
      </c>
      <c r="B4414" t="str">
        <f>"015001"</f>
        <v>0</v>
      </c>
      <c r="C4414" t="s">
        <v>341</v>
      </c>
      <c r="D4414" t="s">
        <v>7307</v>
      </c>
      <c r="E4414" t="str">
        <f>"3100201768198"</f>
        <v>0</v>
      </c>
      <c r="F4414" t="str">
        <f>"000920"</f>
        <v>0</v>
      </c>
      <c r="G4414" t="s">
        <v>21</v>
      </c>
    </row>
    <row r="4415" spans="1:7">
      <c r="A4415">
        <v>4414</v>
      </c>
      <c r="B4415" t="str">
        <f>"015090"</f>
        <v>0</v>
      </c>
      <c r="C4415" t="s">
        <v>7308</v>
      </c>
      <c r="D4415" t="s">
        <v>7309</v>
      </c>
      <c r="E4415" t="str">
        <f>"3809700126436"</f>
        <v>0</v>
      </c>
      <c r="F4415" t="str">
        <f>"000920"</f>
        <v>0</v>
      </c>
      <c r="G4415" t="s">
        <v>21</v>
      </c>
    </row>
    <row r="4416" spans="1:7">
      <c r="A4416">
        <v>4415</v>
      </c>
      <c r="B4416" t="str">
        <f>"015775"</f>
        <v>0</v>
      </c>
      <c r="C4416" t="s">
        <v>694</v>
      </c>
      <c r="D4416" t="s">
        <v>7310</v>
      </c>
      <c r="E4416" t="str">
        <f>"3900100054176"</f>
        <v>0</v>
      </c>
      <c r="F4416" t="str">
        <f>"000920"</f>
        <v>0</v>
      </c>
      <c r="G4416" t="s">
        <v>21</v>
      </c>
    </row>
    <row r="4417" spans="1:7">
      <c r="A4417">
        <v>4416</v>
      </c>
      <c r="B4417" t="str">
        <f>"015887"</f>
        <v>0</v>
      </c>
      <c r="C4417" t="s">
        <v>6732</v>
      </c>
      <c r="D4417" t="s">
        <v>7311</v>
      </c>
      <c r="E4417" t="str">
        <f>"3820500245255"</f>
        <v>0</v>
      </c>
      <c r="F4417" t="str">
        <f>"000920"</f>
        <v>0</v>
      </c>
      <c r="G4417" t="s">
        <v>21</v>
      </c>
    </row>
    <row r="4418" spans="1:7">
      <c r="A4418">
        <v>4417</v>
      </c>
      <c r="B4418" t="str">
        <f>"016160"</f>
        <v>0</v>
      </c>
      <c r="C4418" t="s">
        <v>7312</v>
      </c>
      <c r="D4418" t="s">
        <v>7313</v>
      </c>
      <c r="E4418" t="str">
        <f>"3809900572600"</f>
        <v>0</v>
      </c>
      <c r="F4418" t="str">
        <f>"000920"</f>
        <v>0</v>
      </c>
      <c r="G4418" t="s">
        <v>21</v>
      </c>
    </row>
    <row r="4419" spans="1:7">
      <c r="A4419">
        <v>4418</v>
      </c>
      <c r="B4419" t="str">
        <f>"016428"</f>
        <v>0</v>
      </c>
      <c r="C4419" t="s">
        <v>6541</v>
      </c>
      <c r="D4419" t="s">
        <v>7314</v>
      </c>
      <c r="E4419" t="str">
        <f>"3809700064856"</f>
        <v>0</v>
      </c>
      <c r="F4419" t="str">
        <f>"000920"</f>
        <v>0</v>
      </c>
      <c r="G4419" t="s">
        <v>21</v>
      </c>
    </row>
    <row r="4420" spans="1:7">
      <c r="A4420">
        <v>4419</v>
      </c>
      <c r="B4420" t="str">
        <f>"016443"</f>
        <v>0</v>
      </c>
      <c r="C4420" t="s">
        <v>7315</v>
      </c>
      <c r="D4420" t="s">
        <v>7316</v>
      </c>
      <c r="E4420" t="str">
        <f>"3909800218668"</f>
        <v>0</v>
      </c>
      <c r="F4420" t="str">
        <f>"000920"</f>
        <v>0</v>
      </c>
      <c r="G4420" t="s">
        <v>21</v>
      </c>
    </row>
    <row r="4421" spans="1:7">
      <c r="A4421">
        <v>4420</v>
      </c>
      <c r="B4421" t="str">
        <f>"017198"</f>
        <v>0</v>
      </c>
      <c r="C4421" t="s">
        <v>7317</v>
      </c>
      <c r="D4421" t="s">
        <v>7318</v>
      </c>
      <c r="E4421" t="str">
        <f>"3800900875710"</f>
        <v>0</v>
      </c>
      <c r="F4421" t="str">
        <f>"000920"</f>
        <v>0</v>
      </c>
      <c r="G4421" t="s">
        <v>21</v>
      </c>
    </row>
    <row r="4422" spans="1:7">
      <c r="A4422">
        <v>4421</v>
      </c>
      <c r="B4422" t="str">
        <f>"017768"</f>
        <v>0</v>
      </c>
      <c r="C4422" t="s">
        <v>4795</v>
      </c>
      <c r="D4422" t="s">
        <v>7319</v>
      </c>
      <c r="E4422" t="str">
        <f>"3809900158528"</f>
        <v>0</v>
      </c>
      <c r="F4422" t="str">
        <f>"000920"</f>
        <v>0</v>
      </c>
      <c r="G4422" t="s">
        <v>21</v>
      </c>
    </row>
    <row r="4423" spans="1:7">
      <c r="A4423">
        <v>4422</v>
      </c>
      <c r="B4423" t="str">
        <f>"018296"</f>
        <v>0</v>
      </c>
      <c r="C4423" t="s">
        <v>7320</v>
      </c>
      <c r="D4423" t="s">
        <v>7321</v>
      </c>
      <c r="E4423" t="str">
        <f>"4229700001378"</f>
        <v>0</v>
      </c>
      <c r="F4423" t="str">
        <f>"000920"</f>
        <v>0</v>
      </c>
      <c r="G4423" t="s">
        <v>21</v>
      </c>
    </row>
    <row r="4424" spans="1:7">
      <c r="A4424">
        <v>4423</v>
      </c>
      <c r="B4424" t="str">
        <f>"019020"</f>
        <v>0</v>
      </c>
      <c r="C4424" t="s">
        <v>7322</v>
      </c>
      <c r="D4424" t="s">
        <v>7323</v>
      </c>
      <c r="E4424" t="str">
        <f>"3801300004875"</f>
        <v>0</v>
      </c>
      <c r="F4424" t="str">
        <f>"000920"</f>
        <v>0</v>
      </c>
      <c r="G4424" t="s">
        <v>21</v>
      </c>
    </row>
    <row r="4425" spans="1:7">
      <c r="A4425">
        <v>4424</v>
      </c>
      <c r="B4425" t="str">
        <f>"019090"</f>
        <v>0</v>
      </c>
      <c r="C4425" t="s">
        <v>7324</v>
      </c>
      <c r="D4425" t="s">
        <v>7325</v>
      </c>
      <c r="E4425" t="str">
        <f>"3909800726442"</f>
        <v>0</v>
      </c>
      <c r="F4425" t="str">
        <f>"000920"</f>
        <v>0</v>
      </c>
      <c r="G4425" t="s">
        <v>21</v>
      </c>
    </row>
    <row r="4426" spans="1:7">
      <c r="A4426">
        <v>4425</v>
      </c>
      <c r="B4426" t="str">
        <f>"019755"</f>
        <v>0</v>
      </c>
      <c r="C4426" t="s">
        <v>144</v>
      </c>
      <c r="D4426" t="s">
        <v>7326</v>
      </c>
      <c r="E4426" t="str">
        <f>"3840100364800"</f>
        <v>0</v>
      </c>
      <c r="F4426" t="str">
        <f>"000920"</f>
        <v>0</v>
      </c>
      <c r="G4426" t="s">
        <v>21</v>
      </c>
    </row>
    <row r="4427" spans="1:7">
      <c r="A4427">
        <v>4426</v>
      </c>
      <c r="B4427" t="str">
        <f>"021064"</f>
        <v>0</v>
      </c>
      <c r="C4427" t="s">
        <v>7327</v>
      </c>
      <c r="D4427" t="s">
        <v>7328</v>
      </c>
      <c r="E4427" t="str">
        <f>"3809900618405"</f>
        <v>0</v>
      </c>
      <c r="F4427" t="str">
        <f>"000920"</f>
        <v>0</v>
      </c>
      <c r="G4427" t="s">
        <v>21</v>
      </c>
    </row>
    <row r="4428" spans="1:7">
      <c r="A4428">
        <v>4427</v>
      </c>
      <c r="B4428" t="str">
        <f>"021767"</f>
        <v>0</v>
      </c>
      <c r="C4428" t="s">
        <v>7329</v>
      </c>
      <c r="D4428" t="s">
        <v>7330</v>
      </c>
      <c r="E4428" t="str">
        <f>"3801500016150"</f>
        <v>0</v>
      </c>
      <c r="F4428" t="str">
        <f>"000920"</f>
        <v>0</v>
      </c>
      <c r="G4428" t="s">
        <v>21</v>
      </c>
    </row>
    <row r="4429" spans="1:7">
      <c r="A4429">
        <v>4428</v>
      </c>
      <c r="B4429" t="str">
        <f>"021898"</f>
        <v>0</v>
      </c>
      <c r="C4429" t="s">
        <v>7331</v>
      </c>
      <c r="D4429" t="s">
        <v>7332</v>
      </c>
      <c r="E4429" t="str">
        <f>"3841500325926"</f>
        <v>0</v>
      </c>
      <c r="F4429" t="str">
        <f>"000920"</f>
        <v>0</v>
      </c>
      <c r="G4429" t="s">
        <v>21</v>
      </c>
    </row>
    <row r="4430" spans="1:7">
      <c r="A4430">
        <v>4429</v>
      </c>
      <c r="B4430" t="str">
        <f>"023926"</f>
        <v>0</v>
      </c>
      <c r="C4430" t="s">
        <v>197</v>
      </c>
      <c r="D4430" t="s">
        <v>7333</v>
      </c>
      <c r="E4430" t="str">
        <f>"3830100306184"</f>
        <v>0</v>
      </c>
      <c r="F4430" t="str">
        <f>"000920"</f>
        <v>0</v>
      </c>
      <c r="G4430" t="s">
        <v>21</v>
      </c>
    </row>
    <row r="4431" spans="1:7">
      <c r="A4431">
        <v>4430</v>
      </c>
      <c r="B4431" t="str">
        <f>"023927"</f>
        <v>0</v>
      </c>
      <c r="C4431" t="s">
        <v>7334</v>
      </c>
      <c r="D4431" t="s">
        <v>7299</v>
      </c>
      <c r="E4431" t="str">
        <f>"3801000044197"</f>
        <v>0</v>
      </c>
      <c r="F4431" t="str">
        <f>"000920"</f>
        <v>0</v>
      </c>
      <c r="G4431" t="s">
        <v>21</v>
      </c>
    </row>
    <row r="4432" spans="1:7">
      <c r="A4432">
        <v>4431</v>
      </c>
      <c r="B4432" t="str">
        <f>"024195"</f>
        <v>0</v>
      </c>
      <c r="C4432" t="s">
        <v>2345</v>
      </c>
      <c r="D4432" t="s">
        <v>7335</v>
      </c>
      <c r="E4432" t="str">
        <f>"3809900030998"</f>
        <v>0</v>
      </c>
      <c r="F4432" t="str">
        <f>"000920"</f>
        <v>0</v>
      </c>
      <c r="G4432" t="s">
        <v>21</v>
      </c>
    </row>
    <row r="4433" spans="1:7">
      <c r="A4433">
        <v>4432</v>
      </c>
      <c r="B4433" t="str">
        <f>"016050"</f>
        <v>0</v>
      </c>
      <c r="C4433" t="s">
        <v>3364</v>
      </c>
      <c r="D4433" t="s">
        <v>7336</v>
      </c>
      <c r="E4433" t="str">
        <f>"3801100193780"</f>
        <v>0</v>
      </c>
      <c r="F4433" t="str">
        <f>"000920"</f>
        <v>0</v>
      </c>
      <c r="G4433" t="s">
        <v>21</v>
      </c>
    </row>
    <row r="4434" spans="1:7">
      <c r="A4434">
        <v>4433</v>
      </c>
      <c r="B4434" t="str">
        <f>"017767"</f>
        <v>0</v>
      </c>
      <c r="C4434" t="s">
        <v>7337</v>
      </c>
      <c r="D4434" t="s">
        <v>7338</v>
      </c>
      <c r="E4434" t="str">
        <f>"3800700657239"</f>
        <v>0</v>
      </c>
      <c r="F4434" t="str">
        <f>"000920"</f>
        <v>0</v>
      </c>
      <c r="G4434" t="s">
        <v>21</v>
      </c>
    </row>
    <row r="4435" spans="1:7">
      <c r="A4435">
        <v>4434</v>
      </c>
      <c r="B4435" t="str">
        <f>"020443"</f>
        <v>0</v>
      </c>
      <c r="C4435" t="s">
        <v>7339</v>
      </c>
      <c r="D4435" t="s">
        <v>7340</v>
      </c>
      <c r="E4435" t="str">
        <f>"3659900500864"</f>
        <v>0</v>
      </c>
      <c r="F4435" t="str">
        <f>"000920"</f>
        <v>0</v>
      </c>
      <c r="G4435" t="s">
        <v>21</v>
      </c>
    </row>
    <row r="4436" spans="1:7">
      <c r="A4436">
        <v>4435</v>
      </c>
      <c r="B4436" t="str">
        <f>"022521"</f>
        <v>0</v>
      </c>
      <c r="C4436" t="s">
        <v>1534</v>
      </c>
      <c r="D4436" t="s">
        <v>7341</v>
      </c>
      <c r="E4436" t="str">
        <f>"3800100374554"</f>
        <v>0</v>
      </c>
      <c r="F4436" t="str">
        <f>"000920"</f>
        <v>0</v>
      </c>
      <c r="G4436" t="s">
        <v>21</v>
      </c>
    </row>
    <row r="4437" spans="1:7">
      <c r="A4437">
        <v>4436</v>
      </c>
      <c r="B4437" t="str">
        <f>"012980"</f>
        <v>0</v>
      </c>
      <c r="C4437" t="s">
        <v>7256</v>
      </c>
      <c r="D4437" t="s">
        <v>7206</v>
      </c>
      <c r="E4437" t="str">
        <f>"3800200117901"</f>
        <v>0</v>
      </c>
      <c r="F4437" t="str">
        <f>"000920"</f>
        <v>0</v>
      </c>
      <c r="G4437" t="s">
        <v>21</v>
      </c>
    </row>
    <row r="4438" spans="1:7">
      <c r="A4438">
        <v>4437</v>
      </c>
      <c r="B4438" t="str">
        <f>"026238"</f>
        <v>0</v>
      </c>
      <c r="C4438" t="s">
        <v>7342</v>
      </c>
      <c r="D4438" t="s">
        <v>7343</v>
      </c>
      <c r="E4438" t="str">
        <f>"1570500159827"</f>
        <v>0</v>
      </c>
      <c r="F4438" t="str">
        <f>"000920"</f>
        <v>0</v>
      </c>
      <c r="G4438" t="s">
        <v>21</v>
      </c>
    </row>
    <row r="4439" spans="1:7">
      <c r="A4439">
        <v>4438</v>
      </c>
      <c r="B4439" t="str">
        <f>"021734"</f>
        <v>0</v>
      </c>
      <c r="C4439" t="s">
        <v>7344</v>
      </c>
      <c r="D4439" t="s">
        <v>7345</v>
      </c>
      <c r="E4439" t="str">
        <f>"3801200186190"</f>
        <v>0</v>
      </c>
      <c r="F4439" t="str">
        <f>"000920"</f>
        <v>0</v>
      </c>
      <c r="G4439" t="s">
        <v>21</v>
      </c>
    </row>
    <row r="4440" spans="1:7">
      <c r="A4440">
        <v>4439</v>
      </c>
      <c r="B4440" t="str">
        <f>"008885"</f>
        <v>0</v>
      </c>
      <c r="C4440" t="s">
        <v>4967</v>
      </c>
      <c r="D4440" t="s">
        <v>7346</v>
      </c>
      <c r="E4440" t="str">
        <f>"3959900073041"</f>
        <v>0</v>
      </c>
      <c r="F4440" t="str">
        <f>"000920"</f>
        <v>0</v>
      </c>
      <c r="G4440" t="s">
        <v>21</v>
      </c>
    </row>
    <row r="4441" spans="1:7">
      <c r="A4441">
        <v>4440</v>
      </c>
      <c r="B4441" t="str">
        <f>"011175"</f>
        <v>0</v>
      </c>
      <c r="C4441" t="s">
        <v>470</v>
      </c>
      <c r="D4441" t="s">
        <v>7347</v>
      </c>
      <c r="E4441" t="str">
        <f>"4220500001988"</f>
        <v>0</v>
      </c>
      <c r="F4441" t="str">
        <f>"000920"</f>
        <v>0</v>
      </c>
      <c r="G4441" t="s">
        <v>21</v>
      </c>
    </row>
    <row r="4442" spans="1:7">
      <c r="A4442">
        <v>4441</v>
      </c>
      <c r="B4442" t="str">
        <f>"011853"</f>
        <v>0</v>
      </c>
      <c r="C4442" t="s">
        <v>7348</v>
      </c>
      <c r="D4442" t="s">
        <v>7349</v>
      </c>
      <c r="E4442" t="str">
        <f>"3510400150565"</f>
        <v>0</v>
      </c>
      <c r="F4442" t="str">
        <f>"000920"</f>
        <v>0</v>
      </c>
      <c r="G4442" t="s">
        <v>21</v>
      </c>
    </row>
    <row r="4443" spans="1:7">
      <c r="A4443">
        <v>4442</v>
      </c>
      <c r="B4443" t="str">
        <f>"013417"</f>
        <v>0</v>
      </c>
      <c r="C4443" t="s">
        <v>7350</v>
      </c>
      <c r="D4443" t="s">
        <v>7351</v>
      </c>
      <c r="E4443" t="str">
        <f>"3800800505333"</f>
        <v>0</v>
      </c>
      <c r="F4443" t="str">
        <f>"000920"</f>
        <v>0</v>
      </c>
      <c r="G4443" t="s">
        <v>21</v>
      </c>
    </row>
    <row r="4444" spans="1:7">
      <c r="A4444">
        <v>4443</v>
      </c>
      <c r="B4444" t="str">
        <f>"013976"</f>
        <v>0</v>
      </c>
      <c r="C4444" t="s">
        <v>5347</v>
      </c>
      <c r="D4444" t="s">
        <v>7352</v>
      </c>
      <c r="E4444" t="str">
        <f>"3800200071073"</f>
        <v>0</v>
      </c>
      <c r="F4444" t="str">
        <f>"000920"</f>
        <v>0</v>
      </c>
      <c r="G4444" t="s">
        <v>21</v>
      </c>
    </row>
    <row r="4445" spans="1:7">
      <c r="A4445">
        <v>4444</v>
      </c>
      <c r="B4445" t="str">
        <f>"015881"</f>
        <v>0</v>
      </c>
      <c r="C4445" t="s">
        <v>7353</v>
      </c>
      <c r="D4445" t="s">
        <v>7354</v>
      </c>
      <c r="E4445" t="str">
        <f>"3800600026377"</f>
        <v>0</v>
      </c>
      <c r="F4445" t="str">
        <f>"000920"</f>
        <v>0</v>
      </c>
      <c r="G4445" t="s">
        <v>21</v>
      </c>
    </row>
    <row r="4446" spans="1:7">
      <c r="A4446">
        <v>4445</v>
      </c>
      <c r="B4446" t="str">
        <f>"015971"</f>
        <v>0</v>
      </c>
      <c r="C4446" t="s">
        <v>1021</v>
      </c>
      <c r="D4446" t="s">
        <v>7355</v>
      </c>
      <c r="E4446" t="str">
        <f>"3800900882783"</f>
        <v>0</v>
      </c>
      <c r="F4446" t="str">
        <f>"000920"</f>
        <v>0</v>
      </c>
      <c r="G4446" t="s">
        <v>21</v>
      </c>
    </row>
    <row r="4447" spans="1:7">
      <c r="A4447">
        <v>4446</v>
      </c>
      <c r="B4447" t="str">
        <f>"016046"</f>
        <v>0</v>
      </c>
      <c r="C4447" t="s">
        <v>7356</v>
      </c>
      <c r="D4447" t="s">
        <v>7357</v>
      </c>
      <c r="E4447" t="str">
        <f>"3809900142753"</f>
        <v>0</v>
      </c>
      <c r="F4447" t="str">
        <f>"000920"</f>
        <v>0</v>
      </c>
      <c r="G4447" t="s">
        <v>21</v>
      </c>
    </row>
    <row r="4448" spans="1:7">
      <c r="A4448">
        <v>4447</v>
      </c>
      <c r="B4448" t="str">
        <f>"017476"</f>
        <v>0</v>
      </c>
      <c r="C4448" t="s">
        <v>7358</v>
      </c>
      <c r="D4448" t="s">
        <v>7359</v>
      </c>
      <c r="E4448" t="str">
        <f>"5801190001521"</f>
        <v>0</v>
      </c>
      <c r="F4448" t="str">
        <f>"000920"</f>
        <v>0</v>
      </c>
      <c r="G4448" t="s">
        <v>21</v>
      </c>
    </row>
    <row r="4449" spans="1:7">
      <c r="A4449">
        <v>4448</v>
      </c>
      <c r="B4449" t="str">
        <f>"017712"</f>
        <v>0</v>
      </c>
      <c r="C4449" t="s">
        <v>5390</v>
      </c>
      <c r="D4449" t="s">
        <v>7360</v>
      </c>
      <c r="E4449" t="str">
        <f>"3801300693484"</f>
        <v>0</v>
      </c>
      <c r="F4449" t="str">
        <f>"000920"</f>
        <v>0</v>
      </c>
      <c r="G4449" t="s">
        <v>21</v>
      </c>
    </row>
    <row r="4450" spans="1:7">
      <c r="A4450">
        <v>4449</v>
      </c>
      <c r="B4450" t="str">
        <f>"017993"</f>
        <v>0</v>
      </c>
      <c r="C4450" t="s">
        <v>7361</v>
      </c>
      <c r="D4450" t="s">
        <v>7362</v>
      </c>
      <c r="E4450" t="str">
        <f>"3809700027012"</f>
        <v>0</v>
      </c>
      <c r="F4450" t="str">
        <f>"000920"</f>
        <v>0</v>
      </c>
      <c r="G4450" t="s">
        <v>21</v>
      </c>
    </row>
    <row r="4451" spans="1:7">
      <c r="A4451">
        <v>4450</v>
      </c>
      <c r="B4451" t="str">
        <f>"018346"</f>
        <v>0</v>
      </c>
      <c r="C4451" t="s">
        <v>7363</v>
      </c>
      <c r="D4451" t="s">
        <v>7364</v>
      </c>
      <c r="E4451" t="str">
        <f>"3800700090441"</f>
        <v>0</v>
      </c>
      <c r="F4451" t="str">
        <f>"000920"</f>
        <v>0</v>
      </c>
      <c r="G4451" t="s">
        <v>21</v>
      </c>
    </row>
    <row r="4452" spans="1:7">
      <c r="A4452">
        <v>4451</v>
      </c>
      <c r="B4452" t="str">
        <f>"018670"</f>
        <v>0</v>
      </c>
      <c r="C4452" t="s">
        <v>7365</v>
      </c>
      <c r="D4452" t="s">
        <v>7366</v>
      </c>
      <c r="E4452" t="str">
        <f>"3800800626530"</f>
        <v>0</v>
      </c>
      <c r="F4452" t="str">
        <f>"000920"</f>
        <v>0</v>
      </c>
      <c r="G4452" t="s">
        <v>21</v>
      </c>
    </row>
    <row r="4453" spans="1:7">
      <c r="A4453">
        <v>4452</v>
      </c>
      <c r="B4453" t="str">
        <f>"018680"</f>
        <v>0</v>
      </c>
      <c r="C4453" t="s">
        <v>3150</v>
      </c>
      <c r="D4453" t="s">
        <v>7367</v>
      </c>
      <c r="E4453" t="str">
        <f>"3801400250037"</f>
        <v>0</v>
      </c>
      <c r="F4453" t="str">
        <f>"000920"</f>
        <v>0</v>
      </c>
      <c r="G4453" t="s">
        <v>21</v>
      </c>
    </row>
    <row r="4454" spans="1:7">
      <c r="A4454">
        <v>4453</v>
      </c>
      <c r="B4454" t="str">
        <f>"019419"</f>
        <v>0</v>
      </c>
      <c r="C4454" t="s">
        <v>1998</v>
      </c>
      <c r="D4454" t="s">
        <v>4551</v>
      </c>
      <c r="E4454" t="str">
        <f>"3800800357105"</f>
        <v>0</v>
      </c>
      <c r="F4454" t="str">
        <f>"000920"</f>
        <v>0</v>
      </c>
      <c r="G4454" t="s">
        <v>21</v>
      </c>
    </row>
    <row r="4455" spans="1:7">
      <c r="A4455">
        <v>4454</v>
      </c>
      <c r="B4455" t="str">
        <f>"019690"</f>
        <v>0</v>
      </c>
      <c r="C4455" t="s">
        <v>7368</v>
      </c>
      <c r="D4455" t="s">
        <v>7369</v>
      </c>
      <c r="E4455" t="str">
        <f>"3809900276920"</f>
        <v>0</v>
      </c>
      <c r="F4455" t="str">
        <f>"000920"</f>
        <v>0</v>
      </c>
      <c r="G4455" t="s">
        <v>21</v>
      </c>
    </row>
    <row r="4456" spans="1:7">
      <c r="A4456">
        <v>4455</v>
      </c>
      <c r="B4456" t="str">
        <f>"019811"</f>
        <v>0</v>
      </c>
      <c r="C4456" t="s">
        <v>6446</v>
      </c>
      <c r="D4456" t="s">
        <v>4551</v>
      </c>
      <c r="E4456" t="str">
        <f>"3800800356036"</f>
        <v>0</v>
      </c>
      <c r="F4456" t="str">
        <f>"000920"</f>
        <v>0</v>
      </c>
      <c r="G4456" t="s">
        <v>21</v>
      </c>
    </row>
    <row r="4457" spans="1:7">
      <c r="A4457">
        <v>4456</v>
      </c>
      <c r="B4457" t="str">
        <f>"019910"</f>
        <v>0</v>
      </c>
      <c r="C4457" t="s">
        <v>7370</v>
      </c>
      <c r="D4457" t="s">
        <v>7371</v>
      </c>
      <c r="E4457" t="str">
        <f>"3800100135002"</f>
        <v>0</v>
      </c>
      <c r="F4457" t="str">
        <f>"000920"</f>
        <v>0</v>
      </c>
      <c r="G4457" t="s">
        <v>21</v>
      </c>
    </row>
    <row r="4458" spans="1:7">
      <c r="A4458">
        <v>4457</v>
      </c>
      <c r="B4458" t="str">
        <f>"020096"</f>
        <v>0</v>
      </c>
      <c r="C4458" t="s">
        <v>7372</v>
      </c>
      <c r="D4458" t="s">
        <v>7373</v>
      </c>
      <c r="E4458" t="str">
        <f>"3800101548262"</f>
        <v>0</v>
      </c>
      <c r="F4458" t="str">
        <f>"000920"</f>
        <v>0</v>
      </c>
      <c r="G4458" t="s">
        <v>21</v>
      </c>
    </row>
    <row r="4459" spans="1:7">
      <c r="A4459">
        <v>4458</v>
      </c>
      <c r="B4459" t="str">
        <f>"020193"</f>
        <v>0</v>
      </c>
      <c r="C4459" t="s">
        <v>7374</v>
      </c>
      <c r="D4459" t="s">
        <v>7375</v>
      </c>
      <c r="E4459" t="str">
        <f>"3800100025690"</f>
        <v>0</v>
      </c>
      <c r="F4459" t="str">
        <f>"000920"</f>
        <v>0</v>
      </c>
      <c r="G4459" t="s">
        <v>21</v>
      </c>
    </row>
    <row r="4460" spans="1:7">
      <c r="A4460">
        <v>4459</v>
      </c>
      <c r="B4460" t="str">
        <f>"020259"</f>
        <v>0</v>
      </c>
      <c r="C4460" t="s">
        <v>7376</v>
      </c>
      <c r="D4460" t="s">
        <v>7377</v>
      </c>
      <c r="E4460" t="str">
        <f>"3900700625875"</f>
        <v>0</v>
      </c>
      <c r="F4460" t="str">
        <f>"000920"</f>
        <v>0</v>
      </c>
      <c r="G4460" t="s">
        <v>21</v>
      </c>
    </row>
    <row r="4461" spans="1:7">
      <c r="A4461">
        <v>4460</v>
      </c>
      <c r="B4461" t="str">
        <f>"020280"</f>
        <v>0</v>
      </c>
      <c r="C4461" t="s">
        <v>7378</v>
      </c>
      <c r="D4461" t="s">
        <v>4200</v>
      </c>
      <c r="E4461" t="str">
        <f>"3800300335374"</f>
        <v>0</v>
      </c>
      <c r="F4461" t="str">
        <f>"000920"</f>
        <v>0</v>
      </c>
      <c r="G4461" t="s">
        <v>21</v>
      </c>
    </row>
    <row r="4462" spans="1:7">
      <c r="A4462">
        <v>4461</v>
      </c>
      <c r="B4462" t="str">
        <f>"020475"</f>
        <v>0</v>
      </c>
      <c r="C4462" t="s">
        <v>7379</v>
      </c>
      <c r="D4462" t="s">
        <v>7380</v>
      </c>
      <c r="E4462" t="str">
        <f>"3801400158424"</f>
        <v>0</v>
      </c>
      <c r="F4462" t="str">
        <f>"000920"</f>
        <v>0</v>
      </c>
      <c r="G4462" t="s">
        <v>21</v>
      </c>
    </row>
    <row r="4463" spans="1:7">
      <c r="A4463">
        <v>4462</v>
      </c>
      <c r="B4463" t="str">
        <f>"020540"</f>
        <v>0</v>
      </c>
      <c r="C4463" t="s">
        <v>6174</v>
      </c>
      <c r="D4463" t="s">
        <v>7381</v>
      </c>
      <c r="E4463" t="str">
        <f>"3809900659152"</f>
        <v>0</v>
      </c>
      <c r="F4463" t="str">
        <f>"000920"</f>
        <v>0</v>
      </c>
      <c r="G4463" t="s">
        <v>21</v>
      </c>
    </row>
    <row r="4464" spans="1:7">
      <c r="A4464">
        <v>4463</v>
      </c>
      <c r="B4464" t="str">
        <f>"020719"</f>
        <v>0</v>
      </c>
      <c r="C4464" t="s">
        <v>1727</v>
      </c>
      <c r="D4464" t="s">
        <v>7382</v>
      </c>
      <c r="E4464" t="str">
        <f>"3809900182917"</f>
        <v>0</v>
      </c>
      <c r="F4464" t="str">
        <f>"000920"</f>
        <v>0</v>
      </c>
      <c r="G4464" t="s">
        <v>21</v>
      </c>
    </row>
    <row r="4465" spans="1:7">
      <c r="A4465">
        <v>4464</v>
      </c>
      <c r="B4465" t="str">
        <f>"020803"</f>
        <v>0</v>
      </c>
      <c r="C4465" t="s">
        <v>1021</v>
      </c>
      <c r="D4465" t="s">
        <v>5973</v>
      </c>
      <c r="E4465" t="str">
        <f>"3900700044147"</f>
        <v>0</v>
      </c>
      <c r="F4465" t="str">
        <f>"000920"</f>
        <v>0</v>
      </c>
      <c r="G4465" t="s">
        <v>21</v>
      </c>
    </row>
    <row r="4466" spans="1:7">
      <c r="A4466">
        <v>4465</v>
      </c>
      <c r="B4466" t="str">
        <f>"020905"</f>
        <v>0</v>
      </c>
      <c r="C4466" t="s">
        <v>7383</v>
      </c>
      <c r="D4466" t="s">
        <v>7384</v>
      </c>
      <c r="E4466" t="str">
        <f>"3801200492045"</f>
        <v>0</v>
      </c>
      <c r="F4466" t="str">
        <f>"000920"</f>
        <v>0</v>
      </c>
      <c r="G4466" t="s">
        <v>21</v>
      </c>
    </row>
    <row r="4467" spans="1:7">
      <c r="A4467">
        <v>4466</v>
      </c>
      <c r="B4467" t="str">
        <f>"020955"</f>
        <v>0</v>
      </c>
      <c r="C4467" t="s">
        <v>2022</v>
      </c>
      <c r="D4467" t="s">
        <v>7385</v>
      </c>
      <c r="E4467" t="str">
        <f>"3800500062924"</f>
        <v>0</v>
      </c>
      <c r="F4467" t="str">
        <f>"000920"</f>
        <v>0</v>
      </c>
      <c r="G4467" t="s">
        <v>21</v>
      </c>
    </row>
    <row r="4468" spans="1:7">
      <c r="A4468">
        <v>4467</v>
      </c>
      <c r="B4468" t="str">
        <f>"021502"</f>
        <v>0</v>
      </c>
      <c r="C4468" t="s">
        <v>7386</v>
      </c>
      <c r="D4468" t="s">
        <v>7387</v>
      </c>
      <c r="E4468" t="str">
        <f>"1800600001076"</f>
        <v>0</v>
      </c>
      <c r="F4468" t="str">
        <f>"000920"</f>
        <v>0</v>
      </c>
      <c r="G4468" t="s">
        <v>21</v>
      </c>
    </row>
    <row r="4469" spans="1:7">
      <c r="A4469">
        <v>4468</v>
      </c>
      <c r="B4469" t="str">
        <f>"021613"</f>
        <v>0</v>
      </c>
      <c r="C4469" t="s">
        <v>7388</v>
      </c>
      <c r="D4469" t="s">
        <v>4580</v>
      </c>
      <c r="E4469" t="str">
        <f>"3800500133121"</f>
        <v>0</v>
      </c>
      <c r="F4469" t="str">
        <f>"000920"</f>
        <v>0</v>
      </c>
      <c r="G4469" t="s">
        <v>21</v>
      </c>
    </row>
    <row r="4470" spans="1:7">
      <c r="A4470">
        <v>4469</v>
      </c>
      <c r="B4470" t="str">
        <f>"021660"</f>
        <v>0</v>
      </c>
      <c r="C4470" t="s">
        <v>814</v>
      </c>
      <c r="D4470" t="s">
        <v>7389</v>
      </c>
      <c r="E4470" t="str">
        <f>"1909900033621"</f>
        <v>0</v>
      </c>
      <c r="F4470" t="str">
        <f>"000920"</f>
        <v>0</v>
      </c>
      <c r="G4470" t="s">
        <v>21</v>
      </c>
    </row>
    <row r="4471" spans="1:7">
      <c r="A4471">
        <v>4470</v>
      </c>
      <c r="B4471" t="str">
        <f>"021661"</f>
        <v>0</v>
      </c>
      <c r="C4471" t="s">
        <v>7390</v>
      </c>
      <c r="D4471" t="s">
        <v>7391</v>
      </c>
      <c r="E4471" t="str">
        <f>"3809900399061"</f>
        <v>0</v>
      </c>
      <c r="F4471" t="str">
        <f>"000920"</f>
        <v>0</v>
      </c>
      <c r="G4471" t="s">
        <v>21</v>
      </c>
    </row>
    <row r="4472" spans="1:7">
      <c r="A4472">
        <v>4471</v>
      </c>
      <c r="B4472" t="str">
        <f>"021733"</f>
        <v>0</v>
      </c>
      <c r="C4472" t="s">
        <v>7392</v>
      </c>
      <c r="D4472" t="s">
        <v>7393</v>
      </c>
      <c r="E4472" t="str">
        <f>"3809900124577"</f>
        <v>0</v>
      </c>
      <c r="F4472" t="str">
        <f>"000920"</f>
        <v>0</v>
      </c>
      <c r="G4472" t="s">
        <v>21</v>
      </c>
    </row>
    <row r="4473" spans="1:7">
      <c r="A4473">
        <v>4472</v>
      </c>
      <c r="B4473" t="str">
        <f>"021837"</f>
        <v>0</v>
      </c>
      <c r="C4473" t="s">
        <v>7117</v>
      </c>
      <c r="D4473" t="s">
        <v>7394</v>
      </c>
      <c r="E4473" t="str">
        <f>"3801100045365"</f>
        <v>0</v>
      </c>
      <c r="F4473" t="str">
        <f>"000920"</f>
        <v>0</v>
      </c>
      <c r="G4473" t="s">
        <v>21</v>
      </c>
    </row>
    <row r="4474" spans="1:7">
      <c r="A4474">
        <v>4473</v>
      </c>
      <c r="B4474" t="str">
        <f>"021911"</f>
        <v>0</v>
      </c>
      <c r="C4474" t="s">
        <v>7395</v>
      </c>
      <c r="D4474" t="s">
        <v>7396</v>
      </c>
      <c r="E4474" t="str">
        <f>"3800800160174"</f>
        <v>0</v>
      </c>
      <c r="F4474" t="str">
        <f>"000920"</f>
        <v>0</v>
      </c>
      <c r="G4474" t="s">
        <v>21</v>
      </c>
    </row>
    <row r="4475" spans="1:7">
      <c r="A4475">
        <v>4474</v>
      </c>
      <c r="B4475" t="str">
        <f>"021924"</f>
        <v>0</v>
      </c>
      <c r="C4475" t="s">
        <v>7397</v>
      </c>
      <c r="D4475" t="s">
        <v>7398</v>
      </c>
      <c r="E4475" t="str">
        <f>"3900200459992"</f>
        <v>0</v>
      </c>
      <c r="F4475" t="str">
        <f>"000920"</f>
        <v>0</v>
      </c>
      <c r="G4475" t="s">
        <v>21</v>
      </c>
    </row>
    <row r="4476" spans="1:7">
      <c r="A4476">
        <v>4475</v>
      </c>
      <c r="B4476" t="str">
        <f>"022077"</f>
        <v>0</v>
      </c>
      <c r="C4476" t="s">
        <v>911</v>
      </c>
      <c r="D4476" t="s">
        <v>7399</v>
      </c>
      <c r="E4476" t="str">
        <f>"3801200015069"</f>
        <v>0</v>
      </c>
      <c r="F4476" t="str">
        <f>"000920"</f>
        <v>0</v>
      </c>
      <c r="G4476" t="s">
        <v>21</v>
      </c>
    </row>
    <row r="4477" spans="1:7">
      <c r="A4477">
        <v>4476</v>
      </c>
      <c r="B4477" t="str">
        <f>"022130"</f>
        <v>0</v>
      </c>
      <c r="C4477" t="s">
        <v>6249</v>
      </c>
      <c r="D4477" t="s">
        <v>7400</v>
      </c>
      <c r="E4477" t="str">
        <f>"3100503586815"</f>
        <v>0</v>
      </c>
      <c r="F4477" t="str">
        <f>"000920"</f>
        <v>0</v>
      </c>
      <c r="G4477" t="s">
        <v>21</v>
      </c>
    </row>
    <row r="4478" spans="1:7">
      <c r="A4478">
        <v>4477</v>
      </c>
      <c r="B4478" t="str">
        <f>"022183"</f>
        <v>0</v>
      </c>
      <c r="C4478" t="s">
        <v>7401</v>
      </c>
      <c r="D4478" t="s">
        <v>7402</v>
      </c>
      <c r="E4478" t="str">
        <f>"3460300689951"</f>
        <v>0</v>
      </c>
      <c r="F4478" t="str">
        <f>"000920"</f>
        <v>0</v>
      </c>
      <c r="G4478" t="s">
        <v>21</v>
      </c>
    </row>
    <row r="4479" spans="1:7">
      <c r="A4479">
        <v>4478</v>
      </c>
      <c r="B4479" t="str">
        <f>"022328"</f>
        <v>0</v>
      </c>
      <c r="C4479" t="s">
        <v>7403</v>
      </c>
      <c r="D4479" t="s">
        <v>7404</v>
      </c>
      <c r="E4479" t="str">
        <f>"1929900027841"</f>
        <v>0</v>
      </c>
      <c r="F4479" t="str">
        <f>"000920"</f>
        <v>0</v>
      </c>
      <c r="G4479" t="s">
        <v>21</v>
      </c>
    </row>
    <row r="4480" spans="1:7">
      <c r="A4480">
        <v>4479</v>
      </c>
      <c r="B4480" t="str">
        <f>"022446"</f>
        <v>0</v>
      </c>
      <c r="C4480" t="s">
        <v>7405</v>
      </c>
      <c r="D4480" t="s">
        <v>7406</v>
      </c>
      <c r="E4480" t="str">
        <f>"3800800938850"</f>
        <v>0</v>
      </c>
      <c r="F4480" t="str">
        <f>"000920"</f>
        <v>0</v>
      </c>
      <c r="G4480" t="s">
        <v>21</v>
      </c>
    </row>
    <row r="4481" spans="1:7">
      <c r="A4481">
        <v>4480</v>
      </c>
      <c r="B4481" t="str">
        <f>"022447"</f>
        <v>0</v>
      </c>
      <c r="C4481" t="s">
        <v>7407</v>
      </c>
      <c r="D4481" t="s">
        <v>7408</v>
      </c>
      <c r="E4481" t="str">
        <f>"3809800100552"</f>
        <v>0</v>
      </c>
      <c r="F4481" t="str">
        <f>"000920"</f>
        <v>0</v>
      </c>
      <c r="G4481" t="s">
        <v>21</v>
      </c>
    </row>
    <row r="4482" spans="1:7">
      <c r="A4482">
        <v>4481</v>
      </c>
      <c r="B4482" t="str">
        <f>"022448"</f>
        <v>0</v>
      </c>
      <c r="C4482" t="s">
        <v>7409</v>
      </c>
      <c r="D4482" t="s">
        <v>7410</v>
      </c>
      <c r="E4482" t="str">
        <f>"3800700345911"</f>
        <v>0</v>
      </c>
      <c r="F4482" t="str">
        <f>"000920"</f>
        <v>0</v>
      </c>
      <c r="G4482" t="s">
        <v>21</v>
      </c>
    </row>
    <row r="4483" spans="1:7">
      <c r="A4483">
        <v>4482</v>
      </c>
      <c r="B4483" t="str">
        <f>"022449"</f>
        <v>0</v>
      </c>
      <c r="C4483" t="s">
        <v>7411</v>
      </c>
      <c r="D4483" t="s">
        <v>7412</v>
      </c>
      <c r="E4483" t="str">
        <f>"3801400009984"</f>
        <v>0</v>
      </c>
      <c r="F4483" t="str">
        <f>"000920"</f>
        <v>0</v>
      </c>
      <c r="G4483" t="s">
        <v>21</v>
      </c>
    </row>
    <row r="4484" spans="1:7">
      <c r="A4484">
        <v>4483</v>
      </c>
      <c r="B4484" t="str">
        <f>"022450"</f>
        <v>0</v>
      </c>
      <c r="C4484" t="s">
        <v>7413</v>
      </c>
      <c r="D4484" t="s">
        <v>7414</v>
      </c>
      <c r="E4484" t="str">
        <f>"3800101273638"</f>
        <v>0</v>
      </c>
      <c r="F4484" t="str">
        <f>"000920"</f>
        <v>0</v>
      </c>
      <c r="G4484" t="s">
        <v>21</v>
      </c>
    </row>
    <row r="4485" spans="1:7">
      <c r="A4485">
        <v>4484</v>
      </c>
      <c r="B4485" t="str">
        <f>"022554"</f>
        <v>0</v>
      </c>
      <c r="C4485" t="s">
        <v>7415</v>
      </c>
      <c r="D4485" t="s">
        <v>7416</v>
      </c>
      <c r="E4485" t="str">
        <f>"3800100974608"</f>
        <v>0</v>
      </c>
      <c r="F4485" t="str">
        <f>"000920"</f>
        <v>0</v>
      </c>
      <c r="G4485" t="s">
        <v>21</v>
      </c>
    </row>
    <row r="4486" spans="1:7">
      <c r="A4486">
        <v>4485</v>
      </c>
      <c r="B4486" t="str">
        <f>"022701"</f>
        <v>0</v>
      </c>
      <c r="C4486" t="s">
        <v>7417</v>
      </c>
      <c r="D4486" t="s">
        <v>7418</v>
      </c>
      <c r="E4486" t="str">
        <f>"1809900135297"</f>
        <v>0</v>
      </c>
      <c r="F4486" t="str">
        <f>"000920"</f>
        <v>0</v>
      </c>
      <c r="G4486" t="s">
        <v>21</v>
      </c>
    </row>
    <row r="4487" spans="1:7">
      <c r="A4487">
        <v>4486</v>
      </c>
      <c r="B4487" t="str">
        <f>"022707"</f>
        <v>0</v>
      </c>
      <c r="C4487" t="s">
        <v>7419</v>
      </c>
      <c r="D4487" t="s">
        <v>7420</v>
      </c>
      <c r="E4487" t="str">
        <f>"3800800058108"</f>
        <v>0</v>
      </c>
      <c r="F4487" t="str">
        <f>"000920"</f>
        <v>0</v>
      </c>
      <c r="G4487" t="s">
        <v>21</v>
      </c>
    </row>
    <row r="4488" spans="1:7">
      <c r="A4488">
        <v>4487</v>
      </c>
      <c r="B4488" t="str">
        <f>"022793"</f>
        <v>0</v>
      </c>
      <c r="C4488" t="s">
        <v>7421</v>
      </c>
      <c r="D4488" t="s">
        <v>7422</v>
      </c>
      <c r="E4488" t="str">
        <f>"3800800368174"</f>
        <v>0</v>
      </c>
      <c r="F4488" t="str">
        <f>"000920"</f>
        <v>0</v>
      </c>
      <c r="G4488" t="s">
        <v>21</v>
      </c>
    </row>
    <row r="4489" spans="1:7">
      <c r="A4489">
        <v>4488</v>
      </c>
      <c r="B4489" t="str">
        <f>"022794"</f>
        <v>0</v>
      </c>
      <c r="C4489" t="s">
        <v>7423</v>
      </c>
      <c r="D4489" t="s">
        <v>7424</v>
      </c>
      <c r="E4489" t="str">
        <f>"3809800103161"</f>
        <v>0</v>
      </c>
      <c r="F4489" t="str">
        <f>"000920"</f>
        <v>0</v>
      </c>
      <c r="G4489" t="s">
        <v>21</v>
      </c>
    </row>
    <row r="4490" spans="1:7">
      <c r="A4490">
        <v>4489</v>
      </c>
      <c r="B4490" t="str">
        <f>"022828"</f>
        <v>0</v>
      </c>
      <c r="C4490" t="s">
        <v>2712</v>
      </c>
      <c r="D4490" t="s">
        <v>7425</v>
      </c>
      <c r="E4490" t="str">
        <f>"5800600029674"</f>
        <v>0</v>
      </c>
      <c r="F4490" t="str">
        <f>"000920"</f>
        <v>0</v>
      </c>
      <c r="G4490" t="s">
        <v>21</v>
      </c>
    </row>
    <row r="4491" spans="1:7">
      <c r="A4491">
        <v>4490</v>
      </c>
      <c r="B4491" t="str">
        <f>"022861"</f>
        <v>0</v>
      </c>
      <c r="C4491" t="s">
        <v>7426</v>
      </c>
      <c r="D4491" t="s">
        <v>7427</v>
      </c>
      <c r="E4491" t="str">
        <f>"3800800113303"</f>
        <v>0</v>
      </c>
      <c r="F4491" t="str">
        <f>"000920"</f>
        <v>0</v>
      </c>
      <c r="G4491" t="s">
        <v>21</v>
      </c>
    </row>
    <row r="4492" spans="1:7">
      <c r="A4492">
        <v>4491</v>
      </c>
      <c r="B4492" t="str">
        <f>"022968"</f>
        <v>0</v>
      </c>
      <c r="C4492" t="s">
        <v>7428</v>
      </c>
      <c r="D4492" t="s">
        <v>7429</v>
      </c>
      <c r="E4492" t="str">
        <f>"1809900077068"</f>
        <v>0</v>
      </c>
      <c r="F4492" t="str">
        <f>"000920"</f>
        <v>0</v>
      </c>
      <c r="G4492" t="s">
        <v>21</v>
      </c>
    </row>
    <row r="4493" spans="1:7">
      <c r="A4493">
        <v>4492</v>
      </c>
      <c r="B4493" t="str">
        <f>"023199"</f>
        <v>0</v>
      </c>
      <c r="C4493" t="s">
        <v>7430</v>
      </c>
      <c r="D4493" t="s">
        <v>7431</v>
      </c>
      <c r="E4493" t="str">
        <f>"1809900053649"</f>
        <v>0</v>
      </c>
      <c r="F4493" t="str">
        <f>"000920"</f>
        <v>0</v>
      </c>
      <c r="G4493" t="s">
        <v>21</v>
      </c>
    </row>
    <row r="4494" spans="1:7">
      <c r="A4494">
        <v>4493</v>
      </c>
      <c r="B4494" t="str">
        <f>"023333"</f>
        <v>0</v>
      </c>
      <c r="C4494" t="s">
        <v>6066</v>
      </c>
      <c r="D4494" t="s">
        <v>7432</v>
      </c>
      <c r="E4494" t="str">
        <f>"3801300397427"</f>
        <v>0</v>
      </c>
      <c r="F4494" t="str">
        <f>"000920"</f>
        <v>0</v>
      </c>
      <c r="G4494" t="s">
        <v>21</v>
      </c>
    </row>
    <row r="4495" spans="1:7">
      <c r="A4495">
        <v>4494</v>
      </c>
      <c r="B4495" t="str">
        <f>"023477"</f>
        <v>0</v>
      </c>
      <c r="C4495" t="s">
        <v>2657</v>
      </c>
      <c r="D4495" t="s">
        <v>7433</v>
      </c>
      <c r="E4495" t="str">
        <f>"3800400336682"</f>
        <v>0</v>
      </c>
      <c r="F4495" t="str">
        <f>"000920"</f>
        <v>0</v>
      </c>
      <c r="G4495" t="s">
        <v>21</v>
      </c>
    </row>
    <row r="4496" spans="1:7">
      <c r="A4496">
        <v>4495</v>
      </c>
      <c r="B4496" t="str">
        <f>"023478"</f>
        <v>0</v>
      </c>
      <c r="C4496" t="s">
        <v>7434</v>
      </c>
      <c r="D4496" t="s">
        <v>7435</v>
      </c>
      <c r="E4496" t="str">
        <f>"1809900100043"</f>
        <v>0</v>
      </c>
      <c r="F4496" t="str">
        <f>"000920"</f>
        <v>0</v>
      </c>
      <c r="G4496" t="s">
        <v>21</v>
      </c>
    </row>
    <row r="4497" spans="1:7">
      <c r="A4497">
        <v>4496</v>
      </c>
      <c r="B4497" t="str">
        <f>"023686"</f>
        <v>0</v>
      </c>
      <c r="C4497" t="s">
        <v>2894</v>
      </c>
      <c r="D4497" t="s">
        <v>7436</v>
      </c>
      <c r="E4497" t="str">
        <f>"3160101661618"</f>
        <v>0</v>
      </c>
      <c r="F4497" t="str">
        <f>"000920"</f>
        <v>0</v>
      </c>
      <c r="G4497" t="s">
        <v>21</v>
      </c>
    </row>
    <row r="4498" spans="1:7">
      <c r="A4498">
        <v>4497</v>
      </c>
      <c r="B4498" t="str">
        <f>"024013"</f>
        <v>0</v>
      </c>
      <c r="C4498" t="s">
        <v>7437</v>
      </c>
      <c r="D4498" t="s">
        <v>7438</v>
      </c>
      <c r="E4498" t="str">
        <f>"3800400953924"</f>
        <v>0</v>
      </c>
      <c r="F4498" t="str">
        <f>"000920"</f>
        <v>0</v>
      </c>
      <c r="G4498" t="s">
        <v>21</v>
      </c>
    </row>
    <row r="4499" spans="1:7">
      <c r="A4499">
        <v>4498</v>
      </c>
      <c r="B4499" t="str">
        <f>"024014"</f>
        <v>0</v>
      </c>
      <c r="C4499" t="s">
        <v>7439</v>
      </c>
      <c r="D4499" t="s">
        <v>7440</v>
      </c>
      <c r="E4499" t="str">
        <f>"1251100018812"</f>
        <v>0</v>
      </c>
      <c r="F4499" t="str">
        <f>"000920"</f>
        <v>0</v>
      </c>
      <c r="G4499" t="s">
        <v>21</v>
      </c>
    </row>
    <row r="4500" spans="1:7">
      <c r="A4500">
        <v>4499</v>
      </c>
      <c r="B4500" t="str">
        <f>"024016"</f>
        <v>0</v>
      </c>
      <c r="C4500" t="s">
        <v>1981</v>
      </c>
      <c r="D4500" t="s">
        <v>823</v>
      </c>
      <c r="E4500" t="str">
        <f>"1800800109067"</f>
        <v>0</v>
      </c>
      <c r="F4500" t="str">
        <f>"000920"</f>
        <v>0</v>
      </c>
      <c r="G4500" t="s">
        <v>21</v>
      </c>
    </row>
    <row r="4501" spans="1:7">
      <c r="A4501">
        <v>4500</v>
      </c>
      <c r="B4501" t="str">
        <f>"024018"</f>
        <v>0</v>
      </c>
      <c r="C4501" t="s">
        <v>7441</v>
      </c>
      <c r="D4501" t="s">
        <v>7442</v>
      </c>
      <c r="E4501" t="str">
        <f>"1100701026127"</f>
        <v>0</v>
      </c>
      <c r="F4501" t="str">
        <f>"000920"</f>
        <v>0</v>
      </c>
      <c r="G4501" t="s">
        <v>21</v>
      </c>
    </row>
    <row r="4502" spans="1:7">
      <c r="A4502">
        <v>4501</v>
      </c>
      <c r="B4502" t="str">
        <f>"024346"</f>
        <v>0</v>
      </c>
      <c r="C4502" t="s">
        <v>7443</v>
      </c>
      <c r="D4502" t="s">
        <v>4729</v>
      </c>
      <c r="E4502" t="str">
        <f>"1800700035878"</f>
        <v>0</v>
      </c>
      <c r="F4502" t="str">
        <f>"000920"</f>
        <v>0</v>
      </c>
      <c r="G4502" t="s">
        <v>21</v>
      </c>
    </row>
    <row r="4503" spans="1:7">
      <c r="A4503">
        <v>4502</v>
      </c>
      <c r="B4503" t="str">
        <f>"024365"</f>
        <v>0</v>
      </c>
      <c r="C4503" t="s">
        <v>7444</v>
      </c>
      <c r="D4503" t="s">
        <v>7445</v>
      </c>
      <c r="E4503" t="str">
        <f>"3801000005892"</f>
        <v>0</v>
      </c>
      <c r="F4503" t="str">
        <f>"000920"</f>
        <v>0</v>
      </c>
      <c r="G4503" t="s">
        <v>21</v>
      </c>
    </row>
    <row r="4504" spans="1:7">
      <c r="A4504">
        <v>4503</v>
      </c>
      <c r="B4504" t="str">
        <f>"024482"</f>
        <v>0</v>
      </c>
      <c r="C4504" t="s">
        <v>7446</v>
      </c>
      <c r="D4504" t="s">
        <v>7447</v>
      </c>
      <c r="E4504" t="str">
        <f>"3801301116758"</f>
        <v>0</v>
      </c>
      <c r="F4504" t="str">
        <f>"000920"</f>
        <v>0</v>
      </c>
      <c r="G4504" t="s">
        <v>21</v>
      </c>
    </row>
    <row r="4505" spans="1:7">
      <c r="A4505">
        <v>4504</v>
      </c>
      <c r="B4505" t="str">
        <f>"024486"</f>
        <v>0</v>
      </c>
      <c r="C4505" t="s">
        <v>7448</v>
      </c>
      <c r="D4505" t="s">
        <v>7449</v>
      </c>
      <c r="E4505" t="str">
        <f>"1801600093869"</f>
        <v>0</v>
      </c>
      <c r="F4505" t="str">
        <f>"000920"</f>
        <v>0</v>
      </c>
      <c r="G4505" t="s">
        <v>21</v>
      </c>
    </row>
    <row r="4506" spans="1:7">
      <c r="A4506">
        <v>4505</v>
      </c>
      <c r="B4506" t="str">
        <f>"024552"</f>
        <v>0</v>
      </c>
      <c r="C4506" t="s">
        <v>6342</v>
      </c>
      <c r="D4506" t="s">
        <v>7450</v>
      </c>
      <c r="E4506" t="str">
        <f>"1809900053347"</f>
        <v>0</v>
      </c>
      <c r="F4506" t="str">
        <f>"000920"</f>
        <v>0</v>
      </c>
      <c r="G4506" t="s">
        <v>21</v>
      </c>
    </row>
    <row r="4507" spans="1:7">
      <c r="A4507">
        <v>4506</v>
      </c>
      <c r="B4507" t="str">
        <f>"024575"</f>
        <v>0</v>
      </c>
      <c r="C4507" t="s">
        <v>7451</v>
      </c>
      <c r="D4507" t="s">
        <v>7452</v>
      </c>
      <c r="E4507" t="str">
        <f>"3809900201300"</f>
        <v>0</v>
      </c>
      <c r="F4507" t="str">
        <f>"000920"</f>
        <v>0</v>
      </c>
      <c r="G4507" t="s">
        <v>21</v>
      </c>
    </row>
    <row r="4508" spans="1:7">
      <c r="A4508">
        <v>4507</v>
      </c>
      <c r="B4508" t="str">
        <f>"024636"</f>
        <v>0</v>
      </c>
      <c r="C4508" t="s">
        <v>7453</v>
      </c>
      <c r="D4508" t="s">
        <v>7454</v>
      </c>
      <c r="E4508" t="str">
        <f>"1809900006080"</f>
        <v>0</v>
      </c>
      <c r="F4508" t="str">
        <f>"000920"</f>
        <v>0</v>
      </c>
      <c r="G4508" t="s">
        <v>21</v>
      </c>
    </row>
    <row r="4509" spans="1:7">
      <c r="A4509">
        <v>4508</v>
      </c>
      <c r="B4509" t="str">
        <f>"024774"</f>
        <v>0</v>
      </c>
      <c r="C4509" t="s">
        <v>7455</v>
      </c>
      <c r="D4509" t="s">
        <v>7456</v>
      </c>
      <c r="E4509" t="str">
        <f>"1800490005315"</f>
        <v>0</v>
      </c>
      <c r="F4509" t="str">
        <f>"000920"</f>
        <v>0</v>
      </c>
      <c r="G4509" t="s">
        <v>21</v>
      </c>
    </row>
    <row r="4510" spans="1:7">
      <c r="A4510">
        <v>4509</v>
      </c>
      <c r="B4510" t="str">
        <f>"024775"</f>
        <v>0</v>
      </c>
      <c r="C4510" t="s">
        <v>7457</v>
      </c>
      <c r="D4510" t="s">
        <v>7458</v>
      </c>
      <c r="E4510" t="str">
        <f>"3800600160260"</f>
        <v>0</v>
      </c>
      <c r="F4510" t="str">
        <f>"000920"</f>
        <v>0</v>
      </c>
      <c r="G4510" t="s">
        <v>21</v>
      </c>
    </row>
    <row r="4511" spans="1:7">
      <c r="A4511">
        <v>4510</v>
      </c>
      <c r="B4511" t="str">
        <f>"024776"</f>
        <v>0</v>
      </c>
      <c r="C4511" t="s">
        <v>7459</v>
      </c>
      <c r="D4511" t="s">
        <v>7224</v>
      </c>
      <c r="E4511" t="str">
        <f>"3801600427526"</f>
        <v>0</v>
      </c>
      <c r="F4511" t="str">
        <f>"000920"</f>
        <v>0</v>
      </c>
      <c r="G4511" t="s">
        <v>21</v>
      </c>
    </row>
    <row r="4512" spans="1:7">
      <c r="A4512">
        <v>4511</v>
      </c>
      <c r="B4512" t="str">
        <f>"024778"</f>
        <v>0</v>
      </c>
      <c r="C4512" t="s">
        <v>2165</v>
      </c>
      <c r="D4512" t="s">
        <v>6143</v>
      </c>
      <c r="E4512" t="str">
        <f>"1800700009869"</f>
        <v>0</v>
      </c>
      <c r="F4512" t="str">
        <f>"000920"</f>
        <v>0</v>
      </c>
      <c r="G4512" t="s">
        <v>21</v>
      </c>
    </row>
    <row r="4513" spans="1:7">
      <c r="A4513">
        <v>4512</v>
      </c>
      <c r="B4513" t="str">
        <f>"024779"</f>
        <v>0</v>
      </c>
      <c r="C4513" t="s">
        <v>7460</v>
      </c>
      <c r="D4513" t="s">
        <v>7461</v>
      </c>
      <c r="E4513" t="str">
        <f>"3800200302385"</f>
        <v>0</v>
      </c>
      <c r="F4513" t="str">
        <f>"000920"</f>
        <v>0</v>
      </c>
      <c r="G4513" t="s">
        <v>21</v>
      </c>
    </row>
    <row r="4514" spans="1:7">
      <c r="A4514">
        <v>4513</v>
      </c>
      <c r="B4514" t="str">
        <f>"024780"</f>
        <v>0</v>
      </c>
      <c r="C4514" t="s">
        <v>7462</v>
      </c>
      <c r="D4514" t="s">
        <v>7463</v>
      </c>
      <c r="E4514" t="str">
        <f>"1800400125162"</f>
        <v>0</v>
      </c>
      <c r="F4514" t="str">
        <f>"000920"</f>
        <v>0</v>
      </c>
      <c r="G4514" t="s">
        <v>21</v>
      </c>
    </row>
    <row r="4515" spans="1:7">
      <c r="A4515">
        <v>4514</v>
      </c>
      <c r="B4515" t="str">
        <f>"024785"</f>
        <v>0</v>
      </c>
      <c r="C4515" t="s">
        <v>7464</v>
      </c>
      <c r="D4515" t="s">
        <v>3647</v>
      </c>
      <c r="E4515" t="str">
        <f>"3801200078541"</f>
        <v>0</v>
      </c>
      <c r="F4515" t="str">
        <f>"000920"</f>
        <v>0</v>
      </c>
      <c r="G4515" t="s">
        <v>21</v>
      </c>
    </row>
    <row r="4516" spans="1:7">
      <c r="A4516">
        <v>4515</v>
      </c>
      <c r="B4516" t="str">
        <f>"024944"</f>
        <v>0</v>
      </c>
      <c r="C4516" t="s">
        <v>7465</v>
      </c>
      <c r="D4516" t="s">
        <v>7466</v>
      </c>
      <c r="E4516" t="str">
        <f>"3900400249827"</f>
        <v>0</v>
      </c>
      <c r="F4516" t="str">
        <f>"000920"</f>
        <v>0</v>
      </c>
      <c r="G4516" t="s">
        <v>21</v>
      </c>
    </row>
    <row r="4517" spans="1:7">
      <c r="A4517">
        <v>4516</v>
      </c>
      <c r="B4517" t="str">
        <f>"025110"</f>
        <v>0</v>
      </c>
      <c r="C4517" t="s">
        <v>2712</v>
      </c>
      <c r="D4517" t="s">
        <v>7467</v>
      </c>
      <c r="E4517" t="str">
        <f>"3800100012687"</f>
        <v>0</v>
      </c>
      <c r="F4517" t="str">
        <f>"000920"</f>
        <v>0</v>
      </c>
      <c r="G4517" t="s">
        <v>21</v>
      </c>
    </row>
    <row r="4518" spans="1:7">
      <c r="A4518">
        <v>4517</v>
      </c>
      <c r="B4518" t="str">
        <f>"025270"</f>
        <v>0</v>
      </c>
      <c r="C4518" t="s">
        <v>7468</v>
      </c>
      <c r="D4518" t="s">
        <v>7469</v>
      </c>
      <c r="E4518" t="str">
        <f>"1809900192088"</f>
        <v>0</v>
      </c>
      <c r="F4518" t="str">
        <f>"000920"</f>
        <v>0</v>
      </c>
      <c r="G4518" t="s">
        <v>21</v>
      </c>
    </row>
    <row r="4519" spans="1:7">
      <c r="A4519">
        <v>4518</v>
      </c>
      <c r="B4519" t="str">
        <f>"025272"</f>
        <v>0</v>
      </c>
      <c r="C4519" t="s">
        <v>3975</v>
      </c>
      <c r="D4519" t="s">
        <v>7470</v>
      </c>
      <c r="E4519" t="str">
        <f>"1801400100471"</f>
        <v>0</v>
      </c>
      <c r="F4519" t="str">
        <f>"000920"</f>
        <v>0</v>
      </c>
      <c r="G4519" t="s">
        <v>21</v>
      </c>
    </row>
    <row r="4520" spans="1:7">
      <c r="A4520">
        <v>4519</v>
      </c>
      <c r="B4520" t="str">
        <f>"025895"</f>
        <v>0</v>
      </c>
      <c r="C4520" t="s">
        <v>7471</v>
      </c>
      <c r="D4520" t="s">
        <v>7472</v>
      </c>
      <c r="E4520" t="str">
        <f>"3969900077195"</f>
        <v>0</v>
      </c>
      <c r="F4520" t="str">
        <f>"000920"</f>
        <v>0</v>
      </c>
      <c r="G4520" t="s">
        <v>21</v>
      </c>
    </row>
    <row r="4521" spans="1:7">
      <c r="A4521">
        <v>4520</v>
      </c>
      <c r="B4521" t="str">
        <f>"025899"</f>
        <v>0</v>
      </c>
      <c r="C4521" t="s">
        <v>7473</v>
      </c>
      <c r="D4521" t="s">
        <v>7474</v>
      </c>
      <c r="E4521" t="str">
        <f>"1929900189311"</f>
        <v>0</v>
      </c>
      <c r="F4521" t="str">
        <f>"000920"</f>
        <v>0</v>
      </c>
      <c r="G4521" t="s">
        <v>21</v>
      </c>
    </row>
    <row r="4522" spans="1:7">
      <c r="A4522">
        <v>4521</v>
      </c>
      <c r="B4522" t="str">
        <f>"025900"</f>
        <v>0</v>
      </c>
      <c r="C4522" t="s">
        <v>7475</v>
      </c>
      <c r="D4522" t="s">
        <v>7476</v>
      </c>
      <c r="E4522" t="str">
        <f>"3770300203240"</f>
        <v>0</v>
      </c>
      <c r="F4522" t="str">
        <f>"000920"</f>
        <v>0</v>
      </c>
      <c r="G4522" t="s">
        <v>21</v>
      </c>
    </row>
    <row r="4523" spans="1:7">
      <c r="A4523">
        <v>4522</v>
      </c>
      <c r="B4523" t="str">
        <f>"026133"</f>
        <v>0</v>
      </c>
      <c r="C4523" t="s">
        <v>1468</v>
      </c>
      <c r="D4523" t="s">
        <v>7477</v>
      </c>
      <c r="E4523" t="str">
        <f>"1809900297912"</f>
        <v>0</v>
      </c>
      <c r="F4523" t="str">
        <f>"000920"</f>
        <v>0</v>
      </c>
      <c r="G4523" t="s">
        <v>21</v>
      </c>
    </row>
    <row r="4524" spans="1:7">
      <c r="A4524">
        <v>4523</v>
      </c>
      <c r="B4524" t="str">
        <f>"026134"</f>
        <v>0</v>
      </c>
      <c r="C4524" t="s">
        <v>7478</v>
      </c>
      <c r="D4524" t="s">
        <v>523</v>
      </c>
      <c r="E4524" t="str">
        <f>"1800800100272"</f>
        <v>0</v>
      </c>
      <c r="F4524" t="str">
        <f>"000920"</f>
        <v>0</v>
      </c>
      <c r="G4524" t="s">
        <v>21</v>
      </c>
    </row>
    <row r="4525" spans="1:7">
      <c r="A4525">
        <v>4524</v>
      </c>
      <c r="B4525" t="str">
        <f>"026336"</f>
        <v>0</v>
      </c>
      <c r="C4525" t="s">
        <v>1220</v>
      </c>
      <c r="D4525" t="s">
        <v>7479</v>
      </c>
      <c r="E4525" t="str">
        <f>"1909800566457"</f>
        <v>0</v>
      </c>
      <c r="F4525" t="str">
        <f>"000920"</f>
        <v>0</v>
      </c>
      <c r="G4525" t="s">
        <v>21</v>
      </c>
    </row>
    <row r="4526" spans="1:7">
      <c r="A4526">
        <v>4525</v>
      </c>
      <c r="B4526" t="str">
        <f>"026338"</f>
        <v>0</v>
      </c>
      <c r="C4526" t="s">
        <v>2560</v>
      </c>
      <c r="D4526" t="s">
        <v>7480</v>
      </c>
      <c r="E4526" t="str">
        <f>"1801600023623"</f>
        <v>0</v>
      </c>
      <c r="F4526" t="str">
        <f>"000920"</f>
        <v>0</v>
      </c>
      <c r="G4526" t="s">
        <v>21</v>
      </c>
    </row>
    <row r="4527" spans="1:7">
      <c r="A4527">
        <v>4526</v>
      </c>
      <c r="B4527" t="str">
        <f>"026340"</f>
        <v>0</v>
      </c>
      <c r="C4527" t="s">
        <v>7481</v>
      </c>
      <c r="D4527" t="s">
        <v>7381</v>
      </c>
      <c r="E4527" t="str">
        <f>"3901100746087"</f>
        <v>0</v>
      </c>
      <c r="F4527" t="str">
        <f>"000920"</f>
        <v>0</v>
      </c>
      <c r="G4527" t="s">
        <v>21</v>
      </c>
    </row>
    <row r="4528" spans="1:7">
      <c r="A4528">
        <v>4527</v>
      </c>
      <c r="B4528" t="str">
        <f>"026344"</f>
        <v>0</v>
      </c>
      <c r="C4528" t="s">
        <v>7482</v>
      </c>
      <c r="D4528" t="s">
        <v>7483</v>
      </c>
      <c r="E4528" t="str">
        <f>"3659900654641"</f>
        <v>0</v>
      </c>
      <c r="F4528" t="str">
        <f>"000920"</f>
        <v>0</v>
      </c>
      <c r="G4528" t="s">
        <v>21</v>
      </c>
    </row>
    <row r="4529" spans="1:7">
      <c r="A4529">
        <v>4528</v>
      </c>
      <c r="B4529" t="str">
        <f>"026648"</f>
        <v>0</v>
      </c>
      <c r="C4529" t="s">
        <v>3180</v>
      </c>
      <c r="D4529" t="s">
        <v>7484</v>
      </c>
      <c r="E4529" t="str">
        <f>"3800100413592"</f>
        <v>0</v>
      </c>
      <c r="F4529" t="str">
        <f>"000920"</f>
        <v>0</v>
      </c>
      <c r="G4529" t="s">
        <v>21</v>
      </c>
    </row>
    <row r="4530" spans="1:7">
      <c r="A4530">
        <v>4529</v>
      </c>
      <c r="B4530" t="str">
        <f>"027134"</f>
        <v>0</v>
      </c>
      <c r="C4530" t="s">
        <v>7485</v>
      </c>
      <c r="D4530" t="s">
        <v>7486</v>
      </c>
      <c r="E4530" t="str">
        <f>"1809900242948"</f>
        <v>0</v>
      </c>
      <c r="F4530" t="str">
        <f>"000920"</f>
        <v>0</v>
      </c>
      <c r="G4530" t="s">
        <v>21</v>
      </c>
    </row>
    <row r="4531" spans="1:7">
      <c r="A4531">
        <v>4530</v>
      </c>
      <c r="B4531" t="str">
        <f>"027135"</f>
        <v>0</v>
      </c>
      <c r="C4531" t="s">
        <v>7487</v>
      </c>
      <c r="D4531" t="s">
        <v>7488</v>
      </c>
      <c r="E4531" t="str">
        <f>"3809900194745"</f>
        <v>0</v>
      </c>
      <c r="F4531" t="str">
        <f>"000920"</f>
        <v>0</v>
      </c>
      <c r="G4531" t="s">
        <v>21</v>
      </c>
    </row>
    <row r="4532" spans="1:7">
      <c r="A4532">
        <v>4531</v>
      </c>
      <c r="B4532" t="str">
        <f>"027451"</f>
        <v>0</v>
      </c>
      <c r="C4532" t="s">
        <v>7489</v>
      </c>
      <c r="D4532" t="s">
        <v>7490</v>
      </c>
      <c r="E4532" t="str">
        <f>"1809900495226"</f>
        <v>0</v>
      </c>
      <c r="F4532" t="str">
        <f>"000920"</f>
        <v>0</v>
      </c>
      <c r="G4532" t="s">
        <v>21</v>
      </c>
    </row>
    <row r="4533" spans="1:7">
      <c r="A4533">
        <v>4532</v>
      </c>
      <c r="B4533" t="str">
        <f>"027474"</f>
        <v>0</v>
      </c>
      <c r="C4533" t="s">
        <v>7491</v>
      </c>
      <c r="D4533" t="s">
        <v>7492</v>
      </c>
      <c r="E4533" t="str">
        <f>"3800101061495"</f>
        <v>0</v>
      </c>
      <c r="F4533" t="str">
        <f>"000920"</f>
        <v>0</v>
      </c>
      <c r="G4533" t="s">
        <v>21</v>
      </c>
    </row>
    <row r="4534" spans="1:7">
      <c r="A4534">
        <v>4533</v>
      </c>
      <c r="B4534" t="str">
        <f>"027477"</f>
        <v>0</v>
      </c>
      <c r="C4534" t="s">
        <v>7493</v>
      </c>
      <c r="D4534" t="s">
        <v>7494</v>
      </c>
      <c r="E4534" t="str">
        <f>"1809900655304"</f>
        <v>0</v>
      </c>
      <c r="F4534" t="str">
        <f>"000920"</f>
        <v>0</v>
      </c>
      <c r="G4534" t="s">
        <v>21</v>
      </c>
    </row>
    <row r="4535" spans="1:7">
      <c r="A4535">
        <v>4534</v>
      </c>
      <c r="B4535" t="str">
        <f>"027483"</f>
        <v>0</v>
      </c>
      <c r="C4535" t="s">
        <v>7495</v>
      </c>
      <c r="D4535" t="s">
        <v>1656</v>
      </c>
      <c r="E4535" t="str">
        <f>"3800700220191"</f>
        <v>0</v>
      </c>
      <c r="F4535" t="str">
        <f>"000920"</f>
        <v>0</v>
      </c>
      <c r="G4535" t="s">
        <v>21</v>
      </c>
    </row>
    <row r="4536" spans="1:7">
      <c r="A4536">
        <v>4535</v>
      </c>
      <c r="B4536" t="str">
        <f>"024073"</f>
        <v>0</v>
      </c>
      <c r="C4536" t="s">
        <v>7496</v>
      </c>
      <c r="D4536" t="s">
        <v>7497</v>
      </c>
      <c r="E4536" t="str">
        <f>"3801200872051"</f>
        <v>0</v>
      </c>
      <c r="F4536" t="str">
        <f>"000920"</f>
        <v>0</v>
      </c>
      <c r="G4536" t="s">
        <v>21</v>
      </c>
    </row>
    <row r="4537" spans="1:7">
      <c r="A4537">
        <v>4536</v>
      </c>
      <c r="B4537" t="str">
        <f>"016363"</f>
        <v>0</v>
      </c>
      <c r="C4537" t="s">
        <v>2331</v>
      </c>
      <c r="D4537" t="s">
        <v>119</v>
      </c>
      <c r="E4537" t="str">
        <f>"3330401098640"</f>
        <v>0</v>
      </c>
      <c r="F4537" t="str">
        <f>"000920"</f>
        <v>0</v>
      </c>
      <c r="G4537" t="s">
        <v>21</v>
      </c>
    </row>
    <row r="4538" spans="1:7">
      <c r="A4538">
        <v>4537</v>
      </c>
      <c r="B4538" t="str">
        <f>"024416"</f>
        <v>0</v>
      </c>
      <c r="C4538" t="s">
        <v>2379</v>
      </c>
      <c r="D4538" t="s">
        <v>7498</v>
      </c>
      <c r="E4538" t="str">
        <f>"3840200282988"</f>
        <v>0</v>
      </c>
      <c r="F4538" t="str">
        <f>"000920"</f>
        <v>0</v>
      </c>
      <c r="G4538" t="s">
        <v>21</v>
      </c>
    </row>
    <row r="4539" spans="1:7">
      <c r="A4539">
        <v>4538</v>
      </c>
      <c r="B4539" t="str">
        <f>"026577"</f>
        <v>0</v>
      </c>
      <c r="C4539" t="s">
        <v>7499</v>
      </c>
      <c r="D4539" t="s">
        <v>7500</v>
      </c>
      <c r="E4539" t="str">
        <f>"1840100207635"</f>
        <v>0</v>
      </c>
      <c r="F4539" t="str">
        <f>"000920"</f>
        <v>0</v>
      </c>
      <c r="G4539" t="s">
        <v>21</v>
      </c>
    </row>
    <row r="4540" spans="1:7">
      <c r="A4540">
        <v>4539</v>
      </c>
      <c r="B4540" t="str">
        <f>"020622"</f>
        <v>0</v>
      </c>
      <c r="C4540" t="s">
        <v>7501</v>
      </c>
      <c r="D4540" t="s">
        <v>7502</v>
      </c>
      <c r="E4540" t="str">
        <f>"3801400482591"</f>
        <v>0</v>
      </c>
      <c r="F4540" t="str">
        <f>"000920"</f>
        <v>0</v>
      </c>
      <c r="G4540" t="s">
        <v>21</v>
      </c>
    </row>
    <row r="4541" spans="1:7">
      <c r="A4541">
        <v>4540</v>
      </c>
      <c r="B4541" t="str">
        <f>"025598"</f>
        <v>0</v>
      </c>
      <c r="C4541" t="s">
        <v>1768</v>
      </c>
      <c r="D4541" t="s">
        <v>7503</v>
      </c>
      <c r="E4541" t="str">
        <f>"3901100870349"</f>
        <v>0</v>
      </c>
      <c r="F4541" t="str">
        <f>"000920"</f>
        <v>0</v>
      </c>
      <c r="G4541" t="s">
        <v>21</v>
      </c>
    </row>
    <row r="4542" spans="1:7">
      <c r="A4542">
        <v>4541</v>
      </c>
      <c r="B4542" t="str">
        <f>"025894"</f>
        <v>0</v>
      </c>
      <c r="C4542" t="s">
        <v>7504</v>
      </c>
      <c r="D4542" t="s">
        <v>7505</v>
      </c>
      <c r="E4542" t="str">
        <f>"1900300083254"</f>
        <v>0</v>
      </c>
      <c r="F4542" t="str">
        <f>"000920"</f>
        <v>0</v>
      </c>
      <c r="G4542" t="s">
        <v>21</v>
      </c>
    </row>
    <row r="4543" spans="1:7">
      <c r="A4543">
        <v>4542</v>
      </c>
      <c r="B4543" t="str">
        <f>"015048"</f>
        <v>0</v>
      </c>
      <c r="C4543" t="s">
        <v>7506</v>
      </c>
      <c r="D4543" t="s">
        <v>7507</v>
      </c>
      <c r="E4543" t="str">
        <f>"3800700759741"</f>
        <v>0</v>
      </c>
      <c r="F4543" t="str">
        <f>"000920"</f>
        <v>0</v>
      </c>
      <c r="G4543" t="s">
        <v>21</v>
      </c>
    </row>
    <row r="4544" spans="1:7">
      <c r="A4544">
        <v>4543</v>
      </c>
      <c r="B4544" t="str">
        <f>"024015"</f>
        <v>0</v>
      </c>
      <c r="C4544" t="s">
        <v>7508</v>
      </c>
      <c r="D4544" t="s">
        <v>1814</v>
      </c>
      <c r="E4544" t="str">
        <f>"1920600016072"</f>
        <v>0</v>
      </c>
      <c r="F4544" t="str">
        <f>"000920"</f>
        <v>0</v>
      </c>
      <c r="G4544" t="s">
        <v>21</v>
      </c>
    </row>
    <row r="4545" spans="1:7">
      <c r="A4545">
        <v>4544</v>
      </c>
      <c r="B4545" t="str">
        <f>"025112"</f>
        <v>0</v>
      </c>
      <c r="C4545" t="s">
        <v>7509</v>
      </c>
      <c r="D4545" t="s">
        <v>7510</v>
      </c>
      <c r="E4545" t="str">
        <f>"3929800070776"</f>
        <v>0</v>
      </c>
      <c r="F4545" t="str">
        <f>"000920"</f>
        <v>0</v>
      </c>
      <c r="G4545" t="s">
        <v>21</v>
      </c>
    </row>
    <row r="4546" spans="1:7">
      <c r="A4546">
        <v>4545</v>
      </c>
      <c r="B4546" t="str">
        <f>"027133"</f>
        <v>0</v>
      </c>
      <c r="C4546" t="s">
        <v>7511</v>
      </c>
      <c r="D4546" t="s">
        <v>7512</v>
      </c>
      <c r="E4546" t="str">
        <f>"1920700043438"</f>
        <v>0</v>
      </c>
      <c r="F4546" t="str">
        <f>"000920"</f>
        <v>0</v>
      </c>
      <c r="G4546" t="s">
        <v>21</v>
      </c>
    </row>
    <row r="4547" spans="1:7">
      <c r="A4547">
        <v>4546</v>
      </c>
      <c r="B4547" t="str">
        <f>"018070"</f>
        <v>0</v>
      </c>
      <c r="C4547" t="s">
        <v>1149</v>
      </c>
      <c r="D4547" t="s">
        <v>7513</v>
      </c>
      <c r="E4547" t="str">
        <f>"3909900437639"</f>
        <v>0</v>
      </c>
      <c r="F4547" t="str">
        <f>"000920"</f>
        <v>0</v>
      </c>
      <c r="G4547" t="s">
        <v>21</v>
      </c>
    </row>
    <row r="4548" spans="1:7">
      <c r="A4548">
        <v>4547</v>
      </c>
      <c r="B4548" t="str">
        <f>"025618"</f>
        <v>0</v>
      </c>
      <c r="C4548" t="s">
        <v>102</v>
      </c>
      <c r="D4548" t="s">
        <v>7514</v>
      </c>
      <c r="E4548" t="str">
        <f>"3930500944934"</f>
        <v>0</v>
      </c>
      <c r="F4548" t="str">
        <f>"000920"</f>
        <v>0</v>
      </c>
      <c r="G4548" t="s">
        <v>21</v>
      </c>
    </row>
    <row r="4549" spans="1:7">
      <c r="A4549">
        <v>4548</v>
      </c>
      <c r="B4549" t="str">
        <f>"027452"</f>
        <v>0</v>
      </c>
      <c r="C4549" t="s">
        <v>7515</v>
      </c>
      <c r="D4549" t="s">
        <v>7516</v>
      </c>
      <c r="E4549" t="str">
        <f>"1930400034972"</f>
        <v>0</v>
      </c>
      <c r="F4549" t="str">
        <f>"000920"</f>
        <v>0</v>
      </c>
      <c r="G4549" t="s">
        <v>21</v>
      </c>
    </row>
    <row r="4550" spans="1:7">
      <c r="A4550">
        <v>4549</v>
      </c>
      <c r="B4550" t="str">
        <f>"027476"</f>
        <v>0</v>
      </c>
      <c r="C4550" t="s">
        <v>3615</v>
      </c>
      <c r="D4550" t="s">
        <v>7517</v>
      </c>
      <c r="E4550" t="str">
        <f>"1939900188110"</f>
        <v>0</v>
      </c>
      <c r="F4550" t="str">
        <f>"000920"</f>
        <v>0</v>
      </c>
      <c r="G4550" t="s">
        <v>21</v>
      </c>
    </row>
    <row r="4551" spans="1:7">
      <c r="A4551">
        <v>4550</v>
      </c>
      <c r="B4551" t="str">
        <f>"018760"</f>
        <v>0</v>
      </c>
      <c r="C4551" t="s">
        <v>7518</v>
      </c>
      <c r="D4551" t="s">
        <v>7519</v>
      </c>
      <c r="E4551" t="str">
        <f>"3800700235636"</f>
        <v>0</v>
      </c>
      <c r="F4551" t="str">
        <f>"000920"</f>
        <v>0</v>
      </c>
      <c r="G4551" t="s">
        <v>21</v>
      </c>
    </row>
    <row r="4552" spans="1:7">
      <c r="A4552">
        <v>4551</v>
      </c>
      <c r="B4552" t="str">
        <f>"019038"</f>
        <v>0</v>
      </c>
      <c r="C4552" t="s">
        <v>2216</v>
      </c>
      <c r="D4552" t="s">
        <v>7520</v>
      </c>
      <c r="E4552" t="str">
        <f>"3960200119369"</f>
        <v>0</v>
      </c>
      <c r="F4552" t="str">
        <f>"000920"</f>
        <v>0</v>
      </c>
      <c r="G4552" t="s">
        <v>21</v>
      </c>
    </row>
    <row r="4553" spans="1:7">
      <c r="A4553">
        <v>4552</v>
      </c>
      <c r="B4553" t="str">
        <f>"013640"</f>
        <v>0</v>
      </c>
      <c r="C4553" t="s">
        <v>4317</v>
      </c>
      <c r="D4553" t="s">
        <v>7521</v>
      </c>
      <c r="E4553" t="str">
        <f>"3801300507451"</f>
        <v>0</v>
      </c>
      <c r="F4553" t="str">
        <f>"000920"</f>
        <v>0</v>
      </c>
      <c r="G4553" t="s">
        <v>21</v>
      </c>
    </row>
    <row r="4554" spans="1:7">
      <c r="A4554">
        <v>4553</v>
      </c>
      <c r="B4554" t="str">
        <f>"016492"</f>
        <v>0</v>
      </c>
      <c r="C4554" t="s">
        <v>624</v>
      </c>
      <c r="D4554" t="s">
        <v>7522</v>
      </c>
      <c r="E4554" t="str">
        <f>"3800500116145"</f>
        <v>0</v>
      </c>
      <c r="F4554" t="str">
        <f>"000920"</f>
        <v>0</v>
      </c>
      <c r="G4554" t="s">
        <v>21</v>
      </c>
    </row>
    <row r="4555" spans="1:7">
      <c r="A4555">
        <v>4554</v>
      </c>
      <c r="B4555" t="str">
        <f>"019093"</f>
        <v>0</v>
      </c>
      <c r="C4555" t="s">
        <v>5826</v>
      </c>
      <c r="D4555" t="s">
        <v>7523</v>
      </c>
      <c r="E4555" t="str">
        <f>"3800100090980"</f>
        <v>0</v>
      </c>
      <c r="F4555" t="str">
        <f>"000920"</f>
        <v>0</v>
      </c>
      <c r="G4555" t="s">
        <v>21</v>
      </c>
    </row>
    <row r="4556" spans="1:7">
      <c r="A4556">
        <v>4555</v>
      </c>
      <c r="B4556" t="str">
        <f>"019368"</f>
        <v>0</v>
      </c>
      <c r="C4556" t="s">
        <v>442</v>
      </c>
      <c r="D4556" t="s">
        <v>7349</v>
      </c>
      <c r="E4556" t="str">
        <f>"3800901031353"</f>
        <v>0</v>
      </c>
      <c r="F4556" t="str">
        <f>"000920"</f>
        <v>0</v>
      </c>
      <c r="G4556" t="s">
        <v>21</v>
      </c>
    </row>
    <row r="4557" spans="1:7">
      <c r="A4557">
        <v>4556</v>
      </c>
      <c r="B4557" t="str">
        <f>"022092"</f>
        <v>0</v>
      </c>
      <c r="C4557" t="s">
        <v>7524</v>
      </c>
      <c r="D4557" t="s">
        <v>7525</v>
      </c>
      <c r="E4557" t="str">
        <f>"3801200235948"</f>
        <v>0</v>
      </c>
      <c r="F4557" t="str">
        <f>"000920"</f>
        <v>0</v>
      </c>
      <c r="G4557" t="s">
        <v>21</v>
      </c>
    </row>
    <row r="4558" spans="1:7">
      <c r="A4558">
        <v>4557</v>
      </c>
      <c r="B4558" t="str">
        <f>"000032"</f>
        <v>0</v>
      </c>
      <c r="C4558" t="s">
        <v>4799</v>
      </c>
      <c r="D4558" t="s">
        <v>7526</v>
      </c>
      <c r="E4558" t="str">
        <f>"3739900145036"</f>
        <v>0</v>
      </c>
      <c r="F4558" t="str">
        <f>"000950"</f>
        <v>0</v>
      </c>
      <c r="G4558" t="s">
        <v>21</v>
      </c>
    </row>
    <row r="4559" spans="1:7">
      <c r="A4559">
        <v>4558</v>
      </c>
      <c r="B4559" t="str">
        <f>"000085"</f>
        <v>0</v>
      </c>
      <c r="C4559" t="s">
        <v>7527</v>
      </c>
      <c r="D4559" t="s">
        <v>7528</v>
      </c>
      <c r="E4559" t="str">
        <f>"3120100703961"</f>
        <v>0</v>
      </c>
      <c r="F4559" t="str">
        <f>"000950"</f>
        <v>0</v>
      </c>
      <c r="G4559" t="s">
        <v>21</v>
      </c>
    </row>
    <row r="4560" spans="1:7">
      <c r="A4560">
        <v>4559</v>
      </c>
      <c r="B4560" t="str">
        <f>"000106"</f>
        <v>0</v>
      </c>
      <c r="C4560" t="s">
        <v>7529</v>
      </c>
      <c r="D4560" t="s">
        <v>7530</v>
      </c>
      <c r="E4560" t="str">
        <f>"3120100344708"</f>
        <v>0</v>
      </c>
      <c r="F4560" t="str">
        <f>"000950"</f>
        <v>0</v>
      </c>
      <c r="G4560" t="s">
        <v>21</v>
      </c>
    </row>
    <row r="4561" spans="1:7">
      <c r="A4561">
        <v>4560</v>
      </c>
      <c r="B4561" t="str">
        <f>"000217"</f>
        <v>0</v>
      </c>
      <c r="C4561" t="s">
        <v>7531</v>
      </c>
      <c r="D4561" t="s">
        <v>7532</v>
      </c>
      <c r="E4561" t="str">
        <f>"3339900023961"</f>
        <v>0</v>
      </c>
      <c r="F4561" t="str">
        <f>"000950"</f>
        <v>0</v>
      </c>
      <c r="G4561" t="s">
        <v>21</v>
      </c>
    </row>
    <row r="4562" spans="1:7">
      <c r="A4562">
        <v>4561</v>
      </c>
      <c r="B4562" t="str">
        <f>"000705"</f>
        <v>0</v>
      </c>
      <c r="C4562" t="s">
        <v>674</v>
      </c>
      <c r="D4562" t="s">
        <v>7533</v>
      </c>
      <c r="E4562" t="str">
        <f>"3539900115708"</f>
        <v>0</v>
      </c>
      <c r="F4562" t="str">
        <f>"000950"</f>
        <v>0</v>
      </c>
      <c r="G4562" t="s">
        <v>21</v>
      </c>
    </row>
    <row r="4563" spans="1:7">
      <c r="A4563">
        <v>4562</v>
      </c>
      <c r="B4563" t="str">
        <f>"000776"</f>
        <v>0</v>
      </c>
      <c r="C4563" t="s">
        <v>7534</v>
      </c>
      <c r="D4563" t="s">
        <v>7535</v>
      </c>
      <c r="E4563" t="str">
        <f>"4120100024981"</f>
        <v>0</v>
      </c>
      <c r="F4563" t="str">
        <f>"000950"</f>
        <v>0</v>
      </c>
      <c r="G4563" t="s">
        <v>21</v>
      </c>
    </row>
    <row r="4564" spans="1:7">
      <c r="A4564">
        <v>4563</v>
      </c>
      <c r="B4564" t="str">
        <f>"000778"</f>
        <v>0</v>
      </c>
      <c r="C4564" t="s">
        <v>7536</v>
      </c>
      <c r="D4564" t="s">
        <v>414</v>
      </c>
      <c r="E4564" t="str">
        <f>"3101800600376"</f>
        <v>0</v>
      </c>
      <c r="F4564" t="str">
        <f>"000950"</f>
        <v>0</v>
      </c>
      <c r="G4564" t="s">
        <v>21</v>
      </c>
    </row>
    <row r="4565" spans="1:7">
      <c r="A4565">
        <v>4564</v>
      </c>
      <c r="B4565" t="str">
        <f>"001089"</f>
        <v>0</v>
      </c>
      <c r="C4565" t="s">
        <v>7537</v>
      </c>
      <c r="D4565" t="s">
        <v>7538</v>
      </c>
      <c r="E4565" t="str">
        <f>"3100203095042"</f>
        <v>0</v>
      </c>
      <c r="F4565" t="str">
        <f>"000950"</f>
        <v>0</v>
      </c>
      <c r="G4565" t="s">
        <v>21</v>
      </c>
    </row>
    <row r="4566" spans="1:7">
      <c r="A4566">
        <v>4565</v>
      </c>
      <c r="B4566" t="str">
        <f>"001180"</f>
        <v>0</v>
      </c>
      <c r="C4566" t="s">
        <v>7539</v>
      </c>
      <c r="D4566" t="s">
        <v>7540</v>
      </c>
      <c r="E4566" t="str">
        <f>"3120100541210"</f>
        <v>0</v>
      </c>
      <c r="F4566" t="str">
        <f>"000950"</f>
        <v>0</v>
      </c>
      <c r="G4566" t="s">
        <v>21</v>
      </c>
    </row>
    <row r="4567" spans="1:7">
      <c r="A4567">
        <v>4566</v>
      </c>
      <c r="B4567" t="str">
        <f>"001672"</f>
        <v>0</v>
      </c>
      <c r="C4567" t="s">
        <v>7541</v>
      </c>
      <c r="D4567" t="s">
        <v>5827</v>
      </c>
      <c r="E4567" t="str">
        <f>"3120600961331"</f>
        <v>0</v>
      </c>
      <c r="F4567" t="str">
        <f>"000950"</f>
        <v>0</v>
      </c>
      <c r="G4567" t="s">
        <v>21</v>
      </c>
    </row>
    <row r="4568" spans="1:7">
      <c r="A4568">
        <v>4567</v>
      </c>
      <c r="B4568" t="str">
        <f>"002054"</f>
        <v>0</v>
      </c>
      <c r="C4568" t="s">
        <v>279</v>
      </c>
      <c r="D4568" t="s">
        <v>7542</v>
      </c>
      <c r="E4568" t="str">
        <f>"3710600070661"</f>
        <v>0</v>
      </c>
      <c r="F4568" t="str">
        <f>"000950"</f>
        <v>0</v>
      </c>
      <c r="G4568" t="s">
        <v>21</v>
      </c>
    </row>
    <row r="4569" spans="1:7">
      <c r="A4569">
        <v>4568</v>
      </c>
      <c r="B4569" t="str">
        <f>"002424"</f>
        <v>0</v>
      </c>
      <c r="C4569" t="s">
        <v>7543</v>
      </c>
      <c r="D4569" t="s">
        <v>7544</v>
      </c>
      <c r="E4569" t="str">
        <f>"3100203386641"</f>
        <v>0</v>
      </c>
      <c r="F4569" t="str">
        <f>"000950"</f>
        <v>0</v>
      </c>
      <c r="G4569" t="s">
        <v>21</v>
      </c>
    </row>
    <row r="4570" spans="1:7">
      <c r="A4570">
        <v>4569</v>
      </c>
      <c r="B4570" t="str">
        <f>"002425"</f>
        <v>0</v>
      </c>
      <c r="C4570" t="s">
        <v>372</v>
      </c>
      <c r="D4570" t="s">
        <v>7545</v>
      </c>
      <c r="E4570" t="str">
        <f>"3120200307243"</f>
        <v>0</v>
      </c>
      <c r="F4570" t="str">
        <f>"000950"</f>
        <v>0</v>
      </c>
      <c r="G4570" t="s">
        <v>21</v>
      </c>
    </row>
    <row r="4571" spans="1:7">
      <c r="A4571">
        <v>4570</v>
      </c>
      <c r="B4571" t="str">
        <f>"002647"</f>
        <v>0</v>
      </c>
      <c r="C4571" t="s">
        <v>7546</v>
      </c>
      <c r="D4571" t="s">
        <v>7547</v>
      </c>
      <c r="E4571" t="str">
        <f>"3120100220987"</f>
        <v>0</v>
      </c>
      <c r="F4571" t="str">
        <f>"000950"</f>
        <v>0</v>
      </c>
      <c r="G4571" t="s">
        <v>21</v>
      </c>
    </row>
    <row r="4572" spans="1:7">
      <c r="A4572">
        <v>4571</v>
      </c>
      <c r="B4572" t="str">
        <f>"002768"</f>
        <v>0</v>
      </c>
      <c r="C4572" t="s">
        <v>7548</v>
      </c>
      <c r="D4572" t="s">
        <v>7549</v>
      </c>
      <c r="E4572" t="str">
        <f>"3700600082987"</f>
        <v>0</v>
      </c>
      <c r="F4572" t="str">
        <f>"000950"</f>
        <v>0</v>
      </c>
      <c r="G4572" t="s">
        <v>21</v>
      </c>
    </row>
    <row r="4573" spans="1:7">
      <c r="A4573">
        <v>4572</v>
      </c>
      <c r="B4573" t="str">
        <f>"002792"</f>
        <v>0</v>
      </c>
      <c r="C4573" t="s">
        <v>2360</v>
      </c>
      <c r="D4573" t="s">
        <v>560</v>
      </c>
      <c r="E4573" t="str">
        <f>"4120300001772"</f>
        <v>0</v>
      </c>
      <c r="F4573" t="str">
        <f>"000950"</f>
        <v>0</v>
      </c>
      <c r="G4573" t="s">
        <v>21</v>
      </c>
    </row>
    <row r="4574" spans="1:7">
      <c r="A4574">
        <v>4573</v>
      </c>
      <c r="B4574" t="str">
        <f>"003036"</f>
        <v>0</v>
      </c>
      <c r="C4574" t="s">
        <v>442</v>
      </c>
      <c r="D4574" t="s">
        <v>87</v>
      </c>
      <c r="E4574" t="str">
        <f>"3101401313268"</f>
        <v>0</v>
      </c>
      <c r="F4574" t="str">
        <f>"000950"</f>
        <v>0</v>
      </c>
      <c r="G4574" t="s">
        <v>21</v>
      </c>
    </row>
    <row r="4575" spans="1:7">
      <c r="A4575">
        <v>4574</v>
      </c>
      <c r="B4575" t="str">
        <f>"003625"</f>
        <v>0</v>
      </c>
      <c r="C4575" t="s">
        <v>7550</v>
      </c>
      <c r="D4575" t="s">
        <v>1261</v>
      </c>
      <c r="E4575" t="str">
        <f>"3101600612672"</f>
        <v>0</v>
      </c>
      <c r="F4575" t="str">
        <f>"000950"</f>
        <v>0</v>
      </c>
      <c r="G4575" t="s">
        <v>21</v>
      </c>
    </row>
    <row r="4576" spans="1:7">
      <c r="A4576">
        <v>4575</v>
      </c>
      <c r="B4576" t="str">
        <f>"003882"</f>
        <v>0</v>
      </c>
      <c r="C4576" t="s">
        <v>802</v>
      </c>
      <c r="D4576" t="s">
        <v>7551</v>
      </c>
      <c r="E4576" t="str">
        <f>"3100905101492"</f>
        <v>0</v>
      </c>
      <c r="F4576" t="str">
        <f>"000950"</f>
        <v>0</v>
      </c>
      <c r="G4576" t="s">
        <v>21</v>
      </c>
    </row>
    <row r="4577" spans="1:7">
      <c r="A4577">
        <v>4576</v>
      </c>
      <c r="B4577" t="str">
        <f>"004002"</f>
        <v>0</v>
      </c>
      <c r="C4577" t="s">
        <v>7552</v>
      </c>
      <c r="D4577" t="s">
        <v>7553</v>
      </c>
      <c r="E4577" t="str">
        <f>"3720600375925"</f>
        <v>0</v>
      </c>
      <c r="F4577" t="str">
        <f>"000950"</f>
        <v>0</v>
      </c>
      <c r="G4577" t="s">
        <v>21</v>
      </c>
    </row>
    <row r="4578" spans="1:7">
      <c r="A4578">
        <v>4577</v>
      </c>
      <c r="B4578" t="str">
        <f>"004076"</f>
        <v>0</v>
      </c>
      <c r="C4578" t="s">
        <v>7554</v>
      </c>
      <c r="D4578" t="s">
        <v>7555</v>
      </c>
      <c r="E4578" t="str">
        <f>"3480600066496"</f>
        <v>0</v>
      </c>
      <c r="F4578" t="str">
        <f>"000950"</f>
        <v>0</v>
      </c>
      <c r="G4578" t="s">
        <v>21</v>
      </c>
    </row>
    <row r="4579" spans="1:7">
      <c r="A4579">
        <v>4578</v>
      </c>
      <c r="B4579" t="str">
        <f>"004084"</f>
        <v>0</v>
      </c>
      <c r="C4579" t="s">
        <v>7556</v>
      </c>
      <c r="D4579" t="s">
        <v>7557</v>
      </c>
      <c r="E4579" t="str">
        <f>"3120101518351"</f>
        <v>0</v>
      </c>
      <c r="F4579" t="str">
        <f>"000950"</f>
        <v>0</v>
      </c>
      <c r="G4579" t="s">
        <v>21</v>
      </c>
    </row>
    <row r="4580" spans="1:7">
      <c r="A4580">
        <v>4579</v>
      </c>
      <c r="B4580" t="str">
        <f>"004176"</f>
        <v>0</v>
      </c>
      <c r="C4580" t="s">
        <v>7558</v>
      </c>
      <c r="D4580" t="s">
        <v>7559</v>
      </c>
      <c r="E4580" t="str">
        <f>"3200101014379"</f>
        <v>0</v>
      </c>
      <c r="F4580" t="str">
        <f>"000950"</f>
        <v>0</v>
      </c>
      <c r="G4580" t="s">
        <v>21</v>
      </c>
    </row>
    <row r="4581" spans="1:7">
      <c r="A4581">
        <v>4580</v>
      </c>
      <c r="B4581" t="str">
        <f>"004532"</f>
        <v>0</v>
      </c>
      <c r="C4581" t="s">
        <v>5236</v>
      </c>
      <c r="D4581" t="s">
        <v>7560</v>
      </c>
      <c r="E4581" t="str">
        <f>"3120101829217"</f>
        <v>0</v>
      </c>
      <c r="F4581" t="str">
        <f>"000950"</f>
        <v>0</v>
      </c>
      <c r="G4581" t="s">
        <v>21</v>
      </c>
    </row>
    <row r="4582" spans="1:7">
      <c r="A4582">
        <v>4581</v>
      </c>
      <c r="B4582" t="str">
        <f>"004897"</f>
        <v>0</v>
      </c>
      <c r="C4582" t="s">
        <v>7561</v>
      </c>
      <c r="D4582" t="s">
        <v>7562</v>
      </c>
      <c r="E4582" t="str">
        <f>"3869800013684"</f>
        <v>0</v>
      </c>
      <c r="F4582" t="str">
        <f>"000950"</f>
        <v>0</v>
      </c>
      <c r="G4582" t="s">
        <v>21</v>
      </c>
    </row>
    <row r="4583" spans="1:7">
      <c r="A4583">
        <v>4582</v>
      </c>
      <c r="B4583" t="str">
        <f>"005115"</f>
        <v>0</v>
      </c>
      <c r="C4583" t="s">
        <v>445</v>
      </c>
      <c r="D4583" t="s">
        <v>7563</v>
      </c>
      <c r="E4583" t="str">
        <f>"3800600268842"</f>
        <v>0</v>
      </c>
      <c r="F4583" t="str">
        <f>"000950"</f>
        <v>0</v>
      </c>
      <c r="G4583" t="s">
        <v>21</v>
      </c>
    </row>
    <row r="4584" spans="1:7">
      <c r="A4584">
        <v>4583</v>
      </c>
      <c r="B4584" t="str">
        <f>"005512"</f>
        <v>0</v>
      </c>
      <c r="C4584" t="s">
        <v>6968</v>
      </c>
      <c r="D4584" t="s">
        <v>7564</v>
      </c>
      <c r="E4584" t="str">
        <f>"3130300166358"</f>
        <v>0</v>
      </c>
      <c r="F4584" t="str">
        <f>"000950"</f>
        <v>0</v>
      </c>
      <c r="G4584" t="s">
        <v>21</v>
      </c>
    </row>
    <row r="4585" spans="1:7">
      <c r="A4585">
        <v>4584</v>
      </c>
      <c r="B4585" t="str">
        <f>"005921"</f>
        <v>0</v>
      </c>
      <c r="C4585" t="s">
        <v>7565</v>
      </c>
      <c r="D4585" t="s">
        <v>7566</v>
      </c>
      <c r="E4585" t="str">
        <f>"3841100129470"</f>
        <v>0</v>
      </c>
      <c r="F4585" t="str">
        <f>"000950"</f>
        <v>0</v>
      </c>
      <c r="G4585" t="s">
        <v>21</v>
      </c>
    </row>
    <row r="4586" spans="1:7">
      <c r="A4586">
        <v>4585</v>
      </c>
      <c r="B4586" t="str">
        <f>"006368"</f>
        <v>0</v>
      </c>
      <c r="C4586" t="s">
        <v>7567</v>
      </c>
      <c r="D4586" t="s">
        <v>7568</v>
      </c>
      <c r="E4586" t="str">
        <f>"3100100578857"</f>
        <v>0</v>
      </c>
      <c r="F4586" t="str">
        <f>"000950"</f>
        <v>0</v>
      </c>
      <c r="G4586" t="s">
        <v>21</v>
      </c>
    </row>
    <row r="4587" spans="1:7">
      <c r="A4587">
        <v>4586</v>
      </c>
      <c r="B4587" t="str">
        <f>"006991"</f>
        <v>0</v>
      </c>
      <c r="C4587" t="s">
        <v>7569</v>
      </c>
      <c r="D4587" t="s">
        <v>7570</v>
      </c>
      <c r="E4587" t="str">
        <f>"3309900988673"</f>
        <v>0</v>
      </c>
      <c r="F4587" t="str">
        <f>"000950"</f>
        <v>0</v>
      </c>
      <c r="G4587" t="s">
        <v>21</v>
      </c>
    </row>
    <row r="4588" spans="1:7">
      <c r="A4588">
        <v>4587</v>
      </c>
      <c r="B4588" t="str">
        <f>"007036"</f>
        <v>0</v>
      </c>
      <c r="C4588" t="s">
        <v>7571</v>
      </c>
      <c r="D4588" t="s">
        <v>4089</v>
      </c>
      <c r="E4588" t="str">
        <f>"3700400026838"</f>
        <v>0</v>
      </c>
      <c r="F4588" t="str">
        <f>"000950"</f>
        <v>0</v>
      </c>
      <c r="G4588" t="s">
        <v>21</v>
      </c>
    </row>
    <row r="4589" spans="1:7">
      <c r="A4589">
        <v>4588</v>
      </c>
      <c r="B4589" t="str">
        <f>"007177"</f>
        <v>0</v>
      </c>
      <c r="C4589" t="s">
        <v>2254</v>
      </c>
      <c r="D4589" t="s">
        <v>1230</v>
      </c>
      <c r="E4589" t="str">
        <f>"3120600590155"</f>
        <v>0</v>
      </c>
      <c r="F4589" t="str">
        <f>"000950"</f>
        <v>0</v>
      </c>
      <c r="G4589" t="s">
        <v>21</v>
      </c>
    </row>
    <row r="4590" spans="1:7">
      <c r="A4590">
        <v>4589</v>
      </c>
      <c r="B4590" t="str">
        <f>"007812"</f>
        <v>0</v>
      </c>
      <c r="C4590" t="s">
        <v>2447</v>
      </c>
      <c r="D4590" t="s">
        <v>7572</v>
      </c>
      <c r="E4590" t="str">
        <f>"3101402233519"</f>
        <v>0</v>
      </c>
      <c r="F4590" t="str">
        <f>"000950"</f>
        <v>0</v>
      </c>
      <c r="G4590" t="s">
        <v>21</v>
      </c>
    </row>
    <row r="4591" spans="1:7">
      <c r="A4591">
        <v>4590</v>
      </c>
      <c r="B4591" t="str">
        <f>"008172"</f>
        <v>0</v>
      </c>
      <c r="C4591" t="s">
        <v>4173</v>
      </c>
      <c r="D4591" t="s">
        <v>6714</v>
      </c>
      <c r="E4591" t="str">
        <f>"3100501832746"</f>
        <v>0</v>
      </c>
      <c r="F4591" t="str">
        <f>"000950"</f>
        <v>0</v>
      </c>
      <c r="G4591" t="s">
        <v>21</v>
      </c>
    </row>
    <row r="4592" spans="1:7">
      <c r="A4592">
        <v>4591</v>
      </c>
      <c r="B4592" t="str">
        <f>"008313"</f>
        <v>0</v>
      </c>
      <c r="C4592" t="s">
        <v>7573</v>
      </c>
      <c r="D4592" t="s">
        <v>7574</v>
      </c>
      <c r="E4592" t="str">
        <f>"5450690009337"</f>
        <v>0</v>
      </c>
      <c r="F4592" t="str">
        <f>"000950"</f>
        <v>0</v>
      </c>
      <c r="G4592" t="s">
        <v>21</v>
      </c>
    </row>
    <row r="4593" spans="1:7">
      <c r="A4593">
        <v>4592</v>
      </c>
      <c r="B4593" t="str">
        <f>"008921"</f>
        <v>0</v>
      </c>
      <c r="C4593" t="s">
        <v>7575</v>
      </c>
      <c r="D4593" t="s">
        <v>7576</v>
      </c>
      <c r="E4593" t="str">
        <f>"3120100616015"</f>
        <v>0</v>
      </c>
      <c r="F4593" t="str">
        <f>"000950"</f>
        <v>0</v>
      </c>
      <c r="G4593" t="s">
        <v>21</v>
      </c>
    </row>
    <row r="4594" spans="1:7">
      <c r="A4594">
        <v>4593</v>
      </c>
      <c r="B4594" t="str">
        <f>"009256"</f>
        <v>0</v>
      </c>
      <c r="C4594" t="s">
        <v>5201</v>
      </c>
      <c r="D4594" t="s">
        <v>7577</v>
      </c>
      <c r="E4594" t="str">
        <f>"3120101285284"</f>
        <v>0</v>
      </c>
      <c r="F4594" t="str">
        <f>"000950"</f>
        <v>0</v>
      </c>
      <c r="G4594" t="s">
        <v>21</v>
      </c>
    </row>
    <row r="4595" spans="1:7">
      <c r="A4595">
        <v>4594</v>
      </c>
      <c r="B4595" t="str">
        <f>"010135"</f>
        <v>0</v>
      </c>
      <c r="C4595" t="s">
        <v>130</v>
      </c>
      <c r="D4595" t="s">
        <v>2411</v>
      </c>
      <c r="E4595" t="str">
        <f>"3120101389730"</f>
        <v>0</v>
      </c>
      <c r="F4595" t="str">
        <f>"000950"</f>
        <v>0</v>
      </c>
      <c r="G4595" t="s">
        <v>21</v>
      </c>
    </row>
    <row r="4596" spans="1:7">
      <c r="A4596">
        <v>4595</v>
      </c>
      <c r="B4596" t="str">
        <f>"010261"</f>
        <v>0</v>
      </c>
      <c r="C4596" t="s">
        <v>1988</v>
      </c>
      <c r="D4596" t="s">
        <v>7578</v>
      </c>
      <c r="E4596" t="str">
        <f>"3120600590201"</f>
        <v>0</v>
      </c>
      <c r="F4596" t="str">
        <f>"000950"</f>
        <v>0</v>
      </c>
      <c r="G4596" t="s">
        <v>21</v>
      </c>
    </row>
    <row r="4597" spans="1:7">
      <c r="A4597">
        <v>4596</v>
      </c>
      <c r="B4597" t="str">
        <f>"010357"</f>
        <v>0</v>
      </c>
      <c r="C4597" t="s">
        <v>7579</v>
      </c>
      <c r="D4597" t="s">
        <v>7580</v>
      </c>
      <c r="E4597" t="str">
        <f>"3120300034419"</f>
        <v>0</v>
      </c>
      <c r="F4597" t="str">
        <f>"000950"</f>
        <v>0</v>
      </c>
      <c r="G4597" t="s">
        <v>21</v>
      </c>
    </row>
    <row r="4598" spans="1:7">
      <c r="A4598">
        <v>4597</v>
      </c>
      <c r="B4598" t="str">
        <f>"010621"</f>
        <v>0</v>
      </c>
      <c r="C4598" t="s">
        <v>2785</v>
      </c>
      <c r="D4598" t="s">
        <v>7581</v>
      </c>
      <c r="E4598" t="str">
        <f>"3210500107265"</f>
        <v>0</v>
      </c>
      <c r="F4598" t="str">
        <f>"000950"</f>
        <v>0</v>
      </c>
      <c r="G4598" t="s">
        <v>21</v>
      </c>
    </row>
    <row r="4599" spans="1:7">
      <c r="A4599">
        <v>4598</v>
      </c>
      <c r="B4599" t="str">
        <f>"010738"</f>
        <v>0</v>
      </c>
      <c r="C4599" t="s">
        <v>341</v>
      </c>
      <c r="D4599" t="s">
        <v>7582</v>
      </c>
      <c r="E4599" t="str">
        <f>"4709800001910"</f>
        <v>0</v>
      </c>
      <c r="F4599" t="str">
        <f>"000950"</f>
        <v>0</v>
      </c>
      <c r="G4599" t="s">
        <v>21</v>
      </c>
    </row>
    <row r="4600" spans="1:7">
      <c r="A4600">
        <v>4599</v>
      </c>
      <c r="B4600" t="str">
        <f>"010757"</f>
        <v>0</v>
      </c>
      <c r="C4600" t="s">
        <v>3057</v>
      </c>
      <c r="D4600" t="s">
        <v>7583</v>
      </c>
      <c r="E4600" t="str">
        <f>"3102200307717"</f>
        <v>0</v>
      </c>
      <c r="F4600" t="str">
        <f>"000950"</f>
        <v>0</v>
      </c>
      <c r="G4600" t="s">
        <v>21</v>
      </c>
    </row>
    <row r="4601" spans="1:7">
      <c r="A4601">
        <v>4600</v>
      </c>
      <c r="B4601" t="str">
        <f>"010828"</f>
        <v>0</v>
      </c>
      <c r="C4601" t="s">
        <v>1682</v>
      </c>
      <c r="D4601" t="s">
        <v>7584</v>
      </c>
      <c r="E4601" t="str">
        <f>"3100601980186"</f>
        <v>0</v>
      </c>
      <c r="F4601" t="str">
        <f>"000950"</f>
        <v>0</v>
      </c>
      <c r="G4601" t="s">
        <v>21</v>
      </c>
    </row>
    <row r="4602" spans="1:7">
      <c r="A4602">
        <v>4601</v>
      </c>
      <c r="B4602" t="str">
        <f>"011465"</f>
        <v>0</v>
      </c>
      <c r="C4602" t="s">
        <v>7585</v>
      </c>
      <c r="D4602" t="s">
        <v>7586</v>
      </c>
      <c r="E4602" t="str">
        <f>"3120600691296"</f>
        <v>0</v>
      </c>
      <c r="F4602" t="str">
        <f>"000950"</f>
        <v>0</v>
      </c>
      <c r="G4602" t="s">
        <v>21</v>
      </c>
    </row>
    <row r="4603" spans="1:7">
      <c r="A4603">
        <v>4602</v>
      </c>
      <c r="B4603" t="str">
        <f>"011526"</f>
        <v>0</v>
      </c>
      <c r="C4603" t="s">
        <v>7587</v>
      </c>
      <c r="D4603" t="s">
        <v>7576</v>
      </c>
      <c r="E4603" t="str">
        <f>"3120100615949"</f>
        <v>0</v>
      </c>
      <c r="F4603" t="str">
        <f>"000950"</f>
        <v>0</v>
      </c>
      <c r="G4603" t="s">
        <v>21</v>
      </c>
    </row>
    <row r="4604" spans="1:7">
      <c r="A4604">
        <v>4603</v>
      </c>
      <c r="B4604" t="str">
        <f>"011612"</f>
        <v>0</v>
      </c>
      <c r="C4604" t="s">
        <v>7588</v>
      </c>
      <c r="D4604" t="s">
        <v>7589</v>
      </c>
      <c r="E4604" t="str">
        <f>"3219900185270"</f>
        <v>0</v>
      </c>
      <c r="F4604" t="str">
        <f>"000950"</f>
        <v>0</v>
      </c>
      <c r="G4604" t="s">
        <v>21</v>
      </c>
    </row>
    <row r="4605" spans="1:7">
      <c r="A4605">
        <v>4604</v>
      </c>
      <c r="B4605" t="str">
        <f>"011765"</f>
        <v>0</v>
      </c>
      <c r="C4605" t="s">
        <v>7590</v>
      </c>
      <c r="D4605" t="s">
        <v>2132</v>
      </c>
      <c r="E4605" t="str">
        <f>"3240400213683"</f>
        <v>0</v>
      </c>
      <c r="F4605" t="str">
        <f>"000950"</f>
        <v>0</v>
      </c>
      <c r="G4605" t="s">
        <v>21</v>
      </c>
    </row>
    <row r="4606" spans="1:7">
      <c r="A4606">
        <v>4605</v>
      </c>
      <c r="B4606" t="str">
        <f>"012191"</f>
        <v>0</v>
      </c>
      <c r="C4606" t="s">
        <v>7591</v>
      </c>
      <c r="D4606" t="s">
        <v>7592</v>
      </c>
      <c r="E4606" t="str">
        <f>"3120101886148"</f>
        <v>0</v>
      </c>
      <c r="F4606" t="str">
        <f>"000950"</f>
        <v>0</v>
      </c>
      <c r="G4606" t="s">
        <v>21</v>
      </c>
    </row>
    <row r="4607" spans="1:7">
      <c r="A4607">
        <v>4606</v>
      </c>
      <c r="B4607" t="str">
        <f>"012320"</f>
        <v>0</v>
      </c>
      <c r="C4607" t="s">
        <v>7593</v>
      </c>
      <c r="D4607" t="s">
        <v>7594</v>
      </c>
      <c r="E4607" t="str">
        <f>"3100502980480"</f>
        <v>0</v>
      </c>
      <c r="F4607" t="str">
        <f>"000950"</f>
        <v>0</v>
      </c>
      <c r="G4607" t="s">
        <v>21</v>
      </c>
    </row>
    <row r="4608" spans="1:7">
      <c r="A4608">
        <v>4607</v>
      </c>
      <c r="B4608" t="str">
        <f>"012466"</f>
        <v>0</v>
      </c>
      <c r="C4608" t="s">
        <v>7595</v>
      </c>
      <c r="D4608" t="s">
        <v>5292</v>
      </c>
      <c r="E4608" t="str">
        <f>"3120100655541"</f>
        <v>0</v>
      </c>
      <c r="F4608" t="str">
        <f>"000950"</f>
        <v>0</v>
      </c>
      <c r="G4608" t="s">
        <v>21</v>
      </c>
    </row>
    <row r="4609" spans="1:7">
      <c r="A4609">
        <v>4608</v>
      </c>
      <c r="B4609" t="str">
        <f>"012748"</f>
        <v>0</v>
      </c>
      <c r="C4609" t="s">
        <v>4838</v>
      </c>
      <c r="D4609" t="s">
        <v>7596</v>
      </c>
      <c r="E4609" t="str">
        <f>"3819900132944"</f>
        <v>0</v>
      </c>
      <c r="F4609" t="str">
        <f>"000950"</f>
        <v>0</v>
      </c>
      <c r="G4609" t="s">
        <v>21</v>
      </c>
    </row>
    <row r="4610" spans="1:7">
      <c r="A4610">
        <v>4609</v>
      </c>
      <c r="B4610" t="str">
        <f>"012812"</f>
        <v>0</v>
      </c>
      <c r="C4610" t="s">
        <v>46</v>
      </c>
      <c r="D4610" t="s">
        <v>7597</v>
      </c>
      <c r="E4610" t="str">
        <f>"3120600877021"</f>
        <v>0</v>
      </c>
      <c r="F4610" t="str">
        <f>"000950"</f>
        <v>0</v>
      </c>
      <c r="G4610" t="s">
        <v>21</v>
      </c>
    </row>
    <row r="4611" spans="1:7">
      <c r="A4611">
        <v>4610</v>
      </c>
      <c r="B4611" t="str">
        <f>"013255"</f>
        <v>0</v>
      </c>
      <c r="C4611" t="s">
        <v>5247</v>
      </c>
      <c r="D4611" t="s">
        <v>7598</v>
      </c>
      <c r="E4611" t="str">
        <f>"3649800031374"</f>
        <v>0</v>
      </c>
      <c r="F4611" t="str">
        <f>"000950"</f>
        <v>0</v>
      </c>
      <c r="G4611" t="s">
        <v>21</v>
      </c>
    </row>
    <row r="4612" spans="1:7">
      <c r="A4612">
        <v>4611</v>
      </c>
      <c r="B4612" t="str">
        <f>"013740"</f>
        <v>0</v>
      </c>
      <c r="C4612" t="s">
        <v>7599</v>
      </c>
      <c r="D4612" t="s">
        <v>1418</v>
      </c>
      <c r="E4612" t="str">
        <f>"3100202836707"</f>
        <v>0</v>
      </c>
      <c r="F4612" t="str">
        <f>"000950"</f>
        <v>0</v>
      </c>
      <c r="G4612" t="s">
        <v>21</v>
      </c>
    </row>
    <row r="4613" spans="1:7">
      <c r="A4613">
        <v>4612</v>
      </c>
      <c r="B4613" t="str">
        <f>"013794"</f>
        <v>0</v>
      </c>
      <c r="C4613" t="s">
        <v>7600</v>
      </c>
      <c r="D4613" t="s">
        <v>7601</v>
      </c>
      <c r="E4613" t="str">
        <f>"3120600864352"</f>
        <v>0</v>
      </c>
      <c r="F4613" t="str">
        <f>"000950"</f>
        <v>0</v>
      </c>
      <c r="G4613" t="s">
        <v>21</v>
      </c>
    </row>
    <row r="4614" spans="1:7">
      <c r="A4614">
        <v>4613</v>
      </c>
      <c r="B4614" t="str">
        <f>"013803"</f>
        <v>0</v>
      </c>
      <c r="C4614" t="s">
        <v>7602</v>
      </c>
      <c r="D4614" t="s">
        <v>7603</v>
      </c>
      <c r="E4614" t="str">
        <f>"3102201482695"</f>
        <v>0</v>
      </c>
      <c r="F4614" t="str">
        <f>"000950"</f>
        <v>0</v>
      </c>
      <c r="G4614" t="s">
        <v>21</v>
      </c>
    </row>
    <row r="4615" spans="1:7">
      <c r="A4615">
        <v>4614</v>
      </c>
      <c r="B4615" t="str">
        <f>"014186"</f>
        <v>0</v>
      </c>
      <c r="C4615" t="s">
        <v>7604</v>
      </c>
      <c r="D4615" t="s">
        <v>7605</v>
      </c>
      <c r="E4615" t="str">
        <f>"3619900007645"</f>
        <v>0</v>
      </c>
      <c r="F4615" t="str">
        <f>"000950"</f>
        <v>0</v>
      </c>
      <c r="G4615" t="s">
        <v>21</v>
      </c>
    </row>
    <row r="4616" spans="1:7">
      <c r="A4616">
        <v>4615</v>
      </c>
      <c r="B4616" t="str">
        <f>"015117"</f>
        <v>0</v>
      </c>
      <c r="C4616" t="s">
        <v>7606</v>
      </c>
      <c r="D4616" t="s">
        <v>7607</v>
      </c>
      <c r="E4616" t="str">
        <f>"3120100655509"</f>
        <v>0</v>
      </c>
      <c r="F4616" t="str">
        <f>"000950"</f>
        <v>0</v>
      </c>
      <c r="G4616" t="s">
        <v>21</v>
      </c>
    </row>
    <row r="4617" spans="1:7">
      <c r="A4617">
        <v>4616</v>
      </c>
      <c r="B4617" t="str">
        <f>"015181"</f>
        <v>0</v>
      </c>
      <c r="C4617" t="s">
        <v>514</v>
      </c>
      <c r="D4617" t="s">
        <v>7608</v>
      </c>
      <c r="E4617" t="str">
        <f>"3100504483181"</f>
        <v>0</v>
      </c>
      <c r="F4617" t="str">
        <f>"000950"</f>
        <v>0</v>
      </c>
      <c r="G4617" t="s">
        <v>21</v>
      </c>
    </row>
    <row r="4618" spans="1:7">
      <c r="A4618">
        <v>4617</v>
      </c>
      <c r="B4618" t="str">
        <f>"015608"</f>
        <v>0</v>
      </c>
      <c r="C4618" t="s">
        <v>7609</v>
      </c>
      <c r="D4618" t="s">
        <v>7610</v>
      </c>
      <c r="E4618" t="str">
        <f>"3120290000177"</f>
        <v>0</v>
      </c>
      <c r="F4618" t="str">
        <f>"000950"</f>
        <v>0</v>
      </c>
      <c r="G4618" t="s">
        <v>21</v>
      </c>
    </row>
    <row r="4619" spans="1:7">
      <c r="A4619">
        <v>4618</v>
      </c>
      <c r="B4619" t="str">
        <f>"015746"</f>
        <v>0</v>
      </c>
      <c r="C4619" t="s">
        <v>3913</v>
      </c>
      <c r="D4619" t="s">
        <v>7611</v>
      </c>
      <c r="E4619" t="str">
        <f>"3120101548293"</f>
        <v>0</v>
      </c>
      <c r="F4619" t="str">
        <f>"000950"</f>
        <v>0</v>
      </c>
      <c r="G4619" t="s">
        <v>21</v>
      </c>
    </row>
    <row r="4620" spans="1:7">
      <c r="A4620">
        <v>4619</v>
      </c>
      <c r="B4620" t="str">
        <f>"016019"</f>
        <v>0</v>
      </c>
      <c r="C4620" t="s">
        <v>7612</v>
      </c>
      <c r="D4620" t="s">
        <v>2267</v>
      </c>
      <c r="E4620" t="str">
        <f>"3520800155807"</f>
        <v>0</v>
      </c>
      <c r="F4620" t="str">
        <f>"000950"</f>
        <v>0</v>
      </c>
      <c r="G4620" t="s">
        <v>21</v>
      </c>
    </row>
    <row r="4621" spans="1:7">
      <c r="A4621">
        <v>4620</v>
      </c>
      <c r="B4621" t="str">
        <f>"016218"</f>
        <v>0</v>
      </c>
      <c r="C4621" t="s">
        <v>1093</v>
      </c>
      <c r="D4621" t="s">
        <v>7613</v>
      </c>
      <c r="E4621" t="str">
        <f>"3530700247823"</f>
        <v>0</v>
      </c>
      <c r="F4621" t="str">
        <f>"000950"</f>
        <v>0</v>
      </c>
      <c r="G4621" t="s">
        <v>21</v>
      </c>
    </row>
    <row r="4622" spans="1:7">
      <c r="A4622">
        <v>4621</v>
      </c>
      <c r="B4622" t="str">
        <f>"016624"</f>
        <v>0</v>
      </c>
      <c r="C4622" t="s">
        <v>7614</v>
      </c>
      <c r="D4622" t="s">
        <v>1230</v>
      </c>
      <c r="E4622" t="str">
        <f>"3100502942383"</f>
        <v>0</v>
      </c>
      <c r="F4622" t="str">
        <f>"000950"</f>
        <v>0</v>
      </c>
      <c r="G4622" t="s">
        <v>21</v>
      </c>
    </row>
    <row r="4623" spans="1:7">
      <c r="A4623">
        <v>4622</v>
      </c>
      <c r="B4623" t="str">
        <f>"016917"</f>
        <v>0</v>
      </c>
      <c r="C4623" t="s">
        <v>1878</v>
      </c>
      <c r="D4623" t="s">
        <v>7615</v>
      </c>
      <c r="E4623" t="str">
        <f>"3120100710593"</f>
        <v>0</v>
      </c>
      <c r="F4623" t="str">
        <f>"000950"</f>
        <v>0</v>
      </c>
      <c r="G4623" t="s">
        <v>21</v>
      </c>
    </row>
    <row r="4624" spans="1:7">
      <c r="A4624">
        <v>4623</v>
      </c>
      <c r="B4624" t="str">
        <f>"016944"</f>
        <v>0</v>
      </c>
      <c r="C4624" t="s">
        <v>7616</v>
      </c>
      <c r="D4624" t="s">
        <v>7617</v>
      </c>
      <c r="E4624" t="str">
        <f>"3100503809881"</f>
        <v>0</v>
      </c>
      <c r="F4624" t="str">
        <f>"000950"</f>
        <v>0</v>
      </c>
      <c r="G4624" t="s">
        <v>21</v>
      </c>
    </row>
    <row r="4625" spans="1:7">
      <c r="A4625">
        <v>4624</v>
      </c>
      <c r="B4625" t="str">
        <f>"017019"</f>
        <v>0</v>
      </c>
      <c r="C4625" t="s">
        <v>7618</v>
      </c>
      <c r="D4625" t="s">
        <v>7619</v>
      </c>
      <c r="E4625" t="str">
        <f>"3120200311933"</f>
        <v>0</v>
      </c>
      <c r="F4625" t="str">
        <f>"000950"</f>
        <v>0</v>
      </c>
      <c r="G4625" t="s">
        <v>21</v>
      </c>
    </row>
    <row r="4626" spans="1:7">
      <c r="A4626">
        <v>4625</v>
      </c>
      <c r="B4626" t="str">
        <f>"018188"</f>
        <v>0</v>
      </c>
      <c r="C4626" t="s">
        <v>154</v>
      </c>
      <c r="D4626" t="s">
        <v>7620</v>
      </c>
      <c r="E4626" t="str">
        <f>"3102201615067"</f>
        <v>0</v>
      </c>
      <c r="F4626" t="str">
        <f>"000950"</f>
        <v>0</v>
      </c>
      <c r="G4626" t="s">
        <v>21</v>
      </c>
    </row>
    <row r="4627" spans="1:7">
      <c r="A4627">
        <v>4626</v>
      </c>
      <c r="B4627" t="str">
        <f>"018671"</f>
        <v>0</v>
      </c>
      <c r="C4627" t="s">
        <v>130</v>
      </c>
      <c r="D4627" t="s">
        <v>7621</v>
      </c>
      <c r="E4627" t="str">
        <f>"3120200047594"</f>
        <v>0</v>
      </c>
      <c r="F4627" t="str">
        <f>"000950"</f>
        <v>0</v>
      </c>
      <c r="G4627" t="s">
        <v>21</v>
      </c>
    </row>
    <row r="4628" spans="1:7">
      <c r="A4628">
        <v>4627</v>
      </c>
      <c r="B4628" t="str">
        <f>"018797"</f>
        <v>0</v>
      </c>
      <c r="C4628" t="s">
        <v>7622</v>
      </c>
      <c r="D4628" t="s">
        <v>7623</v>
      </c>
      <c r="E4628" t="str">
        <f>"3149900033802"</f>
        <v>0</v>
      </c>
      <c r="F4628" t="str">
        <f>"000950"</f>
        <v>0</v>
      </c>
      <c r="G4628" t="s">
        <v>21</v>
      </c>
    </row>
    <row r="4629" spans="1:7">
      <c r="A4629">
        <v>4628</v>
      </c>
      <c r="B4629" t="str">
        <f>"019163"</f>
        <v>0</v>
      </c>
      <c r="C4629" t="s">
        <v>2809</v>
      </c>
      <c r="D4629" t="s">
        <v>7624</v>
      </c>
      <c r="E4629" t="str">
        <f>"3900100054320"</f>
        <v>0</v>
      </c>
      <c r="F4629" t="str">
        <f>"000950"</f>
        <v>0</v>
      </c>
      <c r="G4629" t="s">
        <v>21</v>
      </c>
    </row>
    <row r="4630" spans="1:7">
      <c r="A4630">
        <v>4629</v>
      </c>
      <c r="B4630" t="str">
        <f>"019536"</f>
        <v>0</v>
      </c>
      <c r="C4630" t="s">
        <v>7625</v>
      </c>
      <c r="D4630" t="s">
        <v>7626</v>
      </c>
      <c r="E4630" t="str">
        <f>"3120600361806"</f>
        <v>0</v>
      </c>
      <c r="F4630" t="str">
        <f>"000950"</f>
        <v>0</v>
      </c>
      <c r="G4630" t="s">
        <v>21</v>
      </c>
    </row>
    <row r="4631" spans="1:7">
      <c r="A4631">
        <v>4630</v>
      </c>
      <c r="B4631" t="str">
        <f>"019736"</f>
        <v>0</v>
      </c>
      <c r="C4631" t="s">
        <v>7627</v>
      </c>
      <c r="D4631" t="s">
        <v>7628</v>
      </c>
      <c r="E4631" t="str">
        <f>"3100502992895"</f>
        <v>0</v>
      </c>
      <c r="F4631" t="str">
        <f>"000950"</f>
        <v>0</v>
      </c>
      <c r="G4631" t="s">
        <v>21</v>
      </c>
    </row>
    <row r="4632" spans="1:7">
      <c r="A4632">
        <v>4631</v>
      </c>
      <c r="B4632" t="str">
        <f>"020071"</f>
        <v>0</v>
      </c>
      <c r="C4632" t="s">
        <v>2262</v>
      </c>
      <c r="D4632" t="s">
        <v>7629</v>
      </c>
      <c r="E4632" t="str">
        <f>"3120100701055"</f>
        <v>0</v>
      </c>
      <c r="F4632" t="str">
        <f>"000950"</f>
        <v>0</v>
      </c>
      <c r="G4632" t="s">
        <v>21</v>
      </c>
    </row>
    <row r="4633" spans="1:7">
      <c r="A4633">
        <v>4632</v>
      </c>
      <c r="B4633" t="str">
        <f>"020106"</f>
        <v>0</v>
      </c>
      <c r="C4633" t="s">
        <v>832</v>
      </c>
      <c r="D4633" t="s">
        <v>7630</v>
      </c>
      <c r="E4633" t="str">
        <f>"5540490005965"</f>
        <v>0</v>
      </c>
      <c r="F4633" t="str">
        <f>"000950"</f>
        <v>0</v>
      </c>
      <c r="G4633" t="s">
        <v>21</v>
      </c>
    </row>
    <row r="4634" spans="1:7">
      <c r="A4634">
        <v>4633</v>
      </c>
      <c r="B4634" t="str">
        <f>"020168"</f>
        <v>0</v>
      </c>
      <c r="C4634" t="s">
        <v>7631</v>
      </c>
      <c r="D4634" t="s">
        <v>7632</v>
      </c>
      <c r="E4634" t="str">
        <f>"3101600974710"</f>
        <v>0</v>
      </c>
      <c r="F4634" t="str">
        <f>"000950"</f>
        <v>0</v>
      </c>
      <c r="G4634" t="s">
        <v>21</v>
      </c>
    </row>
    <row r="4635" spans="1:7">
      <c r="A4635">
        <v>4634</v>
      </c>
      <c r="B4635" t="str">
        <f>"020368"</f>
        <v>0</v>
      </c>
      <c r="C4635" t="s">
        <v>7633</v>
      </c>
      <c r="D4635" t="s">
        <v>4626</v>
      </c>
      <c r="E4635" t="str">
        <f>"3840100029121"</f>
        <v>0</v>
      </c>
      <c r="F4635" t="str">
        <f>"000950"</f>
        <v>0</v>
      </c>
      <c r="G4635" t="s">
        <v>21</v>
      </c>
    </row>
    <row r="4636" spans="1:7">
      <c r="A4636">
        <v>4635</v>
      </c>
      <c r="B4636" t="str">
        <f>"020882"</f>
        <v>0</v>
      </c>
      <c r="C4636" t="s">
        <v>4875</v>
      </c>
      <c r="D4636" t="s">
        <v>7634</v>
      </c>
      <c r="E4636" t="str">
        <f>"3160100523661"</f>
        <v>0</v>
      </c>
      <c r="F4636" t="str">
        <f>"000950"</f>
        <v>0</v>
      </c>
      <c r="G4636" t="s">
        <v>21</v>
      </c>
    </row>
    <row r="4637" spans="1:7">
      <c r="A4637">
        <v>4636</v>
      </c>
      <c r="B4637" t="str">
        <f>"020922"</f>
        <v>0</v>
      </c>
      <c r="C4637" t="s">
        <v>3812</v>
      </c>
      <c r="D4637" t="s">
        <v>7635</v>
      </c>
      <c r="E4637" t="str">
        <f>"3100201706508"</f>
        <v>0</v>
      </c>
      <c r="F4637" t="str">
        <f>"000950"</f>
        <v>0</v>
      </c>
      <c r="G4637" t="s">
        <v>21</v>
      </c>
    </row>
    <row r="4638" spans="1:7">
      <c r="A4638">
        <v>4637</v>
      </c>
      <c r="B4638" t="str">
        <f>"021402"</f>
        <v>0</v>
      </c>
      <c r="C4638" t="s">
        <v>7636</v>
      </c>
      <c r="D4638" t="s">
        <v>7637</v>
      </c>
      <c r="E4638" t="str">
        <f>"3100503129554"</f>
        <v>0</v>
      </c>
      <c r="F4638" t="str">
        <f>"000950"</f>
        <v>0</v>
      </c>
      <c r="G4638" t="s">
        <v>21</v>
      </c>
    </row>
    <row r="4639" spans="1:7">
      <c r="A4639">
        <v>4638</v>
      </c>
      <c r="B4639" t="str">
        <f>"022069"</f>
        <v>0</v>
      </c>
      <c r="C4639" t="s">
        <v>7638</v>
      </c>
      <c r="D4639" t="s">
        <v>7639</v>
      </c>
      <c r="E4639" t="str">
        <f>"3120600309413"</f>
        <v>0</v>
      </c>
      <c r="F4639" t="str">
        <f>"000950"</f>
        <v>0</v>
      </c>
      <c r="G4639" t="s">
        <v>21</v>
      </c>
    </row>
    <row r="4640" spans="1:7">
      <c r="A4640">
        <v>4639</v>
      </c>
      <c r="B4640" t="str">
        <f>"022385"</f>
        <v>0</v>
      </c>
      <c r="C4640" t="s">
        <v>7640</v>
      </c>
      <c r="D4640" t="s">
        <v>87</v>
      </c>
      <c r="E4640" t="str">
        <f>"3101401313284"</f>
        <v>0</v>
      </c>
      <c r="F4640" t="str">
        <f>"000950"</f>
        <v>0</v>
      </c>
      <c r="G4640" t="s">
        <v>21</v>
      </c>
    </row>
    <row r="4641" spans="1:7">
      <c r="A4641">
        <v>4640</v>
      </c>
      <c r="B4641" t="str">
        <f>"022390"</f>
        <v>0</v>
      </c>
      <c r="C4641" t="s">
        <v>4875</v>
      </c>
      <c r="D4641" t="s">
        <v>7641</v>
      </c>
      <c r="E4641" t="str">
        <f>"3510600338223"</f>
        <v>0</v>
      </c>
      <c r="F4641" t="str">
        <f>"000950"</f>
        <v>0</v>
      </c>
      <c r="G4641" t="s">
        <v>21</v>
      </c>
    </row>
    <row r="4642" spans="1:7">
      <c r="A4642">
        <v>4641</v>
      </c>
      <c r="B4642" t="str">
        <f>"022468"</f>
        <v>0</v>
      </c>
      <c r="C4642" t="s">
        <v>7642</v>
      </c>
      <c r="D4642" t="s">
        <v>7643</v>
      </c>
      <c r="E4642" t="str">
        <f>"3719900328858"</f>
        <v>0</v>
      </c>
      <c r="F4642" t="str">
        <f>"000950"</f>
        <v>0</v>
      </c>
      <c r="G4642" t="s">
        <v>21</v>
      </c>
    </row>
    <row r="4643" spans="1:7">
      <c r="A4643">
        <v>4642</v>
      </c>
      <c r="B4643" t="str">
        <f>"023638"</f>
        <v>0</v>
      </c>
      <c r="C4643" t="s">
        <v>755</v>
      </c>
      <c r="D4643" t="s">
        <v>7644</v>
      </c>
      <c r="E4643" t="str">
        <f>"3900900020420"</f>
        <v>0</v>
      </c>
      <c r="F4643" t="str">
        <f>"000950"</f>
        <v>0</v>
      </c>
      <c r="G4643" t="s">
        <v>21</v>
      </c>
    </row>
    <row r="4644" spans="1:7">
      <c r="A4644">
        <v>4643</v>
      </c>
      <c r="B4644" t="str">
        <f>"023941"</f>
        <v>0</v>
      </c>
      <c r="C4644" t="s">
        <v>7645</v>
      </c>
      <c r="D4644" t="s">
        <v>7646</v>
      </c>
      <c r="E4644" t="str">
        <f>"4120600012028"</f>
        <v>0</v>
      </c>
      <c r="F4644" t="str">
        <f>"000950"</f>
        <v>0</v>
      </c>
      <c r="G4644" t="s">
        <v>21</v>
      </c>
    </row>
    <row r="4645" spans="1:7">
      <c r="A4645">
        <v>4644</v>
      </c>
      <c r="B4645" t="str">
        <f>"024706"</f>
        <v>0</v>
      </c>
      <c r="C4645" t="s">
        <v>7647</v>
      </c>
      <c r="D4645" t="s">
        <v>7648</v>
      </c>
      <c r="E4645" t="str">
        <f>"5100500007632"</f>
        <v>0</v>
      </c>
      <c r="F4645" t="str">
        <f>"000950"</f>
        <v>0</v>
      </c>
      <c r="G4645" t="s">
        <v>21</v>
      </c>
    </row>
    <row r="4646" spans="1:7">
      <c r="A4646">
        <v>4645</v>
      </c>
      <c r="B4646" t="str">
        <f>"025805"</f>
        <v>0</v>
      </c>
      <c r="C4646" t="s">
        <v>4930</v>
      </c>
      <c r="D4646" t="s">
        <v>7649</v>
      </c>
      <c r="E4646" t="str">
        <f>"3100202999347"</f>
        <v>0</v>
      </c>
      <c r="F4646" t="str">
        <f>"000950"</f>
        <v>0</v>
      </c>
      <c r="G4646" t="s">
        <v>21</v>
      </c>
    </row>
    <row r="4647" spans="1:7">
      <c r="A4647">
        <v>4646</v>
      </c>
      <c r="B4647" t="str">
        <f>"026557"</f>
        <v>0</v>
      </c>
      <c r="C4647" t="s">
        <v>7650</v>
      </c>
      <c r="D4647" t="s">
        <v>7651</v>
      </c>
      <c r="E4647" t="str">
        <f>"3140600372344"</f>
        <v>0</v>
      </c>
      <c r="F4647" t="str">
        <f>"000950"</f>
        <v>0</v>
      </c>
      <c r="G4647" t="s">
        <v>21</v>
      </c>
    </row>
    <row r="4648" spans="1:7">
      <c r="A4648">
        <v>4647</v>
      </c>
      <c r="B4648" t="str">
        <f>"026625"</f>
        <v>0</v>
      </c>
      <c r="C4648" t="s">
        <v>7652</v>
      </c>
      <c r="D4648" t="s">
        <v>7653</v>
      </c>
      <c r="E4648" t="str">
        <f>"3509900825543"</f>
        <v>0</v>
      </c>
      <c r="F4648" t="str">
        <f>"000950"</f>
        <v>0</v>
      </c>
      <c r="G4648" t="s">
        <v>21</v>
      </c>
    </row>
    <row r="4649" spans="1:7">
      <c r="A4649">
        <v>4648</v>
      </c>
      <c r="B4649" t="str">
        <f>"002325"</f>
        <v>0</v>
      </c>
      <c r="C4649" t="s">
        <v>887</v>
      </c>
      <c r="D4649" t="s">
        <v>7654</v>
      </c>
      <c r="E4649" t="str">
        <f>"3120101714118"</f>
        <v>0</v>
      </c>
      <c r="F4649" t="str">
        <f>"000950"</f>
        <v>0</v>
      </c>
      <c r="G4649" t="s">
        <v>21</v>
      </c>
    </row>
    <row r="4650" spans="1:7">
      <c r="A4650">
        <v>4649</v>
      </c>
      <c r="B4650" t="str">
        <f>"005364"</f>
        <v>0</v>
      </c>
      <c r="C4650" t="s">
        <v>7655</v>
      </c>
      <c r="D4650" t="s">
        <v>7656</v>
      </c>
      <c r="E4650" t="str">
        <f>"3101200304130"</f>
        <v>0</v>
      </c>
      <c r="F4650" t="str">
        <f>"000950"</f>
        <v>0</v>
      </c>
      <c r="G4650" t="s">
        <v>21</v>
      </c>
    </row>
    <row r="4651" spans="1:7">
      <c r="A4651">
        <v>4650</v>
      </c>
      <c r="B4651" t="str">
        <f>"005581"</f>
        <v>0</v>
      </c>
      <c r="C4651" t="s">
        <v>7251</v>
      </c>
      <c r="D4651" t="s">
        <v>7657</v>
      </c>
      <c r="E4651" t="str">
        <f>"3101400690653"</f>
        <v>0</v>
      </c>
      <c r="F4651" t="str">
        <f>"000950"</f>
        <v>0</v>
      </c>
      <c r="G4651" t="s">
        <v>21</v>
      </c>
    </row>
    <row r="4652" spans="1:7">
      <c r="A4652">
        <v>4651</v>
      </c>
      <c r="B4652" t="str">
        <f>"006487"</f>
        <v>0</v>
      </c>
      <c r="C4652" t="s">
        <v>7658</v>
      </c>
      <c r="D4652" t="s">
        <v>7659</v>
      </c>
      <c r="E4652" t="str">
        <f>"3120100655525"</f>
        <v>0</v>
      </c>
      <c r="F4652" t="str">
        <f>"000950"</f>
        <v>0</v>
      </c>
      <c r="G4652" t="s">
        <v>21</v>
      </c>
    </row>
    <row r="4653" spans="1:7">
      <c r="A4653">
        <v>4652</v>
      </c>
      <c r="B4653" t="str">
        <f>"006490"</f>
        <v>0</v>
      </c>
      <c r="C4653" t="s">
        <v>2303</v>
      </c>
      <c r="D4653" t="s">
        <v>7660</v>
      </c>
      <c r="E4653" t="str">
        <f>"3120600810341"</f>
        <v>0</v>
      </c>
      <c r="F4653" t="str">
        <f>"000950"</f>
        <v>0</v>
      </c>
      <c r="G4653" t="s">
        <v>21</v>
      </c>
    </row>
    <row r="4654" spans="1:7">
      <c r="A4654">
        <v>4653</v>
      </c>
      <c r="B4654" t="str">
        <f>"006740"</f>
        <v>0</v>
      </c>
      <c r="C4654" t="s">
        <v>7661</v>
      </c>
      <c r="D4654" t="s">
        <v>7662</v>
      </c>
      <c r="E4654" t="str">
        <f>"3120101074861"</f>
        <v>0</v>
      </c>
      <c r="F4654" t="str">
        <f>"000950"</f>
        <v>0</v>
      </c>
      <c r="G4654" t="s">
        <v>21</v>
      </c>
    </row>
    <row r="4655" spans="1:7">
      <c r="A4655">
        <v>4654</v>
      </c>
      <c r="B4655" t="str">
        <f>"008543"</f>
        <v>0</v>
      </c>
      <c r="C4655" t="s">
        <v>341</v>
      </c>
      <c r="D4655" t="s">
        <v>7663</v>
      </c>
      <c r="E4655" t="str">
        <f>"5730190029115"</f>
        <v>0</v>
      </c>
      <c r="F4655" t="str">
        <f>"000950"</f>
        <v>0</v>
      </c>
      <c r="G4655" t="s">
        <v>21</v>
      </c>
    </row>
    <row r="4656" spans="1:7">
      <c r="A4656">
        <v>4655</v>
      </c>
      <c r="B4656" t="str">
        <f>"012120"</f>
        <v>0</v>
      </c>
      <c r="C4656" t="s">
        <v>797</v>
      </c>
      <c r="D4656" t="s">
        <v>7664</v>
      </c>
      <c r="E4656" t="str">
        <f>"3120600691504"</f>
        <v>0</v>
      </c>
      <c r="F4656" t="str">
        <f>"000950"</f>
        <v>0</v>
      </c>
      <c r="G4656" t="s">
        <v>21</v>
      </c>
    </row>
    <row r="4657" spans="1:7">
      <c r="A4657">
        <v>4656</v>
      </c>
      <c r="B4657" t="str">
        <f>"012157"</f>
        <v>0</v>
      </c>
      <c r="C4657" t="s">
        <v>7665</v>
      </c>
      <c r="D4657" t="s">
        <v>7547</v>
      </c>
      <c r="E4657" t="str">
        <f>"3120200256444"</f>
        <v>0</v>
      </c>
      <c r="F4657" t="str">
        <f>"000950"</f>
        <v>0</v>
      </c>
      <c r="G4657" t="s">
        <v>21</v>
      </c>
    </row>
    <row r="4658" spans="1:7">
      <c r="A4658">
        <v>4657</v>
      </c>
      <c r="B4658" t="str">
        <f>"012546"</f>
        <v>0</v>
      </c>
      <c r="C4658" t="s">
        <v>7666</v>
      </c>
      <c r="D4658" t="s">
        <v>7667</v>
      </c>
      <c r="E4658" t="str">
        <f>"3120101502170"</f>
        <v>0</v>
      </c>
      <c r="F4658" t="str">
        <f>"000950"</f>
        <v>0</v>
      </c>
      <c r="G4658" t="s">
        <v>21</v>
      </c>
    </row>
    <row r="4659" spans="1:7">
      <c r="A4659">
        <v>4658</v>
      </c>
      <c r="B4659" t="str">
        <f>"012710"</f>
        <v>0</v>
      </c>
      <c r="C4659" t="s">
        <v>7668</v>
      </c>
      <c r="D4659" t="s">
        <v>7669</v>
      </c>
      <c r="E4659" t="str">
        <f>"3100601386497"</f>
        <v>0</v>
      </c>
      <c r="F4659" t="str">
        <f>"000950"</f>
        <v>0</v>
      </c>
      <c r="G4659" t="s">
        <v>21</v>
      </c>
    </row>
    <row r="4660" spans="1:7">
      <c r="A4660">
        <v>4659</v>
      </c>
      <c r="B4660" t="str">
        <f>"013083"</f>
        <v>0</v>
      </c>
      <c r="C4660" t="s">
        <v>7670</v>
      </c>
      <c r="D4660" t="s">
        <v>7671</v>
      </c>
      <c r="E4660" t="str">
        <f>"3120101234001"</f>
        <v>0</v>
      </c>
      <c r="F4660" t="str">
        <f>"000950"</f>
        <v>0</v>
      </c>
      <c r="G4660" t="s">
        <v>21</v>
      </c>
    </row>
    <row r="4661" spans="1:7">
      <c r="A4661">
        <v>4660</v>
      </c>
      <c r="B4661" t="str">
        <f>"013643"</f>
        <v>0</v>
      </c>
      <c r="C4661" t="s">
        <v>6404</v>
      </c>
      <c r="D4661" t="s">
        <v>7672</v>
      </c>
      <c r="E4661" t="str">
        <f>"3120600697553"</f>
        <v>0</v>
      </c>
      <c r="F4661" t="str">
        <f>"000950"</f>
        <v>0</v>
      </c>
      <c r="G4661" t="s">
        <v>21</v>
      </c>
    </row>
    <row r="4662" spans="1:7">
      <c r="A4662">
        <v>4661</v>
      </c>
      <c r="B4662" t="str">
        <f>"014129"</f>
        <v>0</v>
      </c>
      <c r="C4662" t="s">
        <v>7673</v>
      </c>
      <c r="D4662" t="s">
        <v>7674</v>
      </c>
      <c r="E4662" t="str">
        <f>"3101900619427"</f>
        <v>0</v>
      </c>
      <c r="F4662" t="str">
        <f>"000950"</f>
        <v>0</v>
      </c>
      <c r="G4662" t="s">
        <v>21</v>
      </c>
    </row>
    <row r="4663" spans="1:7">
      <c r="A4663">
        <v>4662</v>
      </c>
      <c r="B4663" t="str">
        <f>"014418"</f>
        <v>0</v>
      </c>
      <c r="C4663" t="s">
        <v>2589</v>
      </c>
      <c r="D4663" t="s">
        <v>7675</v>
      </c>
      <c r="E4663" t="str">
        <f>"3120600305990"</f>
        <v>0</v>
      </c>
      <c r="F4663" t="str">
        <f>"000950"</f>
        <v>0</v>
      </c>
      <c r="G4663" t="s">
        <v>21</v>
      </c>
    </row>
    <row r="4664" spans="1:7">
      <c r="A4664">
        <v>4663</v>
      </c>
      <c r="B4664" t="str">
        <f>"014892"</f>
        <v>0</v>
      </c>
      <c r="C4664" t="s">
        <v>7676</v>
      </c>
      <c r="D4664" t="s">
        <v>7677</v>
      </c>
      <c r="E4664" t="str">
        <f>"3120100610688"</f>
        <v>0</v>
      </c>
      <c r="F4664" t="str">
        <f>"000950"</f>
        <v>0</v>
      </c>
      <c r="G4664" t="s">
        <v>21</v>
      </c>
    </row>
    <row r="4665" spans="1:7">
      <c r="A4665">
        <v>4664</v>
      </c>
      <c r="B4665" t="str">
        <f>"015131"</f>
        <v>0</v>
      </c>
      <c r="C4665" t="s">
        <v>7678</v>
      </c>
      <c r="D4665" t="s">
        <v>7679</v>
      </c>
      <c r="E4665" t="str">
        <f>"3649800038981"</f>
        <v>0</v>
      </c>
      <c r="F4665" t="str">
        <f>"000950"</f>
        <v>0</v>
      </c>
      <c r="G4665" t="s">
        <v>21</v>
      </c>
    </row>
    <row r="4666" spans="1:7">
      <c r="A4666">
        <v>4665</v>
      </c>
      <c r="B4666" t="str">
        <f>"015943"</f>
        <v>0</v>
      </c>
      <c r="C4666" t="s">
        <v>46</v>
      </c>
      <c r="D4666" t="s">
        <v>7680</v>
      </c>
      <c r="E4666" t="str">
        <f>"3120200574926"</f>
        <v>0</v>
      </c>
      <c r="F4666" t="str">
        <f>"000950"</f>
        <v>0</v>
      </c>
      <c r="G4666" t="s">
        <v>21</v>
      </c>
    </row>
    <row r="4667" spans="1:7">
      <c r="A4667">
        <v>4666</v>
      </c>
      <c r="B4667" t="str">
        <f>"017163"</f>
        <v>0</v>
      </c>
      <c r="C4667" t="s">
        <v>5910</v>
      </c>
      <c r="D4667" t="s">
        <v>7681</v>
      </c>
      <c r="E4667" t="str">
        <f>"3102001295921"</f>
        <v>0</v>
      </c>
      <c r="F4667" t="str">
        <f>"000950"</f>
        <v>0</v>
      </c>
      <c r="G4667" t="s">
        <v>21</v>
      </c>
    </row>
    <row r="4668" spans="1:7">
      <c r="A4668">
        <v>4667</v>
      </c>
      <c r="B4668" t="str">
        <f>"017560"</f>
        <v>0</v>
      </c>
      <c r="C4668" t="s">
        <v>7682</v>
      </c>
      <c r="D4668" t="s">
        <v>7683</v>
      </c>
      <c r="E4668" t="str">
        <f>"3120101572313"</f>
        <v>0</v>
      </c>
      <c r="F4668" t="str">
        <f>"000950"</f>
        <v>0</v>
      </c>
      <c r="G4668" t="s">
        <v>21</v>
      </c>
    </row>
    <row r="4669" spans="1:7">
      <c r="A4669">
        <v>4668</v>
      </c>
      <c r="B4669" t="str">
        <f>"020696"</f>
        <v>0</v>
      </c>
      <c r="C4669" t="s">
        <v>7684</v>
      </c>
      <c r="D4669" t="s">
        <v>7685</v>
      </c>
      <c r="E4669" t="str">
        <f>"3120100121423"</f>
        <v>0</v>
      </c>
      <c r="F4669" t="str">
        <f>"000950"</f>
        <v>0</v>
      </c>
      <c r="G4669" t="s">
        <v>21</v>
      </c>
    </row>
    <row r="4670" spans="1:7">
      <c r="A4670">
        <v>4669</v>
      </c>
      <c r="B4670" t="str">
        <f>"023093"</f>
        <v>0</v>
      </c>
      <c r="C4670" t="s">
        <v>7686</v>
      </c>
      <c r="D4670" t="s">
        <v>7687</v>
      </c>
      <c r="E4670" t="str">
        <f>"3309900552468"</f>
        <v>0</v>
      </c>
      <c r="F4670" t="str">
        <f>"000950"</f>
        <v>0</v>
      </c>
      <c r="G4670" t="s">
        <v>21</v>
      </c>
    </row>
    <row r="4671" spans="1:7">
      <c r="A4671">
        <v>4670</v>
      </c>
      <c r="B4671" t="str">
        <f>"024432"</f>
        <v>0</v>
      </c>
      <c r="C4671" t="s">
        <v>7688</v>
      </c>
      <c r="D4671" t="s">
        <v>7689</v>
      </c>
      <c r="E4671" t="str">
        <f>"3120600467710"</f>
        <v>0</v>
      </c>
      <c r="F4671" t="str">
        <f>"000950"</f>
        <v>0</v>
      </c>
      <c r="G4671" t="s">
        <v>21</v>
      </c>
    </row>
    <row r="4672" spans="1:7">
      <c r="A4672">
        <v>4671</v>
      </c>
      <c r="B4672" t="str">
        <f>"024688"</f>
        <v>0</v>
      </c>
      <c r="C4672" t="s">
        <v>7690</v>
      </c>
      <c r="D4672" t="s">
        <v>7691</v>
      </c>
      <c r="E4672" t="str">
        <f>"3230490000005"</f>
        <v>0</v>
      </c>
      <c r="F4672" t="str">
        <f>"000950"</f>
        <v>0</v>
      </c>
      <c r="G4672" t="s">
        <v>21</v>
      </c>
    </row>
    <row r="4673" spans="1:7">
      <c r="A4673">
        <v>4672</v>
      </c>
      <c r="B4673" t="str">
        <f>"025203"</f>
        <v>0</v>
      </c>
      <c r="C4673" t="s">
        <v>7692</v>
      </c>
      <c r="D4673" t="s">
        <v>7693</v>
      </c>
      <c r="E4673" t="str">
        <f>"2120600002620"</f>
        <v>0</v>
      </c>
      <c r="F4673" t="str">
        <f>"000950"</f>
        <v>0</v>
      </c>
      <c r="G4673" t="s">
        <v>21</v>
      </c>
    </row>
    <row r="4674" spans="1:7">
      <c r="A4674">
        <v>4673</v>
      </c>
      <c r="B4674" t="str">
        <f>"000098"</f>
        <v>0</v>
      </c>
      <c r="C4674" t="s">
        <v>1938</v>
      </c>
      <c r="D4674" t="s">
        <v>7694</v>
      </c>
      <c r="E4674" t="str">
        <f>"3102400301046"</f>
        <v>0</v>
      </c>
      <c r="F4674" t="str">
        <f>"000950"</f>
        <v>0</v>
      </c>
      <c r="G4674" t="s">
        <v>21</v>
      </c>
    </row>
    <row r="4675" spans="1:7">
      <c r="A4675">
        <v>4674</v>
      </c>
      <c r="B4675" t="str">
        <f>"002067"</f>
        <v>0</v>
      </c>
      <c r="C4675" t="s">
        <v>7695</v>
      </c>
      <c r="D4675" t="s">
        <v>3657</v>
      </c>
      <c r="E4675" t="str">
        <f>"3120100658281"</f>
        <v>0</v>
      </c>
      <c r="F4675" t="str">
        <f>"000950"</f>
        <v>0</v>
      </c>
      <c r="G4675" t="s">
        <v>21</v>
      </c>
    </row>
    <row r="4676" spans="1:7">
      <c r="A4676">
        <v>4675</v>
      </c>
      <c r="B4676" t="str">
        <f>"006303"</f>
        <v>0</v>
      </c>
      <c r="C4676" t="s">
        <v>6971</v>
      </c>
      <c r="D4676" t="s">
        <v>7696</v>
      </c>
      <c r="E4676" t="str">
        <f>"3120100453744"</f>
        <v>0</v>
      </c>
      <c r="F4676" t="str">
        <f>"000950"</f>
        <v>0</v>
      </c>
      <c r="G4676" t="s">
        <v>21</v>
      </c>
    </row>
    <row r="4677" spans="1:7">
      <c r="A4677">
        <v>4676</v>
      </c>
      <c r="B4677" t="str">
        <f>"009679"</f>
        <v>0</v>
      </c>
      <c r="C4677" t="s">
        <v>590</v>
      </c>
      <c r="D4677" t="s">
        <v>7697</v>
      </c>
      <c r="E4677" t="str">
        <f>"3102001041491"</f>
        <v>0</v>
      </c>
      <c r="F4677" t="str">
        <f>"000950"</f>
        <v>0</v>
      </c>
      <c r="G4677" t="s">
        <v>21</v>
      </c>
    </row>
    <row r="4678" spans="1:7">
      <c r="A4678">
        <v>4677</v>
      </c>
      <c r="B4678" t="str">
        <f>"016195"</f>
        <v>0</v>
      </c>
      <c r="C4678" t="s">
        <v>7698</v>
      </c>
      <c r="D4678" t="s">
        <v>7699</v>
      </c>
      <c r="E4678" t="str">
        <f>"3120101232385"</f>
        <v>0</v>
      </c>
      <c r="F4678" t="str">
        <f>"000950"</f>
        <v>0</v>
      </c>
      <c r="G4678" t="s">
        <v>21</v>
      </c>
    </row>
    <row r="4679" spans="1:7">
      <c r="A4679">
        <v>4678</v>
      </c>
      <c r="B4679" t="str">
        <f>"019209"</f>
        <v>0</v>
      </c>
      <c r="C4679" t="s">
        <v>7700</v>
      </c>
      <c r="D4679" t="s">
        <v>7660</v>
      </c>
      <c r="E4679" t="str">
        <f>"3120600810511"</f>
        <v>0</v>
      </c>
      <c r="F4679" t="str">
        <f>"000950"</f>
        <v>0</v>
      </c>
      <c r="G4679" t="s">
        <v>21</v>
      </c>
    </row>
    <row r="4680" spans="1:7">
      <c r="A4680">
        <v>4679</v>
      </c>
      <c r="B4680" t="str">
        <f>"022155"</f>
        <v>0</v>
      </c>
      <c r="C4680" t="s">
        <v>7701</v>
      </c>
      <c r="D4680" t="s">
        <v>7702</v>
      </c>
      <c r="E4680" t="str">
        <f>"3170300034737"</f>
        <v>0</v>
      </c>
      <c r="F4680" t="str">
        <f>"000950"</f>
        <v>0</v>
      </c>
      <c r="G4680" t="s">
        <v>21</v>
      </c>
    </row>
    <row r="4681" spans="1:7">
      <c r="A4681">
        <v>4680</v>
      </c>
      <c r="B4681" t="str">
        <f>"025942"</f>
        <v>0</v>
      </c>
      <c r="C4681" t="s">
        <v>7703</v>
      </c>
      <c r="D4681" t="s">
        <v>7704</v>
      </c>
      <c r="E4681" t="str">
        <f>"1129700012121"</f>
        <v>0</v>
      </c>
      <c r="F4681" t="str">
        <f>"000950"</f>
        <v>0</v>
      </c>
      <c r="G4681" t="s">
        <v>21</v>
      </c>
    </row>
    <row r="4682" spans="1:7">
      <c r="A4682">
        <v>4681</v>
      </c>
      <c r="B4682" t="str">
        <f>"000252"</f>
        <v>0</v>
      </c>
      <c r="C4682" t="s">
        <v>7705</v>
      </c>
      <c r="D4682" t="s">
        <v>7706</v>
      </c>
      <c r="E4682" t="str">
        <f>"3120101469920"</f>
        <v>0</v>
      </c>
      <c r="F4682" t="str">
        <f>"000950"</f>
        <v>0</v>
      </c>
      <c r="G4682" t="s">
        <v>21</v>
      </c>
    </row>
    <row r="4683" spans="1:7">
      <c r="A4683">
        <v>4682</v>
      </c>
      <c r="B4683" t="str">
        <f>"000257"</f>
        <v>0</v>
      </c>
      <c r="C4683" t="s">
        <v>7707</v>
      </c>
      <c r="D4683" t="s">
        <v>7708</v>
      </c>
      <c r="E4683" t="str">
        <f>"3100501829222"</f>
        <v>0</v>
      </c>
      <c r="F4683" t="str">
        <f>"000950"</f>
        <v>0</v>
      </c>
      <c r="G4683" t="s">
        <v>21</v>
      </c>
    </row>
    <row r="4684" spans="1:7">
      <c r="A4684">
        <v>4683</v>
      </c>
      <c r="B4684" t="str">
        <f>"002222"</f>
        <v>0</v>
      </c>
      <c r="C4684" t="s">
        <v>7709</v>
      </c>
      <c r="D4684" t="s">
        <v>7659</v>
      </c>
      <c r="E4684" t="str">
        <f>"3101500552821"</f>
        <v>0</v>
      </c>
      <c r="F4684" t="str">
        <f>"000950"</f>
        <v>0</v>
      </c>
      <c r="G4684" t="s">
        <v>21</v>
      </c>
    </row>
    <row r="4685" spans="1:7">
      <c r="A4685">
        <v>4684</v>
      </c>
      <c r="B4685" t="str">
        <f>"004516"</f>
        <v>0</v>
      </c>
      <c r="C4685" t="s">
        <v>44</v>
      </c>
      <c r="D4685" t="s">
        <v>7710</v>
      </c>
      <c r="E4685" t="str">
        <f>"3120101062641"</f>
        <v>0</v>
      </c>
      <c r="F4685" t="str">
        <f>"000950"</f>
        <v>0</v>
      </c>
      <c r="G4685" t="s">
        <v>21</v>
      </c>
    </row>
    <row r="4686" spans="1:7">
      <c r="A4686">
        <v>4685</v>
      </c>
      <c r="B4686" t="str">
        <f>"006152"</f>
        <v>0</v>
      </c>
      <c r="C4686" t="s">
        <v>3554</v>
      </c>
      <c r="D4686" t="s">
        <v>7711</v>
      </c>
      <c r="E4686" t="str">
        <f>"3102000981376"</f>
        <v>0</v>
      </c>
      <c r="F4686" t="str">
        <f>"000950"</f>
        <v>0</v>
      </c>
      <c r="G4686" t="s">
        <v>21</v>
      </c>
    </row>
    <row r="4687" spans="1:7">
      <c r="A4687">
        <v>4686</v>
      </c>
      <c r="B4687" t="str">
        <f>"007893"</f>
        <v>0</v>
      </c>
      <c r="C4687" t="s">
        <v>6748</v>
      </c>
      <c r="D4687" t="s">
        <v>7712</v>
      </c>
      <c r="E4687" t="str">
        <f>"3120101698244"</f>
        <v>0</v>
      </c>
      <c r="F4687" t="str">
        <f>"000950"</f>
        <v>0</v>
      </c>
      <c r="G4687" t="s">
        <v>21</v>
      </c>
    </row>
    <row r="4688" spans="1:7">
      <c r="A4688">
        <v>4687</v>
      </c>
      <c r="B4688" t="str">
        <f>"011809"</f>
        <v>0</v>
      </c>
      <c r="C4688" t="s">
        <v>7713</v>
      </c>
      <c r="D4688" t="s">
        <v>7714</v>
      </c>
      <c r="E4688" t="str">
        <f>"3110400607631"</f>
        <v>0</v>
      </c>
      <c r="F4688" t="str">
        <f>"000950"</f>
        <v>0</v>
      </c>
      <c r="G4688" t="s">
        <v>21</v>
      </c>
    </row>
    <row r="4689" spans="1:7">
      <c r="A4689">
        <v>4688</v>
      </c>
      <c r="B4689" t="str">
        <f>"013741"</f>
        <v>0</v>
      </c>
      <c r="C4689" t="s">
        <v>7715</v>
      </c>
      <c r="D4689" t="s">
        <v>7716</v>
      </c>
      <c r="E4689" t="str">
        <f>"3120101469202"</f>
        <v>0</v>
      </c>
      <c r="F4689" t="str">
        <f>"000950"</f>
        <v>0</v>
      </c>
      <c r="G4689" t="s">
        <v>21</v>
      </c>
    </row>
    <row r="4690" spans="1:7">
      <c r="A4690">
        <v>4689</v>
      </c>
      <c r="B4690" t="str">
        <f>"014274"</f>
        <v>0</v>
      </c>
      <c r="C4690" t="s">
        <v>7717</v>
      </c>
      <c r="D4690" t="s">
        <v>7718</v>
      </c>
      <c r="E4690" t="str">
        <f>"3120600661672"</f>
        <v>0</v>
      </c>
      <c r="F4690" t="str">
        <f>"000950"</f>
        <v>0</v>
      </c>
      <c r="G4690" t="s">
        <v>21</v>
      </c>
    </row>
    <row r="4691" spans="1:7">
      <c r="A4691">
        <v>4690</v>
      </c>
      <c r="B4691" t="str">
        <f>"016550"</f>
        <v>0</v>
      </c>
      <c r="C4691" t="s">
        <v>7719</v>
      </c>
      <c r="D4691" t="s">
        <v>7720</v>
      </c>
      <c r="E4691" t="str">
        <f>"3120101505721"</f>
        <v>0</v>
      </c>
      <c r="F4691" t="str">
        <f>"000950"</f>
        <v>0</v>
      </c>
      <c r="G4691" t="s">
        <v>21</v>
      </c>
    </row>
    <row r="4692" spans="1:7">
      <c r="A4692">
        <v>4691</v>
      </c>
      <c r="B4692" t="str">
        <f>"016921"</f>
        <v>0</v>
      </c>
      <c r="C4692" t="s">
        <v>7721</v>
      </c>
      <c r="D4692" t="s">
        <v>7722</v>
      </c>
      <c r="E4692" t="str">
        <f>"3100202601866"</f>
        <v>0</v>
      </c>
      <c r="F4692" t="str">
        <f>"000950"</f>
        <v>0</v>
      </c>
      <c r="G4692" t="s">
        <v>21</v>
      </c>
    </row>
    <row r="4693" spans="1:7">
      <c r="A4693">
        <v>4692</v>
      </c>
      <c r="B4693" t="str">
        <f>"017735"</f>
        <v>0</v>
      </c>
      <c r="C4693" t="s">
        <v>3265</v>
      </c>
      <c r="D4693" t="s">
        <v>7723</v>
      </c>
      <c r="E4693" t="str">
        <f>"3120101714827"</f>
        <v>0</v>
      </c>
      <c r="F4693" t="str">
        <f>"000950"</f>
        <v>0</v>
      </c>
      <c r="G4693" t="s">
        <v>21</v>
      </c>
    </row>
    <row r="4694" spans="1:7">
      <c r="A4694">
        <v>4693</v>
      </c>
      <c r="B4694" t="str">
        <f>"018395"</f>
        <v>0</v>
      </c>
      <c r="C4694" t="s">
        <v>7724</v>
      </c>
      <c r="D4694" t="s">
        <v>7725</v>
      </c>
      <c r="E4694" t="str">
        <f>"3160100027966"</f>
        <v>0</v>
      </c>
      <c r="F4694" t="str">
        <f>"000950"</f>
        <v>0</v>
      </c>
      <c r="G4694" t="s">
        <v>21</v>
      </c>
    </row>
    <row r="4695" spans="1:7">
      <c r="A4695">
        <v>4694</v>
      </c>
      <c r="B4695" t="str">
        <f>"018865"</f>
        <v>0</v>
      </c>
      <c r="C4695" t="s">
        <v>46</v>
      </c>
      <c r="D4695" t="s">
        <v>7726</v>
      </c>
      <c r="E4695" t="str">
        <f>"3140800396671"</f>
        <v>0</v>
      </c>
      <c r="F4695" t="str">
        <f>"000950"</f>
        <v>0</v>
      </c>
      <c r="G4695" t="s">
        <v>21</v>
      </c>
    </row>
    <row r="4696" spans="1:7">
      <c r="A4696">
        <v>4695</v>
      </c>
      <c r="B4696" t="str">
        <f>"019625"</f>
        <v>0</v>
      </c>
      <c r="C4696" t="s">
        <v>7727</v>
      </c>
      <c r="D4696" t="s">
        <v>7728</v>
      </c>
      <c r="E4696" t="str">
        <f>"3100101062111"</f>
        <v>0</v>
      </c>
      <c r="F4696" t="str">
        <f>"000950"</f>
        <v>0</v>
      </c>
      <c r="G4696" t="s">
        <v>21</v>
      </c>
    </row>
    <row r="4697" spans="1:7">
      <c r="A4697">
        <v>4696</v>
      </c>
      <c r="B4697" t="str">
        <f>"019882"</f>
        <v>0</v>
      </c>
      <c r="C4697" t="s">
        <v>1506</v>
      </c>
      <c r="D4697" t="s">
        <v>7729</v>
      </c>
      <c r="E4697" t="str">
        <f>"3200601144000"</f>
        <v>0</v>
      </c>
      <c r="F4697" t="str">
        <f>"000950"</f>
        <v>0</v>
      </c>
      <c r="G4697" t="s">
        <v>21</v>
      </c>
    </row>
    <row r="4698" spans="1:7">
      <c r="A4698">
        <v>4697</v>
      </c>
      <c r="B4698" t="str">
        <f>"007706"</f>
        <v>0</v>
      </c>
      <c r="C4698" t="s">
        <v>802</v>
      </c>
      <c r="D4698" t="s">
        <v>7730</v>
      </c>
      <c r="E4698" t="str">
        <f>"3120300310742"</f>
        <v>0</v>
      </c>
      <c r="F4698" t="str">
        <f>"000950"</f>
        <v>0</v>
      </c>
      <c r="G4698" t="s">
        <v>21</v>
      </c>
    </row>
    <row r="4699" spans="1:7">
      <c r="A4699">
        <v>4698</v>
      </c>
      <c r="B4699" t="str">
        <f>"010762"</f>
        <v>0</v>
      </c>
      <c r="C4699" t="s">
        <v>5133</v>
      </c>
      <c r="D4699" t="s">
        <v>7731</v>
      </c>
      <c r="E4699" t="str">
        <f>"3160100949201"</f>
        <v>0</v>
      </c>
      <c r="F4699" t="str">
        <f>"000950"</f>
        <v>0</v>
      </c>
      <c r="G4699" t="s">
        <v>21</v>
      </c>
    </row>
    <row r="4700" spans="1:7">
      <c r="A4700">
        <v>4699</v>
      </c>
      <c r="B4700" t="str">
        <f>"018936"</f>
        <v>0</v>
      </c>
      <c r="C4700" t="s">
        <v>4403</v>
      </c>
      <c r="D4700" t="s">
        <v>125</v>
      </c>
      <c r="E4700" t="str">
        <f>"3100200963191"</f>
        <v>0</v>
      </c>
      <c r="F4700" t="str">
        <f>"000950"</f>
        <v>0</v>
      </c>
      <c r="G4700" t="s">
        <v>21</v>
      </c>
    </row>
    <row r="4701" spans="1:7">
      <c r="A4701">
        <v>4700</v>
      </c>
      <c r="B4701" t="str">
        <f>"023088"</f>
        <v>0</v>
      </c>
      <c r="C4701" t="s">
        <v>7732</v>
      </c>
      <c r="D4701" t="s">
        <v>7733</v>
      </c>
      <c r="E4701" t="str">
        <f>"1101500208865"</f>
        <v>0</v>
      </c>
      <c r="F4701" t="str">
        <f>"000950"</f>
        <v>0</v>
      </c>
      <c r="G4701" t="s">
        <v>21</v>
      </c>
    </row>
    <row r="4702" spans="1:7">
      <c r="A4702">
        <v>4701</v>
      </c>
      <c r="B4702" t="str">
        <f>"024992"</f>
        <v>0</v>
      </c>
      <c r="C4702" t="s">
        <v>7734</v>
      </c>
      <c r="D4702" t="s">
        <v>7735</v>
      </c>
      <c r="E4702" t="str">
        <f>"1779800056566"</f>
        <v>0</v>
      </c>
      <c r="F4702" t="str">
        <f>"000950"</f>
        <v>0</v>
      </c>
      <c r="G4702" t="s">
        <v>21</v>
      </c>
    </row>
    <row r="4703" spans="1:7">
      <c r="A4703">
        <v>4702</v>
      </c>
      <c r="B4703" t="str">
        <f>"011732"</f>
        <v>0</v>
      </c>
      <c r="C4703" t="s">
        <v>3776</v>
      </c>
      <c r="D4703" t="s">
        <v>7736</v>
      </c>
      <c r="E4703" t="str">
        <f>"3190700033428"</f>
        <v>0</v>
      </c>
      <c r="F4703" t="str">
        <f>"000950"</f>
        <v>0</v>
      </c>
      <c r="G4703" t="s">
        <v>21</v>
      </c>
    </row>
    <row r="4704" spans="1:7">
      <c r="A4704">
        <v>4703</v>
      </c>
      <c r="B4704" t="str">
        <f>"013113"</f>
        <v>0</v>
      </c>
      <c r="C4704" t="s">
        <v>7737</v>
      </c>
      <c r="D4704" t="s">
        <v>7738</v>
      </c>
      <c r="E4704" t="str">
        <f>"3140200280761"</f>
        <v>0</v>
      </c>
      <c r="F4704" t="str">
        <f>"000950"</f>
        <v>0</v>
      </c>
      <c r="G4704" t="s">
        <v>21</v>
      </c>
    </row>
    <row r="4705" spans="1:7">
      <c r="A4705">
        <v>4704</v>
      </c>
      <c r="B4705" t="str">
        <f>"013615"</f>
        <v>0</v>
      </c>
      <c r="C4705" t="s">
        <v>576</v>
      </c>
      <c r="D4705" t="s">
        <v>7739</v>
      </c>
      <c r="E4705" t="str">
        <f>"3520800164601"</f>
        <v>0</v>
      </c>
      <c r="F4705" t="str">
        <f>"000950"</f>
        <v>0</v>
      </c>
      <c r="G4705" t="s">
        <v>21</v>
      </c>
    </row>
    <row r="4706" spans="1:7">
      <c r="A4706">
        <v>4705</v>
      </c>
      <c r="B4706" t="str">
        <f>"014512"</f>
        <v>0</v>
      </c>
      <c r="C4706" t="s">
        <v>7740</v>
      </c>
      <c r="D4706" t="s">
        <v>7741</v>
      </c>
      <c r="E4706" t="str">
        <f>"5961299003438"</f>
        <v>0</v>
      </c>
      <c r="F4706" t="str">
        <f>"000950"</f>
        <v>0</v>
      </c>
      <c r="G4706" t="s">
        <v>21</v>
      </c>
    </row>
    <row r="4707" spans="1:7">
      <c r="A4707">
        <v>4706</v>
      </c>
      <c r="B4707" t="str">
        <f>"019027"</f>
        <v>0</v>
      </c>
      <c r="C4707" t="s">
        <v>3990</v>
      </c>
      <c r="D4707" t="s">
        <v>7742</v>
      </c>
      <c r="E4707" t="str">
        <f>"3141400267653"</f>
        <v>0</v>
      </c>
      <c r="F4707" t="str">
        <f>"000950"</f>
        <v>0</v>
      </c>
      <c r="G4707" t="s">
        <v>21</v>
      </c>
    </row>
    <row r="4708" spans="1:7">
      <c r="A4708">
        <v>4707</v>
      </c>
      <c r="B4708" t="str">
        <f>"019083"</f>
        <v>0</v>
      </c>
      <c r="C4708" t="s">
        <v>7743</v>
      </c>
      <c r="D4708" t="s">
        <v>7744</v>
      </c>
      <c r="E4708" t="str">
        <f>"3140700119802"</f>
        <v>0</v>
      </c>
      <c r="F4708" t="str">
        <f>"000950"</f>
        <v>0</v>
      </c>
      <c r="G4708" t="s">
        <v>21</v>
      </c>
    </row>
    <row r="4709" spans="1:7">
      <c r="A4709">
        <v>4708</v>
      </c>
      <c r="B4709" t="str">
        <f>"019842"</f>
        <v>0</v>
      </c>
      <c r="C4709" t="s">
        <v>3618</v>
      </c>
      <c r="D4709" t="s">
        <v>7745</v>
      </c>
      <c r="E4709" t="str">
        <f>"3410900098750"</f>
        <v>0</v>
      </c>
      <c r="F4709" t="str">
        <f>"000950"</f>
        <v>0</v>
      </c>
      <c r="G4709" t="s">
        <v>21</v>
      </c>
    </row>
    <row r="4710" spans="1:7">
      <c r="A4710">
        <v>4709</v>
      </c>
      <c r="B4710" t="str">
        <f>"019843"</f>
        <v>0</v>
      </c>
      <c r="C4710" t="s">
        <v>5619</v>
      </c>
      <c r="D4710" t="s">
        <v>7746</v>
      </c>
      <c r="E4710" t="str">
        <f>"3120200100487"</f>
        <v>0</v>
      </c>
      <c r="F4710" t="str">
        <f>"000950"</f>
        <v>0</v>
      </c>
      <c r="G4710" t="s">
        <v>21</v>
      </c>
    </row>
    <row r="4711" spans="1:7">
      <c r="A4711">
        <v>4710</v>
      </c>
      <c r="B4711" t="str">
        <f>"019845"</f>
        <v>0</v>
      </c>
      <c r="C4711" t="s">
        <v>2417</v>
      </c>
      <c r="D4711" t="s">
        <v>7747</v>
      </c>
      <c r="E4711" t="str">
        <f>"3920100168511"</f>
        <v>0</v>
      </c>
      <c r="F4711" t="str">
        <f>"000950"</f>
        <v>0</v>
      </c>
      <c r="G4711" t="s">
        <v>21</v>
      </c>
    </row>
    <row r="4712" spans="1:7">
      <c r="A4712">
        <v>4711</v>
      </c>
      <c r="B4712" t="str">
        <f>"020532"</f>
        <v>0</v>
      </c>
      <c r="C4712" t="s">
        <v>7748</v>
      </c>
      <c r="D4712" t="s">
        <v>7749</v>
      </c>
      <c r="E4712" t="str">
        <f>"5331000004552"</f>
        <v>0</v>
      </c>
      <c r="F4712" t="str">
        <f>"000950"</f>
        <v>0</v>
      </c>
      <c r="G4712" t="s">
        <v>21</v>
      </c>
    </row>
    <row r="4713" spans="1:7">
      <c r="A4713">
        <v>4712</v>
      </c>
      <c r="B4713" t="str">
        <f>"020588"</f>
        <v>0</v>
      </c>
      <c r="C4713" t="s">
        <v>7750</v>
      </c>
      <c r="D4713" t="s">
        <v>7751</v>
      </c>
      <c r="E4713" t="str">
        <f>"3440700072706"</f>
        <v>0</v>
      </c>
      <c r="F4713" t="str">
        <f>"000950"</f>
        <v>0</v>
      </c>
      <c r="G4713" t="s">
        <v>21</v>
      </c>
    </row>
    <row r="4714" spans="1:7">
      <c r="A4714">
        <v>4713</v>
      </c>
      <c r="B4714" t="str">
        <f>"021866"</f>
        <v>0</v>
      </c>
      <c r="C4714" t="s">
        <v>7752</v>
      </c>
      <c r="D4714" t="s">
        <v>7753</v>
      </c>
      <c r="E4714" t="str">
        <f>"3100501806478"</f>
        <v>0</v>
      </c>
      <c r="F4714" t="str">
        <f>"000950"</f>
        <v>0</v>
      </c>
      <c r="G4714" t="s">
        <v>21</v>
      </c>
    </row>
    <row r="4715" spans="1:7">
      <c r="A4715">
        <v>4714</v>
      </c>
      <c r="B4715" t="str">
        <f>"022326"</f>
        <v>0</v>
      </c>
      <c r="C4715" t="s">
        <v>7754</v>
      </c>
      <c r="D4715" t="s">
        <v>7755</v>
      </c>
      <c r="E4715" t="str">
        <f>"3450100490647"</f>
        <v>0</v>
      </c>
      <c r="F4715" t="str">
        <f>"000950"</f>
        <v>0</v>
      </c>
      <c r="G4715" t="s">
        <v>21</v>
      </c>
    </row>
    <row r="4716" spans="1:7">
      <c r="A4716">
        <v>4715</v>
      </c>
      <c r="B4716" t="str">
        <f>"022829"</f>
        <v>0</v>
      </c>
      <c r="C4716" t="s">
        <v>7756</v>
      </c>
      <c r="D4716" t="s">
        <v>7757</v>
      </c>
      <c r="E4716" t="str">
        <f>"3670800315366"</f>
        <v>0</v>
      </c>
      <c r="F4716" t="str">
        <f>"000950"</f>
        <v>0</v>
      </c>
      <c r="G4716" t="s">
        <v>21</v>
      </c>
    </row>
    <row r="4717" spans="1:7">
      <c r="A4717">
        <v>4716</v>
      </c>
      <c r="B4717" t="str">
        <f>"022925"</f>
        <v>0</v>
      </c>
      <c r="C4717" t="s">
        <v>7758</v>
      </c>
      <c r="D4717" t="s">
        <v>7759</v>
      </c>
      <c r="E4717" t="str">
        <f>"3100504389461"</f>
        <v>0</v>
      </c>
      <c r="F4717" t="str">
        <f>"000950"</f>
        <v>0</v>
      </c>
      <c r="G4717" t="s">
        <v>21</v>
      </c>
    </row>
    <row r="4718" spans="1:7">
      <c r="A4718">
        <v>4717</v>
      </c>
      <c r="B4718" t="str">
        <f>"023195"</f>
        <v>0</v>
      </c>
      <c r="C4718" t="s">
        <v>7760</v>
      </c>
      <c r="D4718" t="s">
        <v>7761</v>
      </c>
      <c r="E4718" t="str">
        <f>"3102001585105"</f>
        <v>0</v>
      </c>
      <c r="F4718" t="str">
        <f>"000950"</f>
        <v>0</v>
      </c>
      <c r="G4718" t="s">
        <v>21</v>
      </c>
    </row>
    <row r="4719" spans="1:7">
      <c r="A4719">
        <v>4718</v>
      </c>
      <c r="B4719" t="str">
        <f>"023833"</f>
        <v>0</v>
      </c>
      <c r="C4719" t="s">
        <v>191</v>
      </c>
      <c r="D4719" t="s">
        <v>7762</v>
      </c>
      <c r="E4719" t="str">
        <f>"1930600016404"</f>
        <v>0</v>
      </c>
      <c r="F4719" t="str">
        <f>"000950"</f>
        <v>0</v>
      </c>
      <c r="G4719" t="s">
        <v>21</v>
      </c>
    </row>
    <row r="4720" spans="1:7">
      <c r="A4720">
        <v>4719</v>
      </c>
      <c r="B4720" t="str">
        <f>"024055"</f>
        <v>0</v>
      </c>
      <c r="C4720" t="s">
        <v>7763</v>
      </c>
      <c r="D4720" t="s">
        <v>7764</v>
      </c>
      <c r="E4720" t="str">
        <f>"3120600848527"</f>
        <v>0</v>
      </c>
      <c r="F4720" t="str">
        <f>"000950"</f>
        <v>0</v>
      </c>
      <c r="G4720" t="s">
        <v>21</v>
      </c>
    </row>
    <row r="4721" spans="1:7">
      <c r="A4721">
        <v>4720</v>
      </c>
      <c r="B4721" t="str">
        <f>"024230"</f>
        <v>0</v>
      </c>
      <c r="C4721" t="s">
        <v>7765</v>
      </c>
      <c r="D4721" t="s">
        <v>7766</v>
      </c>
      <c r="E4721" t="str">
        <f>"1129800057061"</f>
        <v>0</v>
      </c>
      <c r="F4721" t="str">
        <f>"000950"</f>
        <v>0</v>
      </c>
      <c r="G4721" t="s">
        <v>21</v>
      </c>
    </row>
    <row r="4722" spans="1:7">
      <c r="A4722">
        <v>4721</v>
      </c>
      <c r="B4722" t="str">
        <f>"023499"</f>
        <v>0</v>
      </c>
      <c r="C4722" t="s">
        <v>7767</v>
      </c>
      <c r="D4722" t="s">
        <v>7768</v>
      </c>
      <c r="E4722" t="str">
        <f>"3141400165613"</f>
        <v>0</v>
      </c>
      <c r="F4722" t="str">
        <f>"000950"</f>
        <v>0</v>
      </c>
      <c r="G4722" t="s">
        <v>21</v>
      </c>
    </row>
    <row r="4723" spans="1:7">
      <c r="A4723">
        <v>4722</v>
      </c>
      <c r="B4723" t="str">
        <f>"023849"</f>
        <v>0</v>
      </c>
      <c r="C4723" t="s">
        <v>7769</v>
      </c>
      <c r="D4723" t="s">
        <v>7770</v>
      </c>
      <c r="E4723" t="str">
        <f>"1100200307913"</f>
        <v>0</v>
      </c>
      <c r="F4723" t="str">
        <f>"000950"</f>
        <v>0</v>
      </c>
      <c r="G4723" t="s">
        <v>21</v>
      </c>
    </row>
    <row r="4724" spans="1:7">
      <c r="A4724">
        <v>4723</v>
      </c>
      <c r="B4724" t="str">
        <f>"022207"</f>
        <v>0</v>
      </c>
      <c r="C4724" t="s">
        <v>5191</v>
      </c>
      <c r="D4724" t="s">
        <v>7771</v>
      </c>
      <c r="E4724" t="str">
        <f>"3160100287631"</f>
        <v>0</v>
      </c>
      <c r="F4724" t="str">
        <f>"000950"</f>
        <v>0</v>
      </c>
      <c r="G4724" t="s">
        <v>21</v>
      </c>
    </row>
    <row r="4725" spans="1:7">
      <c r="A4725">
        <v>4724</v>
      </c>
      <c r="B4725" t="str">
        <f>"023255"</f>
        <v>0</v>
      </c>
      <c r="C4725" t="s">
        <v>7772</v>
      </c>
      <c r="D4725" t="s">
        <v>7773</v>
      </c>
      <c r="E4725" t="str">
        <f>"1309900039781"</f>
        <v>0</v>
      </c>
      <c r="F4725" t="str">
        <f>"000950"</f>
        <v>0</v>
      </c>
      <c r="G4725" t="s">
        <v>21</v>
      </c>
    </row>
    <row r="4726" spans="1:7">
      <c r="A4726">
        <v>4725</v>
      </c>
      <c r="B4726" t="str">
        <f>"021355"</f>
        <v>0</v>
      </c>
      <c r="C4726" t="s">
        <v>7774</v>
      </c>
      <c r="D4726" t="s">
        <v>7775</v>
      </c>
      <c r="E4726" t="str">
        <f>"3100200783401"</f>
        <v>0</v>
      </c>
      <c r="F4726" t="str">
        <f>"000950"</f>
        <v>0</v>
      </c>
      <c r="G4726" t="s">
        <v>21</v>
      </c>
    </row>
    <row r="4727" spans="1:7">
      <c r="A4727">
        <v>4726</v>
      </c>
      <c r="B4727" t="str">
        <f>"011653"</f>
        <v>0</v>
      </c>
      <c r="C4727" t="s">
        <v>7776</v>
      </c>
      <c r="D4727" t="s">
        <v>7777</v>
      </c>
      <c r="E4727" t="str">
        <f>"3361100157231"</f>
        <v>0</v>
      </c>
      <c r="F4727" t="str">
        <f>"000950"</f>
        <v>0</v>
      </c>
      <c r="G4727" t="s">
        <v>21</v>
      </c>
    </row>
    <row r="4728" spans="1:7">
      <c r="A4728">
        <v>4727</v>
      </c>
      <c r="B4728" t="str">
        <f>"024229"</f>
        <v>0</v>
      </c>
      <c r="C4728" t="s">
        <v>674</v>
      </c>
      <c r="D4728" t="s">
        <v>7778</v>
      </c>
      <c r="E4728" t="str">
        <f>"1101401057885"</f>
        <v>0</v>
      </c>
      <c r="F4728" t="str">
        <f>"000950"</f>
        <v>0</v>
      </c>
      <c r="G4728" t="s">
        <v>21</v>
      </c>
    </row>
    <row r="4729" spans="1:7">
      <c r="A4729">
        <v>4728</v>
      </c>
      <c r="B4729" t="str">
        <f>"024668"</f>
        <v>0</v>
      </c>
      <c r="C4729" t="s">
        <v>7779</v>
      </c>
      <c r="D4729" t="s">
        <v>7780</v>
      </c>
      <c r="E4729" t="str">
        <f>"1509900298369"</f>
        <v>0</v>
      </c>
      <c r="F4729" t="str">
        <f>"000950"</f>
        <v>0</v>
      </c>
      <c r="G4729" t="s">
        <v>21</v>
      </c>
    </row>
    <row r="4730" spans="1:7">
      <c r="A4730">
        <v>4729</v>
      </c>
      <c r="B4730" t="str">
        <f>"023076"</f>
        <v>0</v>
      </c>
      <c r="C4730" t="s">
        <v>4761</v>
      </c>
      <c r="D4730" t="s">
        <v>7781</v>
      </c>
      <c r="E4730" t="str">
        <f>"1529900203180"</f>
        <v>0</v>
      </c>
      <c r="F4730" t="str">
        <f>"000950"</f>
        <v>0</v>
      </c>
      <c r="G4730" t="s">
        <v>21</v>
      </c>
    </row>
    <row r="4731" spans="1:7">
      <c r="A4731">
        <v>4730</v>
      </c>
      <c r="B4731" t="str">
        <f>"026235"</f>
        <v>0</v>
      </c>
      <c r="C4731" t="s">
        <v>6473</v>
      </c>
      <c r="D4731" t="s">
        <v>7782</v>
      </c>
      <c r="E4731" t="str">
        <f>"1529900458455"</f>
        <v>0</v>
      </c>
      <c r="F4731" t="str">
        <f>"000950"</f>
        <v>0</v>
      </c>
      <c r="G4731" t="s">
        <v>21</v>
      </c>
    </row>
    <row r="4732" spans="1:7">
      <c r="A4732">
        <v>4731</v>
      </c>
      <c r="B4732" t="str">
        <f>"026638"</f>
        <v>0</v>
      </c>
      <c r="C4732" t="s">
        <v>2702</v>
      </c>
      <c r="D4732" t="s">
        <v>7783</v>
      </c>
      <c r="E4732" t="str">
        <f>"1539900419913"</f>
        <v>0</v>
      </c>
      <c r="F4732" t="str">
        <f>"000950"</f>
        <v>0</v>
      </c>
      <c r="G4732" t="s">
        <v>21</v>
      </c>
    </row>
    <row r="4733" spans="1:7">
      <c r="A4733">
        <v>4732</v>
      </c>
      <c r="B4733" t="str">
        <f>"021083"</f>
        <v>0</v>
      </c>
      <c r="C4733" t="s">
        <v>837</v>
      </c>
      <c r="D4733" t="s">
        <v>7784</v>
      </c>
      <c r="E4733" t="str">
        <f>"3180200190958"</f>
        <v>0</v>
      </c>
      <c r="F4733" t="str">
        <f>"000950"</f>
        <v>0</v>
      </c>
      <c r="G4733" t="s">
        <v>21</v>
      </c>
    </row>
    <row r="4734" spans="1:7">
      <c r="A4734">
        <v>4733</v>
      </c>
      <c r="B4734" t="str">
        <f>"020949"</f>
        <v>0</v>
      </c>
      <c r="C4734" t="s">
        <v>1718</v>
      </c>
      <c r="D4734" t="s">
        <v>7785</v>
      </c>
      <c r="E4734" t="str">
        <f>"3100602046878"</f>
        <v>0</v>
      </c>
      <c r="F4734" t="str">
        <f>"000950"</f>
        <v>0</v>
      </c>
      <c r="G4734" t="s">
        <v>21</v>
      </c>
    </row>
    <row r="4735" spans="1:7">
      <c r="A4735">
        <v>4734</v>
      </c>
      <c r="B4735" t="str">
        <f>"021715"</f>
        <v>0</v>
      </c>
      <c r="C4735" t="s">
        <v>7786</v>
      </c>
      <c r="D4735" t="s">
        <v>1294</v>
      </c>
      <c r="E4735" t="str">
        <f>"3700200175490"</f>
        <v>0</v>
      </c>
      <c r="F4735" t="str">
        <f>"000950"</f>
        <v>0</v>
      </c>
      <c r="G4735" t="s">
        <v>21</v>
      </c>
    </row>
    <row r="4736" spans="1:7">
      <c r="A4736">
        <v>4735</v>
      </c>
      <c r="B4736" t="str">
        <f>"021560"</f>
        <v>0</v>
      </c>
      <c r="C4736" t="s">
        <v>7787</v>
      </c>
      <c r="D4736" t="s">
        <v>7788</v>
      </c>
      <c r="E4736" t="str">
        <f>"1102000063656"</f>
        <v>0</v>
      </c>
      <c r="F4736" t="str">
        <f>"000950"</f>
        <v>0</v>
      </c>
      <c r="G4736" t="s">
        <v>21</v>
      </c>
    </row>
    <row r="4737" spans="1:7">
      <c r="A4737">
        <v>4736</v>
      </c>
      <c r="B4737" t="str">
        <f>"023691"</f>
        <v>0</v>
      </c>
      <c r="C4737" t="s">
        <v>7789</v>
      </c>
      <c r="D4737" t="s">
        <v>7790</v>
      </c>
      <c r="E4737" t="str">
        <f>"1769900061111"</f>
        <v>0</v>
      </c>
      <c r="F4737" t="str">
        <f>"000950"</f>
        <v>0</v>
      </c>
      <c r="G4737" t="s">
        <v>21</v>
      </c>
    </row>
    <row r="4738" spans="1:7">
      <c r="A4738">
        <v>4737</v>
      </c>
      <c r="B4738" t="str">
        <f>"023590"</f>
        <v>0</v>
      </c>
      <c r="C4738" t="s">
        <v>7791</v>
      </c>
      <c r="D4738" t="s">
        <v>7792</v>
      </c>
      <c r="E4738" t="str">
        <f>"3101100137886"</f>
        <v>0</v>
      </c>
      <c r="F4738" t="str">
        <f>"000950"</f>
        <v>0</v>
      </c>
      <c r="G4738" t="s">
        <v>21</v>
      </c>
    </row>
    <row r="4739" spans="1:7">
      <c r="A4739">
        <v>4738</v>
      </c>
      <c r="B4739" t="str">
        <f>"023832"</f>
        <v>0</v>
      </c>
      <c r="C4739" t="s">
        <v>7793</v>
      </c>
      <c r="D4739" t="s">
        <v>7794</v>
      </c>
      <c r="E4739" t="str">
        <f>"1709900142600"</f>
        <v>0</v>
      </c>
      <c r="F4739" t="str">
        <f>"000950"</f>
        <v>0</v>
      </c>
      <c r="G4739" t="s">
        <v>21</v>
      </c>
    </row>
    <row r="4740" spans="1:7">
      <c r="A4740">
        <v>4739</v>
      </c>
      <c r="B4740" t="str">
        <f>"023831"</f>
        <v>0</v>
      </c>
      <c r="C4740" t="s">
        <v>7795</v>
      </c>
      <c r="D4740" t="s">
        <v>7796</v>
      </c>
      <c r="E4740" t="str">
        <f>"3820500150751"</f>
        <v>0</v>
      </c>
      <c r="F4740" t="str">
        <f>"000950"</f>
        <v>0</v>
      </c>
      <c r="G4740" t="s">
        <v>21</v>
      </c>
    </row>
    <row r="4741" spans="1:7">
      <c r="A4741">
        <v>4740</v>
      </c>
      <c r="B4741" t="str">
        <f>"027581"</f>
        <v>0</v>
      </c>
      <c r="C4741" t="s">
        <v>7797</v>
      </c>
      <c r="D4741" t="s">
        <v>7798</v>
      </c>
      <c r="E4741" t="str">
        <f>"1101401277311"</f>
        <v>0</v>
      </c>
      <c r="F4741" t="str">
        <f>"000950"</f>
        <v>0</v>
      </c>
      <c r="G4741" t="s">
        <v>21</v>
      </c>
    </row>
    <row r="4742" spans="1:7">
      <c r="A4742">
        <v>4741</v>
      </c>
      <c r="B4742" t="str">
        <f>"002893"</f>
        <v>0</v>
      </c>
      <c r="C4742" t="s">
        <v>7799</v>
      </c>
      <c r="D4742" t="s">
        <v>7800</v>
      </c>
      <c r="E4742" t="str">
        <f>"3609900604449"</f>
        <v>0</v>
      </c>
      <c r="F4742" t="str">
        <f>"000960"</f>
        <v>0</v>
      </c>
      <c r="G4742" t="s">
        <v>21</v>
      </c>
    </row>
    <row r="4743" spans="1:7">
      <c r="A4743">
        <v>4742</v>
      </c>
      <c r="B4743" t="str">
        <f>"003306"</f>
        <v>0</v>
      </c>
      <c r="C4743" t="s">
        <v>7554</v>
      </c>
      <c r="D4743" t="s">
        <v>7801</v>
      </c>
      <c r="E4743" t="str">
        <f>"3570200091361"</f>
        <v>0</v>
      </c>
      <c r="F4743" t="str">
        <f>"000960"</f>
        <v>0</v>
      </c>
      <c r="G4743" t="s">
        <v>21</v>
      </c>
    </row>
    <row r="4744" spans="1:7">
      <c r="A4744">
        <v>4743</v>
      </c>
      <c r="B4744" t="str">
        <f>"003907"</f>
        <v>0</v>
      </c>
      <c r="C4744" t="s">
        <v>86</v>
      </c>
      <c r="D4744" t="s">
        <v>7802</v>
      </c>
      <c r="E4744" t="str">
        <f>"3609900138324"</f>
        <v>0</v>
      </c>
      <c r="F4744" t="str">
        <f>"000960"</f>
        <v>0</v>
      </c>
      <c r="G4744" t="s">
        <v>21</v>
      </c>
    </row>
    <row r="4745" spans="1:7">
      <c r="A4745">
        <v>4744</v>
      </c>
      <c r="B4745" t="str">
        <f>"004201"</f>
        <v>0</v>
      </c>
      <c r="C4745" t="s">
        <v>7803</v>
      </c>
      <c r="D4745" t="s">
        <v>7804</v>
      </c>
      <c r="E4745" t="str">
        <f>"3600400490721"</f>
        <v>0</v>
      </c>
      <c r="F4745" t="str">
        <f>"000960"</f>
        <v>0</v>
      </c>
      <c r="G4745" t="s">
        <v>21</v>
      </c>
    </row>
    <row r="4746" spans="1:7">
      <c r="A4746">
        <v>4745</v>
      </c>
      <c r="B4746" t="str">
        <f>"004388"</f>
        <v>0</v>
      </c>
      <c r="C4746" t="s">
        <v>3212</v>
      </c>
      <c r="D4746" t="s">
        <v>7805</v>
      </c>
      <c r="E4746" t="str">
        <f>"3601000404039"</f>
        <v>0</v>
      </c>
      <c r="F4746" t="str">
        <f>"000960"</f>
        <v>0</v>
      </c>
      <c r="G4746" t="s">
        <v>21</v>
      </c>
    </row>
    <row r="4747" spans="1:7">
      <c r="A4747">
        <v>4746</v>
      </c>
      <c r="B4747" t="str">
        <f>"004539"</f>
        <v>0</v>
      </c>
      <c r="C4747" t="s">
        <v>466</v>
      </c>
      <c r="D4747" t="s">
        <v>7806</v>
      </c>
      <c r="E4747" t="str">
        <f>"3601101083203"</f>
        <v>0</v>
      </c>
      <c r="F4747" t="str">
        <f>"000960"</f>
        <v>0</v>
      </c>
      <c r="G4747" t="s">
        <v>21</v>
      </c>
    </row>
    <row r="4748" spans="1:7">
      <c r="A4748">
        <v>4747</v>
      </c>
      <c r="B4748" t="str">
        <f>"004698"</f>
        <v>0</v>
      </c>
      <c r="C4748" t="s">
        <v>7807</v>
      </c>
      <c r="D4748" t="s">
        <v>7808</v>
      </c>
      <c r="E4748" t="str">
        <f>"3510100076017"</f>
        <v>0</v>
      </c>
      <c r="F4748" t="str">
        <f>"000960"</f>
        <v>0</v>
      </c>
      <c r="G4748" t="s">
        <v>21</v>
      </c>
    </row>
    <row r="4749" spans="1:7">
      <c r="A4749">
        <v>4748</v>
      </c>
      <c r="B4749" t="str">
        <f>"004766"</f>
        <v>0</v>
      </c>
      <c r="C4749" t="s">
        <v>624</v>
      </c>
      <c r="D4749" t="s">
        <v>7809</v>
      </c>
      <c r="E4749" t="str">
        <f>"3600600034096"</f>
        <v>0</v>
      </c>
      <c r="F4749" t="str">
        <f>"000960"</f>
        <v>0</v>
      </c>
      <c r="G4749" t="s">
        <v>21</v>
      </c>
    </row>
    <row r="4750" spans="1:7">
      <c r="A4750">
        <v>4749</v>
      </c>
      <c r="B4750" t="str">
        <f>"005530"</f>
        <v>0</v>
      </c>
      <c r="C4750" t="s">
        <v>2749</v>
      </c>
      <c r="D4750" t="s">
        <v>7810</v>
      </c>
      <c r="E4750" t="str">
        <f>"3600500273943"</f>
        <v>0</v>
      </c>
      <c r="F4750" t="str">
        <f>"000960"</f>
        <v>0</v>
      </c>
      <c r="G4750" t="s">
        <v>21</v>
      </c>
    </row>
    <row r="4751" spans="1:7">
      <c r="A4751">
        <v>4750</v>
      </c>
      <c r="B4751" t="str">
        <f>"005534"</f>
        <v>0</v>
      </c>
      <c r="C4751" t="s">
        <v>7811</v>
      </c>
      <c r="D4751" t="s">
        <v>7810</v>
      </c>
      <c r="E4751" t="str">
        <f>"3101300383571"</f>
        <v>0</v>
      </c>
      <c r="F4751" t="str">
        <f>"000960"</f>
        <v>0</v>
      </c>
      <c r="G4751" t="s">
        <v>21</v>
      </c>
    </row>
    <row r="4752" spans="1:7">
      <c r="A4752">
        <v>4751</v>
      </c>
      <c r="B4752" t="str">
        <f>"005767"</f>
        <v>0</v>
      </c>
      <c r="C4752" t="s">
        <v>7511</v>
      </c>
      <c r="D4752" t="s">
        <v>7812</v>
      </c>
      <c r="E4752" t="str">
        <f>"3601100859542"</f>
        <v>0</v>
      </c>
      <c r="F4752" t="str">
        <f>"000960"</f>
        <v>0</v>
      </c>
      <c r="G4752" t="s">
        <v>21</v>
      </c>
    </row>
    <row r="4753" spans="1:7">
      <c r="A4753">
        <v>4752</v>
      </c>
      <c r="B4753" t="str">
        <f>"006362"</f>
        <v>0</v>
      </c>
      <c r="C4753" t="s">
        <v>1541</v>
      </c>
      <c r="D4753" t="s">
        <v>7813</v>
      </c>
      <c r="E4753" t="str">
        <f>"3601000422151"</f>
        <v>0</v>
      </c>
      <c r="F4753" t="str">
        <f>"000960"</f>
        <v>0</v>
      </c>
      <c r="G4753" t="s">
        <v>21</v>
      </c>
    </row>
    <row r="4754" spans="1:7">
      <c r="A4754">
        <v>4753</v>
      </c>
      <c r="B4754" t="str">
        <f>"006988"</f>
        <v>0</v>
      </c>
      <c r="C4754" t="s">
        <v>7814</v>
      </c>
      <c r="D4754" t="s">
        <v>7815</v>
      </c>
      <c r="E4754" t="str">
        <f>"3600100908887"</f>
        <v>0</v>
      </c>
      <c r="F4754" t="str">
        <f>"000960"</f>
        <v>0</v>
      </c>
      <c r="G4754" t="s">
        <v>21</v>
      </c>
    </row>
    <row r="4755" spans="1:7">
      <c r="A4755">
        <v>4754</v>
      </c>
      <c r="B4755" t="str">
        <f>"007028"</f>
        <v>0</v>
      </c>
      <c r="C4755" t="s">
        <v>957</v>
      </c>
      <c r="D4755" t="s">
        <v>7816</v>
      </c>
      <c r="E4755" t="str">
        <f>"3560300288891"</f>
        <v>0</v>
      </c>
      <c r="F4755" t="str">
        <f>"000960"</f>
        <v>0</v>
      </c>
      <c r="G4755" t="s">
        <v>21</v>
      </c>
    </row>
    <row r="4756" spans="1:7">
      <c r="A4756">
        <v>4755</v>
      </c>
      <c r="B4756" t="str">
        <f>"007269"</f>
        <v>0</v>
      </c>
      <c r="C4756" t="s">
        <v>454</v>
      </c>
      <c r="D4756" t="s">
        <v>7817</v>
      </c>
      <c r="E4756" t="str">
        <f>"3600500177219"</f>
        <v>0</v>
      </c>
      <c r="F4756" t="str">
        <f>"000960"</f>
        <v>0</v>
      </c>
      <c r="G4756" t="s">
        <v>21</v>
      </c>
    </row>
    <row r="4757" spans="1:7">
      <c r="A4757">
        <v>4756</v>
      </c>
      <c r="B4757" t="str">
        <f>"007460"</f>
        <v>0</v>
      </c>
      <c r="C4757" t="s">
        <v>7818</v>
      </c>
      <c r="D4757" t="s">
        <v>7819</v>
      </c>
      <c r="E4757" t="str">
        <f>"3609900138391"</f>
        <v>0</v>
      </c>
      <c r="F4757" t="str">
        <f>"000960"</f>
        <v>0</v>
      </c>
      <c r="G4757" t="s">
        <v>21</v>
      </c>
    </row>
    <row r="4758" spans="1:7">
      <c r="A4758">
        <v>4757</v>
      </c>
      <c r="B4758" t="str">
        <f>"007558"</f>
        <v>0</v>
      </c>
      <c r="C4758" t="s">
        <v>7820</v>
      </c>
      <c r="D4758" t="s">
        <v>1863</v>
      </c>
      <c r="E4758" t="str">
        <f>"3600400489057"</f>
        <v>0</v>
      </c>
      <c r="F4758" t="str">
        <f>"000960"</f>
        <v>0</v>
      </c>
      <c r="G4758" t="s">
        <v>21</v>
      </c>
    </row>
    <row r="4759" spans="1:7">
      <c r="A4759">
        <v>4758</v>
      </c>
      <c r="B4759" t="str">
        <f>"007608"</f>
        <v>0</v>
      </c>
      <c r="C4759" t="s">
        <v>3020</v>
      </c>
      <c r="D4759" t="s">
        <v>7816</v>
      </c>
      <c r="E4759" t="str">
        <f>"3560300288859"</f>
        <v>0</v>
      </c>
      <c r="F4759" t="str">
        <f>"000960"</f>
        <v>0</v>
      </c>
      <c r="G4759" t="s">
        <v>21</v>
      </c>
    </row>
    <row r="4760" spans="1:7">
      <c r="A4760">
        <v>4759</v>
      </c>
      <c r="B4760" t="str">
        <f>"007955"</f>
        <v>0</v>
      </c>
      <c r="C4760" t="s">
        <v>7821</v>
      </c>
      <c r="D4760" t="s">
        <v>7822</v>
      </c>
      <c r="E4760" t="str">
        <f>"3501200143060"</f>
        <v>0</v>
      </c>
      <c r="F4760" t="str">
        <f>"000960"</f>
        <v>0</v>
      </c>
      <c r="G4760" t="s">
        <v>21</v>
      </c>
    </row>
    <row r="4761" spans="1:7">
      <c r="A4761">
        <v>4760</v>
      </c>
      <c r="B4761" t="str">
        <f>"008072"</f>
        <v>0</v>
      </c>
      <c r="C4761" t="s">
        <v>411</v>
      </c>
      <c r="D4761" t="s">
        <v>888</v>
      </c>
      <c r="E4761" t="str">
        <f>"3600800355341"</f>
        <v>0</v>
      </c>
      <c r="F4761" t="str">
        <f>"000960"</f>
        <v>0</v>
      </c>
      <c r="G4761" t="s">
        <v>21</v>
      </c>
    </row>
    <row r="4762" spans="1:7">
      <c r="A4762">
        <v>4761</v>
      </c>
      <c r="B4762" t="str">
        <f>"008260"</f>
        <v>0</v>
      </c>
      <c r="C4762" t="s">
        <v>4607</v>
      </c>
      <c r="D4762" t="s">
        <v>7823</v>
      </c>
      <c r="E4762" t="str">
        <f>"3600800516981"</f>
        <v>0</v>
      </c>
      <c r="F4762" t="str">
        <f>"000960"</f>
        <v>0</v>
      </c>
      <c r="G4762" t="s">
        <v>21</v>
      </c>
    </row>
    <row r="4763" spans="1:7">
      <c r="A4763">
        <v>4762</v>
      </c>
      <c r="B4763" t="str">
        <f>"008691"</f>
        <v>0</v>
      </c>
      <c r="C4763" t="s">
        <v>2014</v>
      </c>
      <c r="D4763" t="s">
        <v>7824</v>
      </c>
      <c r="E4763" t="str">
        <f>"5670200011788"</f>
        <v>0</v>
      </c>
      <c r="F4763" t="str">
        <f>"000960"</f>
        <v>0</v>
      </c>
      <c r="G4763" t="s">
        <v>21</v>
      </c>
    </row>
    <row r="4764" spans="1:7">
      <c r="A4764">
        <v>4763</v>
      </c>
      <c r="B4764" t="str">
        <f>"008717"</f>
        <v>0</v>
      </c>
      <c r="C4764" t="s">
        <v>1819</v>
      </c>
      <c r="D4764" t="s">
        <v>7825</v>
      </c>
      <c r="E4764" t="str">
        <f>"3600200025260"</f>
        <v>0</v>
      </c>
      <c r="F4764" t="str">
        <f>"000960"</f>
        <v>0</v>
      </c>
      <c r="G4764" t="s">
        <v>21</v>
      </c>
    </row>
    <row r="4765" spans="1:7">
      <c r="A4765">
        <v>4764</v>
      </c>
      <c r="B4765" t="str">
        <f>"008872"</f>
        <v>0</v>
      </c>
      <c r="C4765" t="s">
        <v>7826</v>
      </c>
      <c r="D4765" t="s">
        <v>7809</v>
      </c>
      <c r="E4765" t="str">
        <f>"3510600090744"</f>
        <v>0</v>
      </c>
      <c r="F4765" t="str">
        <f>"000960"</f>
        <v>0</v>
      </c>
      <c r="G4765" t="s">
        <v>21</v>
      </c>
    </row>
    <row r="4766" spans="1:7">
      <c r="A4766">
        <v>4765</v>
      </c>
      <c r="B4766" t="str">
        <f>"009096"</f>
        <v>0</v>
      </c>
      <c r="C4766" t="s">
        <v>7827</v>
      </c>
      <c r="D4766" t="s">
        <v>7828</v>
      </c>
      <c r="E4766" t="str">
        <f>"3600500202752"</f>
        <v>0</v>
      </c>
      <c r="F4766" t="str">
        <f>"000960"</f>
        <v>0</v>
      </c>
      <c r="G4766" t="s">
        <v>21</v>
      </c>
    </row>
    <row r="4767" spans="1:7">
      <c r="A4767">
        <v>4766</v>
      </c>
      <c r="B4767" t="str">
        <f>"009302"</f>
        <v>0</v>
      </c>
      <c r="C4767" t="s">
        <v>2320</v>
      </c>
      <c r="D4767" t="s">
        <v>7829</v>
      </c>
      <c r="E4767" t="str">
        <f>"3120600467591"</f>
        <v>0</v>
      </c>
      <c r="F4767" t="str">
        <f>"000960"</f>
        <v>0</v>
      </c>
      <c r="G4767" t="s">
        <v>21</v>
      </c>
    </row>
    <row r="4768" spans="1:7">
      <c r="A4768">
        <v>4767</v>
      </c>
      <c r="B4768" t="str">
        <f>"009672"</f>
        <v>0</v>
      </c>
      <c r="C4768" t="s">
        <v>7830</v>
      </c>
      <c r="D4768" t="s">
        <v>7831</v>
      </c>
      <c r="E4768" t="str">
        <f>"3800900769286"</f>
        <v>0</v>
      </c>
      <c r="F4768" t="str">
        <f>"000960"</f>
        <v>0</v>
      </c>
      <c r="G4768" t="s">
        <v>21</v>
      </c>
    </row>
    <row r="4769" spans="1:7">
      <c r="A4769">
        <v>4768</v>
      </c>
      <c r="B4769" t="str">
        <f>"010043"</f>
        <v>0</v>
      </c>
      <c r="C4769" t="s">
        <v>7832</v>
      </c>
      <c r="D4769" t="s">
        <v>7833</v>
      </c>
      <c r="E4769" t="str">
        <f>"5600590002932"</f>
        <v>0</v>
      </c>
      <c r="F4769" t="str">
        <f>"000960"</f>
        <v>0</v>
      </c>
      <c r="G4769" t="s">
        <v>21</v>
      </c>
    </row>
    <row r="4770" spans="1:7">
      <c r="A4770">
        <v>4769</v>
      </c>
      <c r="B4770" t="str">
        <f>"010105"</f>
        <v>0</v>
      </c>
      <c r="C4770" t="s">
        <v>7834</v>
      </c>
      <c r="D4770" t="s">
        <v>7835</v>
      </c>
      <c r="E4770" t="str">
        <f>"3650100495736"</f>
        <v>0</v>
      </c>
      <c r="F4770" t="str">
        <f>"000960"</f>
        <v>0</v>
      </c>
      <c r="G4770" t="s">
        <v>21</v>
      </c>
    </row>
    <row r="4771" spans="1:7">
      <c r="A4771">
        <v>4770</v>
      </c>
      <c r="B4771" t="str">
        <f>"010323"</f>
        <v>0</v>
      </c>
      <c r="C4771" t="s">
        <v>7836</v>
      </c>
      <c r="D4771" t="s">
        <v>7784</v>
      </c>
      <c r="E4771" t="str">
        <f>"3601000078107"</f>
        <v>0</v>
      </c>
      <c r="F4771" t="str">
        <f>"000960"</f>
        <v>0</v>
      </c>
      <c r="G4771" t="s">
        <v>21</v>
      </c>
    </row>
    <row r="4772" spans="1:7">
      <c r="A4772">
        <v>4771</v>
      </c>
      <c r="B4772" t="str">
        <f>"010979"</f>
        <v>0</v>
      </c>
      <c r="C4772" t="s">
        <v>7546</v>
      </c>
      <c r="D4772" t="s">
        <v>7837</v>
      </c>
      <c r="E4772" t="str">
        <f>"3730600742626"</f>
        <v>0</v>
      </c>
      <c r="F4772" t="str">
        <f>"000960"</f>
        <v>0</v>
      </c>
      <c r="G4772" t="s">
        <v>21</v>
      </c>
    </row>
    <row r="4773" spans="1:7">
      <c r="A4773">
        <v>4772</v>
      </c>
      <c r="B4773" t="str">
        <f>"011278"</f>
        <v>0</v>
      </c>
      <c r="C4773" t="s">
        <v>1822</v>
      </c>
      <c r="D4773" t="s">
        <v>7838</v>
      </c>
      <c r="E4773" t="str">
        <f>"3670100417212"</f>
        <v>0</v>
      </c>
      <c r="F4773" t="str">
        <f>"000960"</f>
        <v>0</v>
      </c>
      <c r="G4773" t="s">
        <v>21</v>
      </c>
    </row>
    <row r="4774" spans="1:7">
      <c r="A4774">
        <v>4773</v>
      </c>
      <c r="B4774" t="str">
        <f>"011930"</f>
        <v>0</v>
      </c>
      <c r="C4774" t="s">
        <v>6732</v>
      </c>
      <c r="D4774" t="s">
        <v>7839</v>
      </c>
      <c r="E4774" t="str">
        <f>"3601101083262"</f>
        <v>0</v>
      </c>
      <c r="F4774" t="str">
        <f>"000960"</f>
        <v>0</v>
      </c>
      <c r="G4774" t="s">
        <v>21</v>
      </c>
    </row>
    <row r="4775" spans="1:7">
      <c r="A4775">
        <v>4774</v>
      </c>
      <c r="B4775" t="str">
        <f>"012406"</f>
        <v>0</v>
      </c>
      <c r="C4775" t="s">
        <v>7840</v>
      </c>
      <c r="D4775" t="s">
        <v>7841</v>
      </c>
      <c r="E4775" t="str">
        <f>"3601200123017"</f>
        <v>0</v>
      </c>
      <c r="F4775" t="str">
        <f>"000960"</f>
        <v>0</v>
      </c>
      <c r="G4775" t="s">
        <v>21</v>
      </c>
    </row>
    <row r="4776" spans="1:7">
      <c r="A4776">
        <v>4775</v>
      </c>
      <c r="B4776" t="str">
        <f>"014388"</f>
        <v>0</v>
      </c>
      <c r="C4776" t="s">
        <v>7842</v>
      </c>
      <c r="D4776" t="s">
        <v>7843</v>
      </c>
      <c r="E4776" t="str">
        <f>"3600400489189"</f>
        <v>0</v>
      </c>
      <c r="F4776" t="str">
        <f>"000960"</f>
        <v>0</v>
      </c>
      <c r="G4776" t="s">
        <v>21</v>
      </c>
    </row>
    <row r="4777" spans="1:7">
      <c r="A4777">
        <v>4776</v>
      </c>
      <c r="B4777" t="str">
        <f>"014510"</f>
        <v>0</v>
      </c>
      <c r="C4777" t="s">
        <v>7844</v>
      </c>
      <c r="D4777" t="s">
        <v>1457</v>
      </c>
      <c r="E4777" t="str">
        <f>"3600500084792"</f>
        <v>0</v>
      </c>
      <c r="F4777" t="str">
        <f>"000960"</f>
        <v>0</v>
      </c>
      <c r="G4777" t="s">
        <v>21</v>
      </c>
    </row>
    <row r="4778" spans="1:7">
      <c r="A4778">
        <v>4777</v>
      </c>
      <c r="B4778" t="str">
        <f>"015419"</f>
        <v>0</v>
      </c>
      <c r="C4778" t="s">
        <v>4607</v>
      </c>
      <c r="D4778" t="s">
        <v>7845</v>
      </c>
      <c r="E4778" t="str">
        <f>"3501400616441"</f>
        <v>0</v>
      </c>
      <c r="F4778" t="str">
        <f>"000960"</f>
        <v>0</v>
      </c>
      <c r="G4778" t="s">
        <v>21</v>
      </c>
    </row>
    <row r="4779" spans="1:7">
      <c r="A4779">
        <v>4778</v>
      </c>
      <c r="B4779" t="str">
        <f>"015420"</f>
        <v>0</v>
      </c>
      <c r="C4779" t="s">
        <v>7846</v>
      </c>
      <c r="D4779" t="s">
        <v>7847</v>
      </c>
      <c r="E4779" t="str">
        <f>"5609990024389"</f>
        <v>0</v>
      </c>
      <c r="F4779" t="str">
        <f>"000960"</f>
        <v>0</v>
      </c>
      <c r="G4779" t="s">
        <v>21</v>
      </c>
    </row>
    <row r="4780" spans="1:7">
      <c r="A4780">
        <v>4779</v>
      </c>
      <c r="B4780" t="str">
        <f>"018078"</f>
        <v>0</v>
      </c>
      <c r="C4780" t="s">
        <v>7848</v>
      </c>
      <c r="D4780" t="s">
        <v>6678</v>
      </c>
      <c r="E4780" t="str">
        <f>"3609900769448"</f>
        <v>0</v>
      </c>
      <c r="F4780" t="str">
        <f>"000960"</f>
        <v>0</v>
      </c>
      <c r="G4780" t="s">
        <v>21</v>
      </c>
    </row>
    <row r="4781" spans="1:7">
      <c r="A4781">
        <v>4780</v>
      </c>
      <c r="B4781" t="str">
        <f>"018262"</f>
        <v>0</v>
      </c>
      <c r="C4781" t="s">
        <v>7849</v>
      </c>
      <c r="D4781" t="s">
        <v>7850</v>
      </c>
      <c r="E4781" t="str">
        <f>"3609900138561"</f>
        <v>0</v>
      </c>
      <c r="F4781" t="str">
        <f>"000960"</f>
        <v>0</v>
      </c>
      <c r="G4781" t="s">
        <v>21</v>
      </c>
    </row>
    <row r="4782" spans="1:7">
      <c r="A4782">
        <v>4781</v>
      </c>
      <c r="B4782" t="str">
        <f>"018419"</f>
        <v>0</v>
      </c>
      <c r="C4782" t="s">
        <v>2239</v>
      </c>
      <c r="D4782" t="s">
        <v>1814</v>
      </c>
      <c r="E4782" t="str">
        <f>"3560200089498"</f>
        <v>0</v>
      </c>
      <c r="F4782" t="str">
        <f>"000960"</f>
        <v>0</v>
      </c>
      <c r="G4782" t="s">
        <v>21</v>
      </c>
    </row>
    <row r="4783" spans="1:7">
      <c r="A4783">
        <v>4782</v>
      </c>
      <c r="B4783" t="str">
        <f>"021422"</f>
        <v>0</v>
      </c>
      <c r="C4783" t="s">
        <v>6897</v>
      </c>
      <c r="D4783" t="s">
        <v>7851</v>
      </c>
      <c r="E4783" t="str">
        <f>"3609900300415"</f>
        <v>0</v>
      </c>
      <c r="F4783" t="str">
        <f>"000960"</f>
        <v>0</v>
      </c>
      <c r="G4783" t="s">
        <v>21</v>
      </c>
    </row>
    <row r="4784" spans="1:7">
      <c r="A4784">
        <v>4783</v>
      </c>
      <c r="B4784" t="str">
        <f>"021962"</f>
        <v>0</v>
      </c>
      <c r="C4784" t="s">
        <v>2262</v>
      </c>
      <c r="D4784" t="s">
        <v>7852</v>
      </c>
      <c r="E4784" t="str">
        <f>"3840100019771"</f>
        <v>0</v>
      </c>
      <c r="F4784" t="str">
        <f>"000960"</f>
        <v>0</v>
      </c>
      <c r="G4784" t="s">
        <v>21</v>
      </c>
    </row>
    <row r="4785" spans="1:7">
      <c r="A4785">
        <v>4784</v>
      </c>
      <c r="B4785" t="str">
        <f>"022391"</f>
        <v>0</v>
      </c>
      <c r="C4785" t="s">
        <v>7853</v>
      </c>
      <c r="D4785" t="s">
        <v>7854</v>
      </c>
      <c r="E4785" t="str">
        <f>"3609900123718"</f>
        <v>0</v>
      </c>
      <c r="F4785" t="str">
        <f>"000960"</f>
        <v>0</v>
      </c>
      <c r="G4785" t="s">
        <v>21</v>
      </c>
    </row>
    <row r="4786" spans="1:7">
      <c r="A4786">
        <v>4785</v>
      </c>
      <c r="B4786" t="str">
        <f>"022396"</f>
        <v>0</v>
      </c>
      <c r="C4786" t="s">
        <v>7855</v>
      </c>
      <c r="D4786" t="s">
        <v>7856</v>
      </c>
      <c r="E4786" t="str">
        <f>"3609900137255"</f>
        <v>0</v>
      </c>
      <c r="F4786" t="str">
        <f>"000960"</f>
        <v>0</v>
      </c>
      <c r="G4786" t="s">
        <v>21</v>
      </c>
    </row>
    <row r="4787" spans="1:7">
      <c r="A4787">
        <v>4786</v>
      </c>
      <c r="B4787" t="str">
        <f>"023258"</f>
        <v>0</v>
      </c>
      <c r="C4787" t="s">
        <v>7857</v>
      </c>
      <c r="D4787" t="s">
        <v>4665</v>
      </c>
      <c r="E4787" t="str">
        <f>"3660600078867"</f>
        <v>0</v>
      </c>
      <c r="F4787" t="str">
        <f>"000960"</f>
        <v>0</v>
      </c>
      <c r="G4787" t="s">
        <v>21</v>
      </c>
    </row>
    <row r="4788" spans="1:7">
      <c r="A4788">
        <v>4787</v>
      </c>
      <c r="B4788" t="str">
        <f>"025904"</f>
        <v>0</v>
      </c>
      <c r="C4788" t="s">
        <v>7858</v>
      </c>
      <c r="D4788" t="s">
        <v>7859</v>
      </c>
      <c r="E4788" t="str">
        <f>"3609900138537"</f>
        <v>0</v>
      </c>
      <c r="F4788" t="str">
        <f>"000960"</f>
        <v>0</v>
      </c>
      <c r="G4788" t="s">
        <v>21</v>
      </c>
    </row>
    <row r="4789" spans="1:7">
      <c r="A4789">
        <v>4788</v>
      </c>
      <c r="B4789" t="str">
        <f>"020928"</f>
        <v>0</v>
      </c>
      <c r="C4789" t="s">
        <v>7860</v>
      </c>
      <c r="D4789" t="s">
        <v>7861</v>
      </c>
      <c r="E4789" t="str">
        <f>"3609900156799"</f>
        <v>0</v>
      </c>
      <c r="F4789" t="str">
        <f>"000960"</f>
        <v>0</v>
      </c>
      <c r="G4789" t="s">
        <v>21</v>
      </c>
    </row>
    <row r="4790" spans="1:7">
      <c r="A4790">
        <v>4789</v>
      </c>
      <c r="B4790" t="str">
        <f>"017277"</f>
        <v>0</v>
      </c>
      <c r="C4790" t="s">
        <v>7862</v>
      </c>
      <c r="D4790" t="s">
        <v>7863</v>
      </c>
      <c r="E4790" t="str">
        <f>"3150600456637"</f>
        <v>0</v>
      </c>
      <c r="F4790" t="str">
        <f>"000960"</f>
        <v>0</v>
      </c>
      <c r="G4790" t="s">
        <v>21</v>
      </c>
    </row>
    <row r="4791" spans="1:7">
      <c r="A4791">
        <v>4790</v>
      </c>
      <c r="B4791" t="str">
        <f>"016513"</f>
        <v>0</v>
      </c>
      <c r="C4791" t="s">
        <v>2815</v>
      </c>
      <c r="D4791" t="s">
        <v>7864</v>
      </c>
      <c r="E4791" t="str">
        <f>"3180400486346"</f>
        <v>0</v>
      </c>
      <c r="F4791" t="str">
        <f>"000960"</f>
        <v>0</v>
      </c>
      <c r="G4791" t="s">
        <v>21</v>
      </c>
    </row>
    <row r="4792" spans="1:7">
      <c r="A4792">
        <v>4791</v>
      </c>
      <c r="B4792" t="str">
        <f>"024423"</f>
        <v>0</v>
      </c>
      <c r="C4792" t="s">
        <v>7865</v>
      </c>
      <c r="D4792" t="s">
        <v>7866</v>
      </c>
      <c r="E4792" t="str">
        <f>"1650900082553"</f>
        <v>0</v>
      </c>
      <c r="F4792" t="str">
        <f>"000960"</f>
        <v>0</v>
      </c>
      <c r="G4792" t="s">
        <v>21</v>
      </c>
    </row>
    <row r="4793" spans="1:7">
      <c r="A4793">
        <v>4792</v>
      </c>
      <c r="B4793" t="str">
        <f>"026495"</f>
        <v>0</v>
      </c>
      <c r="C4793" t="s">
        <v>1190</v>
      </c>
      <c r="D4793" t="s">
        <v>7867</v>
      </c>
      <c r="E4793" t="str">
        <f>"1150600065003"</f>
        <v>0</v>
      </c>
      <c r="F4793" t="str">
        <f>"000960"</f>
        <v>0</v>
      </c>
      <c r="G4793" t="s">
        <v>21</v>
      </c>
    </row>
    <row r="4794" spans="1:7">
      <c r="A4794">
        <v>4793</v>
      </c>
      <c r="B4794" t="str">
        <f>"026493"</f>
        <v>0</v>
      </c>
      <c r="C4794" t="s">
        <v>1751</v>
      </c>
      <c r="D4794" t="s">
        <v>7868</v>
      </c>
      <c r="E4794" t="str">
        <f>"1179900081754"</f>
        <v>0</v>
      </c>
      <c r="F4794" t="str">
        <f>"000960"</f>
        <v>0</v>
      </c>
      <c r="G4794" t="s">
        <v>21</v>
      </c>
    </row>
    <row r="4795" spans="1:7">
      <c r="A4795">
        <v>4794</v>
      </c>
      <c r="B4795" t="str">
        <f>"019470"</f>
        <v>0</v>
      </c>
      <c r="C4795" t="s">
        <v>7869</v>
      </c>
      <c r="D4795" t="s">
        <v>7870</v>
      </c>
      <c r="E4795" t="str">
        <f>"3600400061499"</f>
        <v>0</v>
      </c>
      <c r="F4795" t="str">
        <f>"000960"</f>
        <v>0</v>
      </c>
      <c r="G4795" t="s">
        <v>21</v>
      </c>
    </row>
    <row r="4796" spans="1:7">
      <c r="A4796">
        <v>4795</v>
      </c>
      <c r="B4796" t="str">
        <f>"025458"</f>
        <v>0</v>
      </c>
      <c r="C4796" t="s">
        <v>2531</v>
      </c>
      <c r="D4796" t="s">
        <v>7871</v>
      </c>
      <c r="E4796" t="str">
        <f>"1331000123664"</f>
        <v>0</v>
      </c>
      <c r="F4796" t="str">
        <f>"000960"</f>
        <v>0</v>
      </c>
      <c r="G4796" t="s">
        <v>21</v>
      </c>
    </row>
    <row r="4797" spans="1:7">
      <c r="A4797">
        <v>4796</v>
      </c>
      <c r="B4797" t="str">
        <f>"025909"</f>
        <v>0</v>
      </c>
      <c r="C4797" t="s">
        <v>7872</v>
      </c>
      <c r="D4797" t="s">
        <v>7873</v>
      </c>
      <c r="E4797" t="str">
        <f>"3341100093224"</f>
        <v>0</v>
      </c>
      <c r="F4797" t="str">
        <f>"000960"</f>
        <v>0</v>
      </c>
      <c r="G4797" t="s">
        <v>21</v>
      </c>
    </row>
    <row r="4798" spans="1:7">
      <c r="A4798">
        <v>4797</v>
      </c>
      <c r="B4798" t="str">
        <f>"022806"</f>
        <v>0</v>
      </c>
      <c r="C4798" t="s">
        <v>7874</v>
      </c>
      <c r="D4798" t="s">
        <v>7875</v>
      </c>
      <c r="E4798" t="str">
        <f>"1509900410461"</f>
        <v>0</v>
      </c>
      <c r="F4798" t="str">
        <f>"000960"</f>
        <v>0</v>
      </c>
      <c r="G4798" t="s">
        <v>21</v>
      </c>
    </row>
    <row r="4799" spans="1:7">
      <c r="A4799">
        <v>4798</v>
      </c>
      <c r="B4799" t="str">
        <f>"023836"</f>
        <v>0</v>
      </c>
      <c r="C4799" t="s">
        <v>7876</v>
      </c>
      <c r="D4799" t="s">
        <v>7877</v>
      </c>
      <c r="E4799" t="str">
        <f>"1509900390991"</f>
        <v>0</v>
      </c>
      <c r="F4799" t="str">
        <f>"000960"</f>
        <v>0</v>
      </c>
      <c r="G4799" t="s">
        <v>21</v>
      </c>
    </row>
    <row r="4800" spans="1:7">
      <c r="A4800">
        <v>4799</v>
      </c>
      <c r="B4800" t="str">
        <f>"026138"</f>
        <v>0</v>
      </c>
      <c r="C4800" t="s">
        <v>7878</v>
      </c>
      <c r="D4800" t="s">
        <v>7879</v>
      </c>
      <c r="E4800" t="str">
        <f>"1509900949963"</f>
        <v>0</v>
      </c>
      <c r="F4800" t="str">
        <f>"000960"</f>
        <v>0</v>
      </c>
      <c r="G4800" t="s">
        <v>21</v>
      </c>
    </row>
    <row r="4801" spans="1:7">
      <c r="A4801">
        <v>4800</v>
      </c>
      <c r="B4801" t="str">
        <f>"026140"</f>
        <v>0</v>
      </c>
      <c r="C4801" t="s">
        <v>7880</v>
      </c>
      <c r="D4801" t="s">
        <v>7881</v>
      </c>
      <c r="E4801" t="str">
        <f>"1509900501059"</f>
        <v>0</v>
      </c>
      <c r="F4801" t="str">
        <f>"000960"</f>
        <v>0</v>
      </c>
      <c r="G4801" t="s">
        <v>21</v>
      </c>
    </row>
    <row r="4802" spans="1:7">
      <c r="A4802">
        <v>4801</v>
      </c>
      <c r="B4802" t="str">
        <f>"026890"</f>
        <v>0</v>
      </c>
      <c r="C4802" t="s">
        <v>3497</v>
      </c>
      <c r="D4802" t="s">
        <v>7882</v>
      </c>
      <c r="E4802" t="str">
        <f>"1120100046727"</f>
        <v>0</v>
      </c>
      <c r="F4802" t="str">
        <f>"000960"</f>
        <v>0</v>
      </c>
      <c r="G4802" t="s">
        <v>21</v>
      </c>
    </row>
    <row r="4803" spans="1:7">
      <c r="A4803">
        <v>4802</v>
      </c>
      <c r="B4803" t="str">
        <f>"023834"</f>
        <v>0</v>
      </c>
      <c r="C4803" t="s">
        <v>7883</v>
      </c>
      <c r="D4803" t="s">
        <v>7884</v>
      </c>
      <c r="E4803" t="str">
        <f>"1520800011647"</f>
        <v>0</v>
      </c>
      <c r="F4803" t="str">
        <f>"000960"</f>
        <v>0</v>
      </c>
      <c r="G4803" t="s">
        <v>21</v>
      </c>
    </row>
    <row r="4804" spans="1:7">
      <c r="A4804">
        <v>4803</v>
      </c>
      <c r="B4804" t="str">
        <f>"025429"</f>
        <v>0</v>
      </c>
      <c r="C4804" t="s">
        <v>7885</v>
      </c>
      <c r="D4804" t="s">
        <v>7886</v>
      </c>
      <c r="E4804" t="str">
        <f>"1509900529662"</f>
        <v>0</v>
      </c>
      <c r="F4804" t="str">
        <f>"000960"</f>
        <v>0</v>
      </c>
      <c r="G4804" t="s">
        <v>21</v>
      </c>
    </row>
    <row r="4805" spans="1:7">
      <c r="A4805">
        <v>4804</v>
      </c>
      <c r="B4805" t="str">
        <f>"026139"</f>
        <v>0</v>
      </c>
      <c r="C4805" t="s">
        <v>7887</v>
      </c>
      <c r="D4805" t="s">
        <v>7888</v>
      </c>
      <c r="E4805" t="str">
        <f>"1529900668735"</f>
        <v>0</v>
      </c>
      <c r="F4805" t="str">
        <f>"000960"</f>
        <v>0</v>
      </c>
      <c r="G4805" t="s">
        <v>21</v>
      </c>
    </row>
    <row r="4806" spans="1:7">
      <c r="A4806">
        <v>4805</v>
      </c>
      <c r="B4806" t="str">
        <f>"026496"</f>
        <v>0</v>
      </c>
      <c r="C4806" t="s">
        <v>7889</v>
      </c>
      <c r="D4806" t="s">
        <v>7890</v>
      </c>
      <c r="E4806" t="str">
        <f>"1539900170818"</f>
        <v>0</v>
      </c>
      <c r="F4806" t="str">
        <f>"000960"</f>
        <v>0</v>
      </c>
      <c r="G4806" t="s">
        <v>21</v>
      </c>
    </row>
    <row r="4807" spans="1:7">
      <c r="A4807">
        <v>4806</v>
      </c>
      <c r="B4807" t="str">
        <f>"025602"</f>
        <v>0</v>
      </c>
      <c r="C4807" t="s">
        <v>7891</v>
      </c>
      <c r="D4807" t="s">
        <v>7892</v>
      </c>
      <c r="E4807" t="str">
        <f>"1549900204470"</f>
        <v>0</v>
      </c>
      <c r="F4807" t="str">
        <f>"000960"</f>
        <v>0</v>
      </c>
      <c r="G4807" t="s">
        <v>21</v>
      </c>
    </row>
    <row r="4808" spans="1:7">
      <c r="A4808">
        <v>4807</v>
      </c>
      <c r="B4808" t="str">
        <f>"026889"</f>
        <v>0</v>
      </c>
      <c r="C4808" t="s">
        <v>7893</v>
      </c>
      <c r="D4808" t="s">
        <v>7894</v>
      </c>
      <c r="E4808" t="str">
        <f>"1540400065812"</f>
        <v>0</v>
      </c>
      <c r="F4808" t="str">
        <f>"000960"</f>
        <v>0</v>
      </c>
      <c r="G4808" t="s">
        <v>21</v>
      </c>
    </row>
    <row r="4809" spans="1:7">
      <c r="A4809">
        <v>4808</v>
      </c>
      <c r="B4809" t="str">
        <f>"023358"</f>
        <v>0</v>
      </c>
      <c r="C4809" t="s">
        <v>7895</v>
      </c>
      <c r="D4809" t="s">
        <v>7896</v>
      </c>
      <c r="E4809" t="str">
        <f>"3550300074247"</f>
        <v>0</v>
      </c>
      <c r="F4809" t="str">
        <f>"000960"</f>
        <v>0</v>
      </c>
      <c r="G4809" t="s">
        <v>21</v>
      </c>
    </row>
    <row r="4810" spans="1:7">
      <c r="A4810">
        <v>4809</v>
      </c>
      <c r="B4810" t="str">
        <f>"023854"</f>
        <v>0</v>
      </c>
      <c r="C4810" t="s">
        <v>7897</v>
      </c>
      <c r="D4810" t="s">
        <v>7898</v>
      </c>
      <c r="E4810" t="str">
        <f>"1551000031563"</f>
        <v>0</v>
      </c>
      <c r="F4810" t="str">
        <f>"000960"</f>
        <v>0</v>
      </c>
      <c r="G4810" t="s">
        <v>21</v>
      </c>
    </row>
    <row r="4811" spans="1:7">
      <c r="A4811">
        <v>4810</v>
      </c>
      <c r="B4811" t="str">
        <f>"006458"</f>
        <v>0</v>
      </c>
      <c r="C4811" t="s">
        <v>7899</v>
      </c>
      <c r="D4811" t="s">
        <v>7900</v>
      </c>
      <c r="E4811" t="str">
        <f>"3530600050769"</f>
        <v>0</v>
      </c>
      <c r="F4811" t="str">
        <f>"000960"</f>
        <v>0</v>
      </c>
      <c r="G4811" t="s">
        <v>21</v>
      </c>
    </row>
    <row r="4812" spans="1:7">
      <c r="A4812">
        <v>4811</v>
      </c>
      <c r="B4812" t="str">
        <f>"007009"</f>
        <v>0</v>
      </c>
      <c r="C4812" t="s">
        <v>7901</v>
      </c>
      <c r="D4812" t="s">
        <v>7902</v>
      </c>
      <c r="E4812" t="str">
        <f>"3501200706421"</f>
        <v>0</v>
      </c>
      <c r="F4812" t="str">
        <f>"000960"</f>
        <v>0</v>
      </c>
      <c r="G4812" t="s">
        <v>21</v>
      </c>
    </row>
    <row r="4813" spans="1:7">
      <c r="A4813">
        <v>4812</v>
      </c>
      <c r="B4813" t="str">
        <f>"008064"</f>
        <v>0</v>
      </c>
      <c r="C4813" t="s">
        <v>7903</v>
      </c>
      <c r="D4813" t="s">
        <v>7904</v>
      </c>
      <c r="E4813" t="str">
        <f>"3150500025316"</f>
        <v>0</v>
      </c>
      <c r="F4813" t="str">
        <f>"000960"</f>
        <v>0</v>
      </c>
      <c r="G4813" t="s">
        <v>21</v>
      </c>
    </row>
    <row r="4814" spans="1:7">
      <c r="A4814">
        <v>4813</v>
      </c>
      <c r="B4814" t="str">
        <f>"008127"</f>
        <v>0</v>
      </c>
      <c r="C4814" t="s">
        <v>4577</v>
      </c>
      <c r="D4814" t="s">
        <v>7905</v>
      </c>
      <c r="E4814" t="str">
        <f>"3620400337109"</f>
        <v>0</v>
      </c>
      <c r="F4814" t="str">
        <f>"000960"</f>
        <v>0</v>
      </c>
      <c r="G4814" t="s">
        <v>21</v>
      </c>
    </row>
    <row r="4815" spans="1:7">
      <c r="A4815">
        <v>4814</v>
      </c>
      <c r="B4815" t="str">
        <f>"008531"</f>
        <v>0</v>
      </c>
      <c r="C4815" t="s">
        <v>442</v>
      </c>
      <c r="D4815" t="s">
        <v>7906</v>
      </c>
      <c r="E4815" t="str">
        <f>"3560600002551"</f>
        <v>0</v>
      </c>
      <c r="F4815" t="str">
        <f>"000960"</f>
        <v>0</v>
      </c>
      <c r="G4815" t="s">
        <v>21</v>
      </c>
    </row>
    <row r="4816" spans="1:7">
      <c r="A4816">
        <v>4815</v>
      </c>
      <c r="B4816" t="str">
        <f>"009098"</f>
        <v>0</v>
      </c>
      <c r="C4816" t="s">
        <v>2758</v>
      </c>
      <c r="D4816" t="s">
        <v>7907</v>
      </c>
      <c r="E4816" t="str">
        <f>"3600600054453"</f>
        <v>0</v>
      </c>
      <c r="F4816" t="str">
        <f>"000960"</f>
        <v>0</v>
      </c>
      <c r="G4816" t="s">
        <v>21</v>
      </c>
    </row>
    <row r="4817" spans="1:7">
      <c r="A4817">
        <v>4816</v>
      </c>
      <c r="B4817" t="str">
        <f>"009196"</f>
        <v>0</v>
      </c>
      <c r="C4817" t="s">
        <v>7908</v>
      </c>
      <c r="D4817" t="s">
        <v>7815</v>
      </c>
      <c r="E4817" t="str">
        <f>"3550100126243"</f>
        <v>0</v>
      </c>
      <c r="F4817" t="str">
        <f>"000960"</f>
        <v>0</v>
      </c>
      <c r="G4817" t="s">
        <v>21</v>
      </c>
    </row>
    <row r="4818" spans="1:7">
      <c r="A4818">
        <v>4817</v>
      </c>
      <c r="B4818" t="str">
        <f>"009723"</f>
        <v>0</v>
      </c>
      <c r="C4818" t="s">
        <v>767</v>
      </c>
      <c r="D4818" t="s">
        <v>7909</v>
      </c>
      <c r="E4818" t="str">
        <f>"3600600315940"</f>
        <v>0</v>
      </c>
      <c r="F4818" t="str">
        <f>"000960"</f>
        <v>0</v>
      </c>
      <c r="G4818" t="s">
        <v>21</v>
      </c>
    </row>
    <row r="4819" spans="1:7">
      <c r="A4819">
        <v>4818</v>
      </c>
      <c r="B4819" t="str">
        <f>"009913"</f>
        <v>0</v>
      </c>
      <c r="C4819" t="s">
        <v>7820</v>
      </c>
      <c r="D4819" t="s">
        <v>7910</v>
      </c>
      <c r="E4819" t="str">
        <f>"3560600025705"</f>
        <v>0</v>
      </c>
      <c r="F4819" t="str">
        <f>"000960"</f>
        <v>0</v>
      </c>
      <c r="G4819" t="s">
        <v>21</v>
      </c>
    </row>
    <row r="4820" spans="1:7">
      <c r="A4820">
        <v>4819</v>
      </c>
      <c r="B4820" t="str">
        <f>"010326"</f>
        <v>0</v>
      </c>
      <c r="C4820" t="s">
        <v>7911</v>
      </c>
      <c r="D4820" t="s">
        <v>7912</v>
      </c>
      <c r="E4820" t="str">
        <f>"3600300506642"</f>
        <v>0</v>
      </c>
      <c r="F4820" t="str">
        <f>"000960"</f>
        <v>0</v>
      </c>
      <c r="G4820" t="s">
        <v>21</v>
      </c>
    </row>
    <row r="4821" spans="1:7">
      <c r="A4821">
        <v>4820</v>
      </c>
      <c r="B4821" t="str">
        <f>"011960"</f>
        <v>0</v>
      </c>
      <c r="C4821" t="s">
        <v>802</v>
      </c>
      <c r="D4821" t="s">
        <v>7913</v>
      </c>
      <c r="E4821" t="str">
        <f>"3301300178801"</f>
        <v>0</v>
      </c>
      <c r="F4821" t="str">
        <f>"000960"</f>
        <v>0</v>
      </c>
      <c r="G4821" t="s">
        <v>21</v>
      </c>
    </row>
    <row r="4822" spans="1:7">
      <c r="A4822">
        <v>4821</v>
      </c>
      <c r="B4822" t="str">
        <f>"012261"</f>
        <v>0</v>
      </c>
      <c r="C4822" t="s">
        <v>5340</v>
      </c>
      <c r="D4822" t="s">
        <v>7914</v>
      </c>
      <c r="E4822" t="str">
        <f>"3600800072854"</f>
        <v>0</v>
      </c>
      <c r="F4822" t="str">
        <f>"000960"</f>
        <v>0</v>
      </c>
      <c r="G4822" t="s">
        <v>21</v>
      </c>
    </row>
    <row r="4823" spans="1:7">
      <c r="A4823">
        <v>4822</v>
      </c>
      <c r="B4823" t="str">
        <f>"012412"</f>
        <v>0</v>
      </c>
      <c r="C4823" t="s">
        <v>7915</v>
      </c>
      <c r="D4823" t="s">
        <v>7916</v>
      </c>
      <c r="E4823" t="str">
        <f>"3609900364880"</f>
        <v>0</v>
      </c>
      <c r="F4823" t="str">
        <f>"000960"</f>
        <v>0</v>
      </c>
      <c r="G4823" t="s">
        <v>21</v>
      </c>
    </row>
    <row r="4824" spans="1:7">
      <c r="A4824">
        <v>4823</v>
      </c>
      <c r="B4824" t="str">
        <f>"012623"</f>
        <v>0</v>
      </c>
      <c r="C4824" t="s">
        <v>7917</v>
      </c>
      <c r="D4824" t="s">
        <v>7918</v>
      </c>
      <c r="E4824" t="str">
        <f>"3609900928716"</f>
        <v>0</v>
      </c>
      <c r="F4824" t="str">
        <f>"000960"</f>
        <v>0</v>
      </c>
      <c r="G4824" t="s">
        <v>21</v>
      </c>
    </row>
    <row r="4825" spans="1:7">
      <c r="A4825">
        <v>4824</v>
      </c>
      <c r="B4825" t="str">
        <f>"012850"</f>
        <v>0</v>
      </c>
      <c r="C4825" t="s">
        <v>50</v>
      </c>
      <c r="D4825" t="s">
        <v>7919</v>
      </c>
      <c r="E4825" t="str">
        <f>"3559900087861"</f>
        <v>0</v>
      </c>
      <c r="F4825" t="str">
        <f>"000960"</f>
        <v>0</v>
      </c>
      <c r="G4825" t="s">
        <v>21</v>
      </c>
    </row>
    <row r="4826" spans="1:7">
      <c r="A4826">
        <v>4825</v>
      </c>
      <c r="B4826" t="str">
        <f>"013875"</f>
        <v>0</v>
      </c>
      <c r="C4826" t="s">
        <v>7920</v>
      </c>
      <c r="D4826" t="s">
        <v>7900</v>
      </c>
      <c r="E4826" t="str">
        <f>"3600100659704"</f>
        <v>0</v>
      </c>
      <c r="F4826" t="str">
        <f>"000960"</f>
        <v>0</v>
      </c>
      <c r="G4826" t="s">
        <v>21</v>
      </c>
    </row>
    <row r="4827" spans="1:7">
      <c r="A4827">
        <v>4826</v>
      </c>
      <c r="B4827" t="str">
        <f>"014250"</f>
        <v>0</v>
      </c>
      <c r="C4827" t="s">
        <v>7575</v>
      </c>
      <c r="D4827" t="s">
        <v>7921</v>
      </c>
      <c r="E4827" t="str">
        <f>"3609900274449"</f>
        <v>0</v>
      </c>
      <c r="F4827" t="str">
        <f>"000960"</f>
        <v>0</v>
      </c>
      <c r="G4827" t="s">
        <v>21</v>
      </c>
    </row>
    <row r="4828" spans="1:7">
      <c r="A4828">
        <v>4827</v>
      </c>
      <c r="B4828" t="str">
        <f>"015284"</f>
        <v>0</v>
      </c>
      <c r="C4828" t="s">
        <v>2248</v>
      </c>
      <c r="D4828" t="s">
        <v>7922</v>
      </c>
      <c r="E4828" t="str">
        <f>"3620500875285"</f>
        <v>0</v>
      </c>
      <c r="F4828" t="str">
        <f>"000960"</f>
        <v>0</v>
      </c>
      <c r="G4828" t="s">
        <v>21</v>
      </c>
    </row>
    <row r="4829" spans="1:7">
      <c r="A4829">
        <v>4828</v>
      </c>
      <c r="B4829" t="str">
        <f>"016107"</f>
        <v>0</v>
      </c>
      <c r="C4829" t="s">
        <v>7740</v>
      </c>
      <c r="D4829" t="s">
        <v>7923</v>
      </c>
      <c r="E4829" t="str">
        <f>"3600400446528"</f>
        <v>0</v>
      </c>
      <c r="F4829" t="str">
        <f>"000960"</f>
        <v>0</v>
      </c>
      <c r="G4829" t="s">
        <v>21</v>
      </c>
    </row>
    <row r="4830" spans="1:7">
      <c r="A4830">
        <v>4829</v>
      </c>
      <c r="B4830" t="str">
        <f>"016381"</f>
        <v>0</v>
      </c>
      <c r="C4830" t="s">
        <v>3202</v>
      </c>
      <c r="D4830" t="s">
        <v>7924</v>
      </c>
      <c r="E4830" t="str">
        <f>"3600200008608"</f>
        <v>0</v>
      </c>
      <c r="F4830" t="str">
        <f>"000960"</f>
        <v>0</v>
      </c>
      <c r="G4830" t="s">
        <v>21</v>
      </c>
    </row>
    <row r="4831" spans="1:7">
      <c r="A4831">
        <v>4830</v>
      </c>
      <c r="B4831" t="str">
        <f>"016514"</f>
        <v>0</v>
      </c>
      <c r="C4831" t="s">
        <v>587</v>
      </c>
      <c r="D4831" t="s">
        <v>7925</v>
      </c>
      <c r="E4831" t="str">
        <f>"3600900066309"</f>
        <v>0</v>
      </c>
      <c r="F4831" t="str">
        <f>"000960"</f>
        <v>0</v>
      </c>
      <c r="G4831" t="s">
        <v>21</v>
      </c>
    </row>
    <row r="4832" spans="1:7">
      <c r="A4832">
        <v>4831</v>
      </c>
      <c r="B4832" t="str">
        <f>"016515"</f>
        <v>0</v>
      </c>
      <c r="C4832" t="s">
        <v>1880</v>
      </c>
      <c r="D4832" t="s">
        <v>7926</v>
      </c>
      <c r="E4832" t="str">
        <f>"3600400470348"</f>
        <v>0</v>
      </c>
      <c r="F4832" t="str">
        <f>"000960"</f>
        <v>0</v>
      </c>
      <c r="G4832" t="s">
        <v>21</v>
      </c>
    </row>
    <row r="4833" spans="1:7">
      <c r="A4833">
        <v>4832</v>
      </c>
      <c r="B4833" t="str">
        <f>"016887"</f>
        <v>0</v>
      </c>
      <c r="C4833" t="s">
        <v>6938</v>
      </c>
      <c r="D4833" t="s">
        <v>7927</v>
      </c>
      <c r="E4833" t="str">
        <f>"3480100239162"</f>
        <v>0</v>
      </c>
      <c r="F4833" t="str">
        <f>"000960"</f>
        <v>0</v>
      </c>
      <c r="G4833" t="s">
        <v>21</v>
      </c>
    </row>
    <row r="4834" spans="1:7">
      <c r="A4834">
        <v>4833</v>
      </c>
      <c r="B4834" t="str">
        <f>"016983"</f>
        <v>0</v>
      </c>
      <c r="C4834" t="s">
        <v>7928</v>
      </c>
      <c r="D4834" t="s">
        <v>7929</v>
      </c>
      <c r="E4834" t="str">
        <f>"3601000255742"</f>
        <v>0</v>
      </c>
      <c r="F4834" t="str">
        <f>"000960"</f>
        <v>0</v>
      </c>
      <c r="G4834" t="s">
        <v>21</v>
      </c>
    </row>
    <row r="4835" spans="1:7">
      <c r="A4835">
        <v>4834</v>
      </c>
      <c r="B4835" t="str">
        <f>"017053"</f>
        <v>0</v>
      </c>
      <c r="C4835" t="s">
        <v>447</v>
      </c>
      <c r="D4835" t="s">
        <v>7930</v>
      </c>
      <c r="E4835" t="str">
        <f>"3600800098527"</f>
        <v>0</v>
      </c>
      <c r="F4835" t="str">
        <f>"000960"</f>
        <v>0</v>
      </c>
      <c r="G4835" t="s">
        <v>21</v>
      </c>
    </row>
    <row r="4836" spans="1:7">
      <c r="A4836">
        <v>4835</v>
      </c>
      <c r="B4836" t="str">
        <f>"017223"</f>
        <v>0</v>
      </c>
      <c r="C4836" t="s">
        <v>7931</v>
      </c>
      <c r="D4836" t="s">
        <v>7932</v>
      </c>
      <c r="E4836" t="str">
        <f>"3601000029017"</f>
        <v>0</v>
      </c>
      <c r="F4836" t="str">
        <f>"000960"</f>
        <v>0</v>
      </c>
      <c r="G4836" t="s">
        <v>21</v>
      </c>
    </row>
    <row r="4837" spans="1:7">
      <c r="A4837">
        <v>4836</v>
      </c>
      <c r="B4837" t="str">
        <f>"017855"</f>
        <v>0</v>
      </c>
      <c r="C4837" t="s">
        <v>7933</v>
      </c>
      <c r="D4837" t="s">
        <v>7934</v>
      </c>
      <c r="E4837" t="str">
        <f>"3180100172397"</f>
        <v>0</v>
      </c>
      <c r="F4837" t="str">
        <f>"000960"</f>
        <v>0</v>
      </c>
      <c r="G4837" t="s">
        <v>21</v>
      </c>
    </row>
    <row r="4838" spans="1:7">
      <c r="A4838">
        <v>4837</v>
      </c>
      <c r="B4838" t="str">
        <f>"017886"</f>
        <v>0</v>
      </c>
      <c r="C4838" t="s">
        <v>7935</v>
      </c>
      <c r="D4838" t="s">
        <v>7936</v>
      </c>
      <c r="E4838" t="str">
        <f>"3520101210132"</f>
        <v>0</v>
      </c>
      <c r="F4838" t="str">
        <f>"000960"</f>
        <v>0</v>
      </c>
      <c r="G4838" t="s">
        <v>21</v>
      </c>
    </row>
    <row r="4839" spans="1:7">
      <c r="A4839">
        <v>4838</v>
      </c>
      <c r="B4839" t="str">
        <f>"018704"</f>
        <v>0</v>
      </c>
      <c r="C4839" t="s">
        <v>7937</v>
      </c>
      <c r="D4839" t="s">
        <v>7838</v>
      </c>
      <c r="E4839" t="str">
        <f>"3610400402989"</f>
        <v>0</v>
      </c>
      <c r="F4839" t="str">
        <f>"000960"</f>
        <v>0</v>
      </c>
      <c r="G4839" t="s">
        <v>21</v>
      </c>
    </row>
    <row r="4840" spans="1:7">
      <c r="A4840">
        <v>4839</v>
      </c>
      <c r="B4840" t="str">
        <f>"018937"</f>
        <v>0</v>
      </c>
      <c r="C4840" t="s">
        <v>132</v>
      </c>
      <c r="D4840" t="s">
        <v>7938</v>
      </c>
      <c r="E4840" t="str">
        <f>"5550190000682"</f>
        <v>0</v>
      </c>
      <c r="F4840" t="str">
        <f>"000960"</f>
        <v>0</v>
      </c>
      <c r="G4840" t="s">
        <v>21</v>
      </c>
    </row>
    <row r="4841" spans="1:7">
      <c r="A4841">
        <v>4840</v>
      </c>
      <c r="B4841" t="str">
        <f>"019016"</f>
        <v>0</v>
      </c>
      <c r="C4841" t="s">
        <v>7939</v>
      </c>
      <c r="D4841" t="s">
        <v>7940</v>
      </c>
      <c r="E4841" t="str">
        <f>"3609900740270"</f>
        <v>0</v>
      </c>
      <c r="F4841" t="str">
        <f>"000960"</f>
        <v>0</v>
      </c>
      <c r="G4841" t="s">
        <v>21</v>
      </c>
    </row>
    <row r="4842" spans="1:7">
      <c r="A4842">
        <v>4841</v>
      </c>
      <c r="B4842" t="str">
        <f>"019345"</f>
        <v>0</v>
      </c>
      <c r="C4842" t="s">
        <v>4435</v>
      </c>
      <c r="D4842" t="s">
        <v>7941</v>
      </c>
      <c r="E4842" t="str">
        <f>"3600900300972"</f>
        <v>0</v>
      </c>
      <c r="F4842" t="str">
        <f>"000960"</f>
        <v>0</v>
      </c>
      <c r="G4842" t="s">
        <v>21</v>
      </c>
    </row>
    <row r="4843" spans="1:7">
      <c r="A4843">
        <v>4842</v>
      </c>
      <c r="B4843" t="str">
        <f>"019361"</f>
        <v>0</v>
      </c>
      <c r="C4843" t="s">
        <v>7942</v>
      </c>
      <c r="D4843" t="s">
        <v>7943</v>
      </c>
      <c r="E4843" t="str">
        <f>"3609900637061"</f>
        <v>0</v>
      </c>
      <c r="F4843" t="str">
        <f>"000960"</f>
        <v>0</v>
      </c>
      <c r="G4843" t="s">
        <v>21</v>
      </c>
    </row>
    <row r="4844" spans="1:7">
      <c r="A4844">
        <v>4843</v>
      </c>
      <c r="B4844" t="str">
        <f>"019393"</f>
        <v>0</v>
      </c>
      <c r="C4844" t="s">
        <v>7944</v>
      </c>
      <c r="D4844" t="s">
        <v>7945</v>
      </c>
      <c r="E4844" t="str">
        <f>"3529900347498"</f>
        <v>0</v>
      </c>
      <c r="F4844" t="str">
        <f>"000960"</f>
        <v>0</v>
      </c>
      <c r="G4844" t="s">
        <v>21</v>
      </c>
    </row>
    <row r="4845" spans="1:7">
      <c r="A4845">
        <v>4844</v>
      </c>
      <c r="B4845" t="str">
        <f>"019406"</f>
        <v>0</v>
      </c>
      <c r="C4845" t="s">
        <v>7946</v>
      </c>
      <c r="D4845" t="s">
        <v>7947</v>
      </c>
      <c r="E4845" t="str">
        <f>"3601200448803"</f>
        <v>0</v>
      </c>
      <c r="F4845" t="str">
        <f>"000960"</f>
        <v>0</v>
      </c>
      <c r="G4845" t="s">
        <v>21</v>
      </c>
    </row>
    <row r="4846" spans="1:7">
      <c r="A4846">
        <v>4845</v>
      </c>
      <c r="B4846" t="str">
        <f>"019559"</f>
        <v>0</v>
      </c>
      <c r="C4846" t="s">
        <v>7948</v>
      </c>
      <c r="D4846" t="s">
        <v>7949</v>
      </c>
      <c r="E4846" t="str">
        <f>"3550900313030"</f>
        <v>0</v>
      </c>
      <c r="F4846" t="str">
        <f>"000960"</f>
        <v>0</v>
      </c>
      <c r="G4846" t="s">
        <v>21</v>
      </c>
    </row>
    <row r="4847" spans="1:7">
      <c r="A4847">
        <v>4846</v>
      </c>
      <c r="B4847" t="str">
        <f>"019677"</f>
        <v>0</v>
      </c>
      <c r="C4847" t="s">
        <v>7950</v>
      </c>
      <c r="D4847" t="s">
        <v>7951</v>
      </c>
      <c r="E4847" t="str">
        <f>"3609900809717"</f>
        <v>0</v>
      </c>
      <c r="F4847" t="str">
        <f>"000960"</f>
        <v>0</v>
      </c>
      <c r="G4847" t="s">
        <v>21</v>
      </c>
    </row>
    <row r="4848" spans="1:7">
      <c r="A4848">
        <v>4847</v>
      </c>
      <c r="B4848" t="str">
        <f>"019757"</f>
        <v>0</v>
      </c>
      <c r="C4848" t="s">
        <v>4783</v>
      </c>
      <c r="D4848" t="s">
        <v>7952</v>
      </c>
      <c r="E4848" t="str">
        <f>"3601101012179"</f>
        <v>0</v>
      </c>
      <c r="F4848" t="str">
        <f>"000960"</f>
        <v>0</v>
      </c>
      <c r="G4848" t="s">
        <v>21</v>
      </c>
    </row>
    <row r="4849" spans="1:7">
      <c r="A4849">
        <v>4848</v>
      </c>
      <c r="B4849" t="str">
        <f>"019806"</f>
        <v>0</v>
      </c>
      <c r="C4849" t="s">
        <v>217</v>
      </c>
      <c r="D4849" t="s">
        <v>888</v>
      </c>
      <c r="E4849" t="str">
        <f>"3600800357212"</f>
        <v>0</v>
      </c>
      <c r="F4849" t="str">
        <f>"000960"</f>
        <v>0</v>
      </c>
      <c r="G4849" t="s">
        <v>21</v>
      </c>
    </row>
    <row r="4850" spans="1:7">
      <c r="A4850">
        <v>4849</v>
      </c>
      <c r="B4850" t="str">
        <f>"019905"</f>
        <v>0</v>
      </c>
      <c r="C4850" t="s">
        <v>7953</v>
      </c>
      <c r="D4850" t="s">
        <v>7954</v>
      </c>
      <c r="E4850" t="str">
        <f>"3601000012921"</f>
        <v>0</v>
      </c>
      <c r="F4850" t="str">
        <f>"000960"</f>
        <v>0</v>
      </c>
      <c r="G4850" t="s">
        <v>21</v>
      </c>
    </row>
    <row r="4851" spans="1:7">
      <c r="A4851">
        <v>4850</v>
      </c>
      <c r="B4851" t="str">
        <f>"019928"</f>
        <v>0</v>
      </c>
      <c r="C4851" t="s">
        <v>7955</v>
      </c>
      <c r="D4851" t="s">
        <v>7956</v>
      </c>
      <c r="E4851" t="str">
        <f>"3600900315147"</f>
        <v>0</v>
      </c>
      <c r="F4851" t="str">
        <f>"000960"</f>
        <v>0</v>
      </c>
      <c r="G4851" t="s">
        <v>21</v>
      </c>
    </row>
    <row r="4852" spans="1:7">
      <c r="A4852">
        <v>4851</v>
      </c>
      <c r="B4852" t="str">
        <f>"019975"</f>
        <v>0</v>
      </c>
      <c r="C4852" t="s">
        <v>191</v>
      </c>
      <c r="D4852" t="s">
        <v>7957</v>
      </c>
      <c r="E4852" t="str">
        <f>"3540100213031"</f>
        <v>0</v>
      </c>
      <c r="F4852" t="str">
        <f>"000960"</f>
        <v>0</v>
      </c>
      <c r="G4852" t="s">
        <v>21</v>
      </c>
    </row>
    <row r="4853" spans="1:7">
      <c r="A4853">
        <v>4852</v>
      </c>
      <c r="B4853" t="str">
        <f>"020108"</f>
        <v>0</v>
      </c>
      <c r="C4853" t="s">
        <v>4251</v>
      </c>
      <c r="D4853" t="s">
        <v>7958</v>
      </c>
      <c r="E4853" t="str">
        <f>"3350100043919"</f>
        <v>0</v>
      </c>
      <c r="F4853" t="str">
        <f>"000960"</f>
        <v>0</v>
      </c>
      <c r="G4853" t="s">
        <v>21</v>
      </c>
    </row>
    <row r="4854" spans="1:7">
      <c r="A4854">
        <v>4853</v>
      </c>
      <c r="B4854" t="str">
        <f>"020654"</f>
        <v>0</v>
      </c>
      <c r="C4854" t="s">
        <v>7959</v>
      </c>
      <c r="D4854" t="s">
        <v>7960</v>
      </c>
      <c r="E4854" t="str">
        <f>"3609900077228"</f>
        <v>0</v>
      </c>
      <c r="F4854" t="str">
        <f>"000960"</f>
        <v>0</v>
      </c>
      <c r="G4854" t="s">
        <v>21</v>
      </c>
    </row>
    <row r="4855" spans="1:7">
      <c r="A4855">
        <v>4854</v>
      </c>
      <c r="B4855" t="str">
        <f>"021323"</f>
        <v>0</v>
      </c>
      <c r="C4855" t="s">
        <v>7961</v>
      </c>
      <c r="D4855" t="s">
        <v>7962</v>
      </c>
      <c r="E4855" t="str">
        <f>"3609900138413"</f>
        <v>0</v>
      </c>
      <c r="F4855" t="str">
        <f>"000960"</f>
        <v>0</v>
      </c>
      <c r="G4855" t="s">
        <v>21</v>
      </c>
    </row>
    <row r="4856" spans="1:7">
      <c r="A4856">
        <v>4855</v>
      </c>
      <c r="B4856" t="str">
        <f>"021632"</f>
        <v>0</v>
      </c>
      <c r="C4856" t="s">
        <v>4514</v>
      </c>
      <c r="D4856" t="s">
        <v>7963</v>
      </c>
      <c r="E4856" t="str">
        <f>"3600400192275"</f>
        <v>0</v>
      </c>
      <c r="F4856" t="str">
        <f>"000960"</f>
        <v>0</v>
      </c>
      <c r="G4856" t="s">
        <v>21</v>
      </c>
    </row>
    <row r="4857" spans="1:7">
      <c r="A4857">
        <v>4856</v>
      </c>
      <c r="B4857" t="str">
        <f>"021745"</f>
        <v>0</v>
      </c>
      <c r="C4857" t="s">
        <v>7964</v>
      </c>
      <c r="D4857" t="s">
        <v>7965</v>
      </c>
      <c r="E4857" t="str">
        <f>"3600700057403"</f>
        <v>0</v>
      </c>
      <c r="F4857" t="str">
        <f>"000960"</f>
        <v>0</v>
      </c>
      <c r="G4857" t="s">
        <v>21</v>
      </c>
    </row>
    <row r="4858" spans="1:7">
      <c r="A4858">
        <v>4857</v>
      </c>
      <c r="B4858" t="str">
        <f>"021887"</f>
        <v>0</v>
      </c>
      <c r="C4858" t="s">
        <v>6463</v>
      </c>
      <c r="D4858" t="s">
        <v>7966</v>
      </c>
      <c r="E4858" t="str">
        <f>"3300400282587"</f>
        <v>0</v>
      </c>
      <c r="F4858" t="str">
        <f>"000960"</f>
        <v>0</v>
      </c>
      <c r="G4858" t="s">
        <v>21</v>
      </c>
    </row>
    <row r="4859" spans="1:7">
      <c r="A4859">
        <v>4858</v>
      </c>
      <c r="B4859" t="str">
        <f>"022045"</f>
        <v>0</v>
      </c>
      <c r="C4859" t="s">
        <v>7967</v>
      </c>
      <c r="D4859" t="s">
        <v>7954</v>
      </c>
      <c r="E4859" t="str">
        <f>"1619900015650"</f>
        <v>0</v>
      </c>
      <c r="F4859" t="str">
        <f>"000960"</f>
        <v>0</v>
      </c>
      <c r="G4859" t="s">
        <v>21</v>
      </c>
    </row>
    <row r="4860" spans="1:7">
      <c r="A4860">
        <v>4859</v>
      </c>
      <c r="B4860" t="str">
        <f>"022275"</f>
        <v>0</v>
      </c>
      <c r="C4860" t="s">
        <v>7968</v>
      </c>
      <c r="D4860" t="s">
        <v>7969</v>
      </c>
      <c r="E4860" t="str">
        <f>"3600100163822"</f>
        <v>0</v>
      </c>
      <c r="F4860" t="str">
        <f>"000960"</f>
        <v>0</v>
      </c>
      <c r="G4860" t="s">
        <v>21</v>
      </c>
    </row>
    <row r="4861" spans="1:7">
      <c r="A4861">
        <v>4860</v>
      </c>
      <c r="B4861" t="str">
        <f>"022282"</f>
        <v>0</v>
      </c>
      <c r="C4861" t="s">
        <v>7970</v>
      </c>
      <c r="D4861" t="s">
        <v>7971</v>
      </c>
      <c r="E4861" t="str">
        <f>"3600700718825"</f>
        <v>0</v>
      </c>
      <c r="F4861" t="str">
        <f>"000960"</f>
        <v>0</v>
      </c>
      <c r="G4861" t="s">
        <v>21</v>
      </c>
    </row>
    <row r="4862" spans="1:7">
      <c r="A4862">
        <v>4861</v>
      </c>
      <c r="B4862" t="str">
        <f>"022284"</f>
        <v>0</v>
      </c>
      <c r="C4862" t="s">
        <v>2478</v>
      </c>
      <c r="D4862" t="s">
        <v>7972</v>
      </c>
      <c r="E4862" t="str">
        <f>"1600100019261"</f>
        <v>0</v>
      </c>
      <c r="F4862" t="str">
        <f>"000960"</f>
        <v>0</v>
      </c>
      <c r="G4862" t="s">
        <v>21</v>
      </c>
    </row>
    <row r="4863" spans="1:7">
      <c r="A4863">
        <v>4862</v>
      </c>
      <c r="B4863" t="str">
        <f>"022332"</f>
        <v>0</v>
      </c>
      <c r="C4863" t="s">
        <v>7973</v>
      </c>
      <c r="D4863" t="s">
        <v>7974</v>
      </c>
      <c r="E4863" t="str">
        <f>"3600600012289"</f>
        <v>0</v>
      </c>
      <c r="F4863" t="str">
        <f>"000960"</f>
        <v>0</v>
      </c>
      <c r="G4863" t="s">
        <v>21</v>
      </c>
    </row>
    <row r="4864" spans="1:7">
      <c r="A4864">
        <v>4863</v>
      </c>
      <c r="B4864" t="str">
        <f>"023040"</f>
        <v>0</v>
      </c>
      <c r="C4864" t="s">
        <v>7975</v>
      </c>
      <c r="D4864" t="s">
        <v>7976</v>
      </c>
      <c r="E4864" t="str">
        <f>"3609700050598"</f>
        <v>0</v>
      </c>
      <c r="F4864" t="str">
        <f>"000960"</f>
        <v>0</v>
      </c>
      <c r="G4864" t="s">
        <v>21</v>
      </c>
    </row>
    <row r="4865" spans="1:7">
      <c r="A4865">
        <v>4864</v>
      </c>
      <c r="B4865" t="str">
        <f>"023137"</f>
        <v>0</v>
      </c>
      <c r="C4865" t="s">
        <v>7977</v>
      </c>
      <c r="D4865" t="s">
        <v>7978</v>
      </c>
      <c r="E4865" t="str">
        <f>"3660300006259"</f>
        <v>0</v>
      </c>
      <c r="F4865" t="str">
        <f>"000960"</f>
        <v>0</v>
      </c>
      <c r="G4865" t="s">
        <v>21</v>
      </c>
    </row>
    <row r="4866" spans="1:7">
      <c r="A4866">
        <v>4865</v>
      </c>
      <c r="B4866" t="str">
        <f>"023345"</f>
        <v>0</v>
      </c>
      <c r="C4866" t="s">
        <v>7979</v>
      </c>
      <c r="D4866" t="s">
        <v>7980</v>
      </c>
      <c r="E4866" t="str">
        <f>"3600800285106"</f>
        <v>0</v>
      </c>
      <c r="F4866" t="str">
        <f>"000960"</f>
        <v>0</v>
      </c>
      <c r="G4866" t="s">
        <v>21</v>
      </c>
    </row>
    <row r="4867" spans="1:7">
      <c r="A4867">
        <v>4866</v>
      </c>
      <c r="B4867" t="str">
        <f>"023366"</f>
        <v>0</v>
      </c>
      <c r="C4867" t="s">
        <v>6510</v>
      </c>
      <c r="D4867" t="s">
        <v>7981</v>
      </c>
      <c r="E4867" t="str">
        <f>"3600300041305"</f>
        <v>0</v>
      </c>
      <c r="F4867" t="str">
        <f>"000960"</f>
        <v>0</v>
      </c>
      <c r="G4867" t="s">
        <v>21</v>
      </c>
    </row>
    <row r="4868" spans="1:7">
      <c r="A4868">
        <v>4867</v>
      </c>
      <c r="B4868" t="str">
        <f>"023875"</f>
        <v>0</v>
      </c>
      <c r="C4868" t="s">
        <v>7982</v>
      </c>
      <c r="D4868" t="s">
        <v>7983</v>
      </c>
      <c r="E4868" t="str">
        <f>"1600100287193"</f>
        <v>0</v>
      </c>
      <c r="F4868" t="str">
        <f>"000960"</f>
        <v>0</v>
      </c>
      <c r="G4868" t="s">
        <v>21</v>
      </c>
    </row>
    <row r="4869" spans="1:7">
      <c r="A4869">
        <v>4868</v>
      </c>
      <c r="B4869" t="str">
        <f>"023895"</f>
        <v>0</v>
      </c>
      <c r="C4869" t="s">
        <v>901</v>
      </c>
      <c r="D4869" t="s">
        <v>7984</v>
      </c>
      <c r="E4869" t="str">
        <f>"3670500288371"</f>
        <v>0</v>
      </c>
      <c r="F4869" t="str">
        <f>"000960"</f>
        <v>0</v>
      </c>
      <c r="G4869" t="s">
        <v>21</v>
      </c>
    </row>
    <row r="4870" spans="1:7">
      <c r="A4870">
        <v>4869</v>
      </c>
      <c r="B4870" t="str">
        <f>"024059"</f>
        <v>0</v>
      </c>
      <c r="C4870" t="s">
        <v>7985</v>
      </c>
      <c r="D4870" t="s">
        <v>7986</v>
      </c>
      <c r="E4870" t="str">
        <f>"1600100086678"</f>
        <v>0</v>
      </c>
      <c r="F4870" t="str">
        <f>"000960"</f>
        <v>0</v>
      </c>
      <c r="G4870" t="s">
        <v>21</v>
      </c>
    </row>
    <row r="4871" spans="1:7">
      <c r="A4871">
        <v>4870</v>
      </c>
      <c r="B4871" t="str">
        <f>"024347"</f>
        <v>0</v>
      </c>
      <c r="C4871" t="s">
        <v>1106</v>
      </c>
      <c r="D4871" t="s">
        <v>7987</v>
      </c>
      <c r="E4871" t="str">
        <f>"1180200014657"</f>
        <v>0</v>
      </c>
      <c r="F4871" t="str">
        <f>"000960"</f>
        <v>0</v>
      </c>
      <c r="G4871" t="s">
        <v>21</v>
      </c>
    </row>
    <row r="4872" spans="1:7">
      <c r="A4872">
        <v>4871</v>
      </c>
      <c r="B4872" t="str">
        <f>"024620"</f>
        <v>0</v>
      </c>
      <c r="C4872" t="s">
        <v>7988</v>
      </c>
      <c r="D4872" t="s">
        <v>7989</v>
      </c>
      <c r="E4872" t="str">
        <f>"3600200293043"</f>
        <v>0</v>
      </c>
      <c r="F4872" t="str">
        <f>"000960"</f>
        <v>0</v>
      </c>
      <c r="G4872" t="s">
        <v>21</v>
      </c>
    </row>
    <row r="4873" spans="1:7">
      <c r="A4873">
        <v>4872</v>
      </c>
      <c r="B4873" t="str">
        <f>"024964"</f>
        <v>0</v>
      </c>
      <c r="C4873" t="s">
        <v>4382</v>
      </c>
      <c r="D4873" t="s">
        <v>7990</v>
      </c>
      <c r="E4873" t="str">
        <f>"3600300307330"</f>
        <v>0</v>
      </c>
      <c r="F4873" t="str">
        <f>"000960"</f>
        <v>0</v>
      </c>
      <c r="G4873" t="s">
        <v>21</v>
      </c>
    </row>
    <row r="4874" spans="1:7">
      <c r="A4874">
        <v>4873</v>
      </c>
      <c r="B4874" t="str">
        <f>"025015"</f>
        <v>0</v>
      </c>
      <c r="C4874" t="s">
        <v>7991</v>
      </c>
      <c r="D4874" t="s">
        <v>7992</v>
      </c>
      <c r="E4874" t="str">
        <f>"3600900602723"</f>
        <v>0</v>
      </c>
      <c r="F4874" t="str">
        <f>"000960"</f>
        <v>0</v>
      </c>
      <c r="G4874" t="s">
        <v>21</v>
      </c>
    </row>
    <row r="4875" spans="1:7">
      <c r="A4875">
        <v>4874</v>
      </c>
      <c r="B4875" t="str">
        <f>"025086"</f>
        <v>0</v>
      </c>
      <c r="C4875" t="s">
        <v>7993</v>
      </c>
      <c r="D4875" t="s">
        <v>7994</v>
      </c>
      <c r="E4875" t="str">
        <f>"3609900226193"</f>
        <v>0</v>
      </c>
      <c r="F4875" t="str">
        <f>"000960"</f>
        <v>0</v>
      </c>
      <c r="G4875" t="s">
        <v>21</v>
      </c>
    </row>
    <row r="4876" spans="1:7">
      <c r="A4876">
        <v>4875</v>
      </c>
      <c r="B4876" t="str">
        <f>"025277"</f>
        <v>0</v>
      </c>
      <c r="C4876" t="s">
        <v>7995</v>
      </c>
      <c r="D4876" t="s">
        <v>7996</v>
      </c>
      <c r="E4876" t="str">
        <f>"1609900096269"</f>
        <v>0</v>
      </c>
      <c r="F4876" t="str">
        <f>"000960"</f>
        <v>0</v>
      </c>
      <c r="G4876" t="s">
        <v>21</v>
      </c>
    </row>
    <row r="4877" spans="1:7">
      <c r="A4877">
        <v>4876</v>
      </c>
      <c r="B4877" t="str">
        <f>"025601"</f>
        <v>0</v>
      </c>
      <c r="C4877" t="s">
        <v>7997</v>
      </c>
      <c r="D4877" t="s">
        <v>7998</v>
      </c>
      <c r="E4877" t="str">
        <f>"1160200082121"</f>
        <v>0</v>
      </c>
      <c r="F4877" t="str">
        <f>"000960"</f>
        <v>0</v>
      </c>
      <c r="G4877" t="s">
        <v>21</v>
      </c>
    </row>
    <row r="4878" spans="1:7">
      <c r="A4878">
        <v>4877</v>
      </c>
      <c r="B4878" t="str">
        <f>"025603"</f>
        <v>0</v>
      </c>
      <c r="C4878" t="s">
        <v>7999</v>
      </c>
      <c r="D4878" t="s">
        <v>8000</v>
      </c>
      <c r="E4878" t="str">
        <f>"1609900101301"</f>
        <v>0</v>
      </c>
      <c r="F4878" t="str">
        <f>"000960"</f>
        <v>0</v>
      </c>
      <c r="G4878" t="s">
        <v>21</v>
      </c>
    </row>
    <row r="4879" spans="1:7">
      <c r="A4879">
        <v>4878</v>
      </c>
      <c r="B4879" t="str">
        <f>"025605"</f>
        <v>0</v>
      </c>
      <c r="C4879" t="s">
        <v>8001</v>
      </c>
      <c r="D4879" t="s">
        <v>8002</v>
      </c>
      <c r="E4879" t="str">
        <f>"1620300080193"</f>
        <v>0</v>
      </c>
      <c r="F4879" t="str">
        <f>"000960"</f>
        <v>0</v>
      </c>
      <c r="G4879" t="s">
        <v>21</v>
      </c>
    </row>
    <row r="4880" spans="1:7">
      <c r="A4880">
        <v>4879</v>
      </c>
      <c r="B4880" t="str">
        <f>"025902"</f>
        <v>0</v>
      </c>
      <c r="C4880" t="s">
        <v>8003</v>
      </c>
      <c r="D4880" t="s">
        <v>8004</v>
      </c>
      <c r="E4880" t="str">
        <f>"1600100058593"</f>
        <v>0</v>
      </c>
      <c r="F4880" t="str">
        <f>"000960"</f>
        <v>0</v>
      </c>
      <c r="G4880" t="s">
        <v>21</v>
      </c>
    </row>
    <row r="4881" spans="1:7">
      <c r="A4881">
        <v>4880</v>
      </c>
      <c r="B4881" t="str">
        <f>"025907"</f>
        <v>0</v>
      </c>
      <c r="C4881" t="s">
        <v>2712</v>
      </c>
      <c r="D4881" t="s">
        <v>8005</v>
      </c>
      <c r="E4881" t="str">
        <f>"1600400015954"</f>
        <v>0</v>
      </c>
      <c r="F4881" t="str">
        <f>"000960"</f>
        <v>0</v>
      </c>
      <c r="G4881" t="s">
        <v>21</v>
      </c>
    </row>
    <row r="4882" spans="1:7">
      <c r="A4882">
        <v>4881</v>
      </c>
      <c r="B4882" t="str">
        <f>"026109"</f>
        <v>0</v>
      </c>
      <c r="C4882" t="s">
        <v>837</v>
      </c>
      <c r="D4882" t="s">
        <v>8006</v>
      </c>
      <c r="E4882" t="str">
        <f>"3600700785484"</f>
        <v>0</v>
      </c>
      <c r="F4882" t="str">
        <f>"000960"</f>
        <v>0</v>
      </c>
      <c r="G4882" t="s">
        <v>21</v>
      </c>
    </row>
    <row r="4883" spans="1:7">
      <c r="A4883">
        <v>4882</v>
      </c>
      <c r="B4883" t="str">
        <f>"026205"</f>
        <v>0</v>
      </c>
      <c r="C4883" t="s">
        <v>1126</v>
      </c>
      <c r="D4883" t="s">
        <v>8007</v>
      </c>
      <c r="E4883" t="str">
        <f>"1601100177283"</f>
        <v>0</v>
      </c>
      <c r="F4883" t="str">
        <f>"000960"</f>
        <v>0</v>
      </c>
      <c r="G4883" t="s">
        <v>21</v>
      </c>
    </row>
    <row r="4884" spans="1:7">
      <c r="A4884">
        <v>4883</v>
      </c>
      <c r="B4884" t="str">
        <f>"026541"</f>
        <v>0</v>
      </c>
      <c r="C4884" t="s">
        <v>8008</v>
      </c>
      <c r="D4884" t="s">
        <v>8009</v>
      </c>
      <c r="E4884" t="str">
        <f>"1609900146657"</f>
        <v>0</v>
      </c>
      <c r="F4884" t="str">
        <f>"000960"</f>
        <v>0</v>
      </c>
      <c r="G4884" t="s">
        <v>21</v>
      </c>
    </row>
    <row r="4885" spans="1:7">
      <c r="A4885">
        <v>4884</v>
      </c>
      <c r="B4885" t="str">
        <f>"026716"</f>
        <v>0</v>
      </c>
      <c r="C4885" t="s">
        <v>6596</v>
      </c>
      <c r="D4885" t="s">
        <v>8010</v>
      </c>
      <c r="E4885" t="str">
        <f>"1609900238900"</f>
        <v>0</v>
      </c>
      <c r="F4885" t="str">
        <f>"000960"</f>
        <v>0</v>
      </c>
      <c r="G4885" t="s">
        <v>21</v>
      </c>
    </row>
    <row r="4886" spans="1:7">
      <c r="A4886">
        <v>4885</v>
      </c>
      <c r="B4886" t="str">
        <f>"026860"</f>
        <v>0</v>
      </c>
      <c r="C4886" t="s">
        <v>5792</v>
      </c>
      <c r="D4886" t="s">
        <v>8011</v>
      </c>
      <c r="E4886" t="str">
        <f>"3600900387300"</f>
        <v>0</v>
      </c>
      <c r="F4886" t="str">
        <f>"000960"</f>
        <v>0</v>
      </c>
      <c r="G4886" t="s">
        <v>21</v>
      </c>
    </row>
    <row r="4887" spans="1:7">
      <c r="A4887">
        <v>4886</v>
      </c>
      <c r="B4887" t="str">
        <f>"027023"</f>
        <v>0</v>
      </c>
      <c r="C4887" t="s">
        <v>8012</v>
      </c>
      <c r="D4887" t="s">
        <v>8013</v>
      </c>
      <c r="E4887" t="str">
        <f>"1609900220059"</f>
        <v>0</v>
      </c>
      <c r="F4887" t="str">
        <f>"000960"</f>
        <v>0</v>
      </c>
      <c r="G4887" t="s">
        <v>21</v>
      </c>
    </row>
    <row r="4888" spans="1:7">
      <c r="A4888">
        <v>4887</v>
      </c>
      <c r="B4888" t="str">
        <f>"027358"</f>
        <v>0</v>
      </c>
      <c r="C4888" t="s">
        <v>2648</v>
      </c>
      <c r="D4888" t="s">
        <v>8014</v>
      </c>
      <c r="E4888" t="str">
        <f>"1600100499204"</f>
        <v>0</v>
      </c>
      <c r="F4888" t="str">
        <f>"000960"</f>
        <v>0</v>
      </c>
      <c r="G4888" t="s">
        <v>21</v>
      </c>
    </row>
    <row r="4889" spans="1:7">
      <c r="A4889">
        <v>4888</v>
      </c>
      <c r="B4889" t="str">
        <f>"027360"</f>
        <v>0</v>
      </c>
      <c r="C4889" t="s">
        <v>4264</v>
      </c>
      <c r="D4889" t="s">
        <v>6303</v>
      </c>
      <c r="E4889" t="str">
        <f>"3600500533805"</f>
        <v>0</v>
      </c>
      <c r="F4889" t="str">
        <f>"000960"</f>
        <v>0</v>
      </c>
      <c r="G4889" t="s">
        <v>21</v>
      </c>
    </row>
    <row r="4890" spans="1:7">
      <c r="A4890">
        <v>4889</v>
      </c>
      <c r="B4890" t="str">
        <f>"027361"</f>
        <v>0</v>
      </c>
      <c r="C4890" t="s">
        <v>8015</v>
      </c>
      <c r="D4890" t="s">
        <v>8016</v>
      </c>
      <c r="E4890" t="str">
        <f>"1500400094243"</f>
        <v>0</v>
      </c>
      <c r="F4890" t="str">
        <f>"000960"</f>
        <v>0</v>
      </c>
      <c r="G4890" t="s">
        <v>21</v>
      </c>
    </row>
    <row r="4891" spans="1:7">
      <c r="A4891">
        <v>4890</v>
      </c>
      <c r="B4891" t="str">
        <f>"022894"</f>
        <v>0</v>
      </c>
      <c r="C4891" t="s">
        <v>8017</v>
      </c>
      <c r="D4891" t="s">
        <v>8018</v>
      </c>
      <c r="E4891" t="str">
        <f>"3610400253533"</f>
        <v>0</v>
      </c>
      <c r="F4891" t="str">
        <f>"000960"</f>
        <v>0</v>
      </c>
      <c r="G4891" t="s">
        <v>21</v>
      </c>
    </row>
    <row r="4892" spans="1:7">
      <c r="A4892">
        <v>4891</v>
      </c>
      <c r="B4892" t="str">
        <f>"025276"</f>
        <v>0</v>
      </c>
      <c r="C4892" t="s">
        <v>8019</v>
      </c>
      <c r="D4892" t="s">
        <v>8020</v>
      </c>
      <c r="E4892" t="str">
        <f>"1619900019027"</f>
        <v>0</v>
      </c>
      <c r="F4892" t="str">
        <f>"000960"</f>
        <v>0</v>
      </c>
      <c r="G4892" t="s">
        <v>21</v>
      </c>
    </row>
    <row r="4893" spans="1:7">
      <c r="A4893">
        <v>4892</v>
      </c>
      <c r="B4893" t="str">
        <f>"026346"</f>
        <v>0</v>
      </c>
      <c r="C4893" t="s">
        <v>8021</v>
      </c>
      <c r="D4893" t="s">
        <v>8022</v>
      </c>
      <c r="E4893" t="str">
        <f>"3610300039696"</f>
        <v>0</v>
      </c>
      <c r="F4893" t="str">
        <f>"000960"</f>
        <v>0</v>
      </c>
      <c r="G4893" t="s">
        <v>21</v>
      </c>
    </row>
    <row r="4894" spans="1:7">
      <c r="A4894">
        <v>4893</v>
      </c>
      <c r="B4894" t="str">
        <f>"026607"</f>
        <v>0</v>
      </c>
      <c r="C4894" t="s">
        <v>8023</v>
      </c>
      <c r="D4894" t="s">
        <v>8024</v>
      </c>
      <c r="E4894" t="str">
        <f>"1620500124445"</f>
        <v>0</v>
      </c>
      <c r="F4894" t="str">
        <f>"000960"</f>
        <v>0</v>
      </c>
      <c r="G4894" t="s">
        <v>21</v>
      </c>
    </row>
    <row r="4895" spans="1:7">
      <c r="A4895">
        <v>4894</v>
      </c>
      <c r="B4895" t="str">
        <f>"026715"</f>
        <v>0</v>
      </c>
      <c r="C4895" t="s">
        <v>8025</v>
      </c>
      <c r="D4895" t="s">
        <v>8026</v>
      </c>
      <c r="E4895" t="str">
        <f>"1640100212916"</f>
        <v>0</v>
      </c>
      <c r="F4895" t="str">
        <f>"000960"</f>
        <v>0</v>
      </c>
      <c r="G4895" t="s">
        <v>21</v>
      </c>
    </row>
    <row r="4896" spans="1:7">
      <c r="A4896">
        <v>4895</v>
      </c>
      <c r="B4896" t="str">
        <f>"025906"</f>
        <v>0</v>
      </c>
      <c r="C4896" t="s">
        <v>5650</v>
      </c>
      <c r="D4896" t="s">
        <v>8027</v>
      </c>
      <c r="E4896" t="str">
        <f>"1640600187805"</f>
        <v>0</v>
      </c>
      <c r="F4896" t="str">
        <f>"000960"</f>
        <v>0</v>
      </c>
      <c r="G4896" t="s">
        <v>21</v>
      </c>
    </row>
    <row r="4897" spans="1:7">
      <c r="A4897">
        <v>4896</v>
      </c>
      <c r="B4897" t="str">
        <f>"012294"</f>
        <v>0</v>
      </c>
      <c r="C4897" t="s">
        <v>8028</v>
      </c>
      <c r="D4897" t="s">
        <v>8029</v>
      </c>
      <c r="E4897" t="str">
        <f>"3650100679926"</f>
        <v>0</v>
      </c>
      <c r="F4897" t="str">
        <f>"000960"</f>
        <v>0</v>
      </c>
      <c r="G4897" t="s">
        <v>21</v>
      </c>
    </row>
    <row r="4898" spans="1:7">
      <c r="A4898">
        <v>4897</v>
      </c>
      <c r="B4898" t="str">
        <f>"025213"</f>
        <v>0</v>
      </c>
      <c r="C4898" t="s">
        <v>8030</v>
      </c>
      <c r="D4898" t="s">
        <v>8031</v>
      </c>
      <c r="E4898" t="str">
        <f>"1650900076642"</f>
        <v>0</v>
      </c>
      <c r="F4898" t="str">
        <f>"000960"</f>
        <v>0</v>
      </c>
      <c r="G4898" t="s">
        <v>21</v>
      </c>
    </row>
    <row r="4899" spans="1:7">
      <c r="A4899">
        <v>4898</v>
      </c>
      <c r="B4899" t="str">
        <f>"027359"</f>
        <v>0</v>
      </c>
      <c r="C4899" t="s">
        <v>8032</v>
      </c>
      <c r="D4899" t="s">
        <v>8033</v>
      </c>
      <c r="E4899" t="str">
        <f>"1659900524457"</f>
        <v>0</v>
      </c>
      <c r="F4899" t="str">
        <f>"000960"</f>
        <v>0</v>
      </c>
      <c r="G4899" t="s">
        <v>21</v>
      </c>
    </row>
    <row r="4900" spans="1:7">
      <c r="A4900">
        <v>4899</v>
      </c>
      <c r="B4900" t="str">
        <f>"027464"</f>
        <v>0</v>
      </c>
      <c r="C4900" t="s">
        <v>8034</v>
      </c>
      <c r="D4900" t="s">
        <v>8035</v>
      </c>
      <c r="E4900" t="str">
        <f>"1659900564491"</f>
        <v>0</v>
      </c>
      <c r="F4900" t="str">
        <f>"000960"</f>
        <v>0</v>
      </c>
      <c r="G4900" t="s">
        <v>21</v>
      </c>
    </row>
    <row r="4901" spans="1:7">
      <c r="A4901">
        <v>4900</v>
      </c>
      <c r="B4901" t="str">
        <f>"009468"</f>
        <v>0</v>
      </c>
      <c r="C4901" t="s">
        <v>2558</v>
      </c>
      <c r="D4901" t="s">
        <v>8036</v>
      </c>
      <c r="E4901" t="str">
        <f>"3540100185827"</f>
        <v>0</v>
      </c>
      <c r="F4901" t="str">
        <f>"000960"</f>
        <v>0</v>
      </c>
      <c r="G4901" t="s">
        <v>21</v>
      </c>
    </row>
    <row r="4902" spans="1:7">
      <c r="A4902">
        <v>4901</v>
      </c>
      <c r="B4902" t="str">
        <f>"018845"</f>
        <v>0</v>
      </c>
      <c r="C4902" t="s">
        <v>8037</v>
      </c>
      <c r="D4902" t="s">
        <v>8038</v>
      </c>
      <c r="E4902" t="str">
        <f>"3609900329987"</f>
        <v>0</v>
      </c>
      <c r="F4902" t="str">
        <f>"000960"</f>
        <v>0</v>
      </c>
      <c r="G4902" t="s">
        <v>21</v>
      </c>
    </row>
    <row r="4903" spans="1:7">
      <c r="A4903">
        <v>4902</v>
      </c>
      <c r="B4903" t="str">
        <f>"021514"</f>
        <v>0</v>
      </c>
      <c r="C4903" t="s">
        <v>8039</v>
      </c>
      <c r="D4903" t="s">
        <v>8040</v>
      </c>
      <c r="E4903" t="str">
        <f>"3659900207971"</f>
        <v>0</v>
      </c>
      <c r="F4903" t="str">
        <f>"000960"</f>
        <v>0</v>
      </c>
      <c r="G4903" t="s">
        <v>21</v>
      </c>
    </row>
    <row r="4904" spans="1:7">
      <c r="A4904">
        <v>4903</v>
      </c>
      <c r="B4904" t="str">
        <f>"024412"</f>
        <v>0</v>
      </c>
      <c r="C4904" t="s">
        <v>8041</v>
      </c>
      <c r="D4904" t="s">
        <v>8042</v>
      </c>
      <c r="E4904" t="str">
        <f>"3660400528257"</f>
        <v>0</v>
      </c>
      <c r="F4904" t="str">
        <f>"000960"</f>
        <v>0</v>
      </c>
      <c r="G4904" t="s">
        <v>21</v>
      </c>
    </row>
    <row r="4905" spans="1:7">
      <c r="A4905">
        <v>4904</v>
      </c>
      <c r="B4905" t="str">
        <f>"025428"</f>
        <v>0</v>
      </c>
      <c r="C4905" t="s">
        <v>8043</v>
      </c>
      <c r="D4905" t="s">
        <v>8044</v>
      </c>
      <c r="E4905" t="str">
        <f>"5671000010223"</f>
        <v>0</v>
      </c>
      <c r="F4905" t="str">
        <f>"000960"</f>
        <v>0</v>
      </c>
      <c r="G4905" t="s">
        <v>21</v>
      </c>
    </row>
    <row r="4906" spans="1:7">
      <c r="A4906">
        <v>4905</v>
      </c>
      <c r="B4906" t="str">
        <f>"025535"</f>
        <v>0</v>
      </c>
      <c r="C4906" t="s">
        <v>8045</v>
      </c>
      <c r="D4906" t="s">
        <v>8046</v>
      </c>
      <c r="E4906" t="str">
        <f>"1670300122198"</f>
        <v>0</v>
      </c>
      <c r="F4906" t="str">
        <f>"000960"</f>
        <v>0</v>
      </c>
      <c r="G4906" t="s">
        <v>21</v>
      </c>
    </row>
    <row r="4907" spans="1:7">
      <c r="A4907">
        <v>4906</v>
      </c>
      <c r="B4907" t="str">
        <f>"026232"</f>
        <v>0</v>
      </c>
      <c r="C4907" t="s">
        <v>1070</v>
      </c>
      <c r="D4907" t="s">
        <v>8047</v>
      </c>
      <c r="E4907" t="str">
        <f>"3301200985241"</f>
        <v>0</v>
      </c>
      <c r="F4907" t="str">
        <f>"000960"</f>
        <v>0</v>
      </c>
      <c r="G4907" t="s">
        <v>21</v>
      </c>
    </row>
    <row r="4908" spans="1:7">
      <c r="A4908">
        <v>4907</v>
      </c>
      <c r="B4908" t="str">
        <f>"002020"</f>
        <v>0</v>
      </c>
      <c r="C4908" t="s">
        <v>7249</v>
      </c>
      <c r="D4908" t="s">
        <v>8048</v>
      </c>
      <c r="E4908" t="str">
        <f>"5550500499736"</f>
        <v>0</v>
      </c>
      <c r="F4908" t="str">
        <f>"000980"</f>
        <v>0</v>
      </c>
      <c r="G4908" t="s">
        <v>21</v>
      </c>
    </row>
    <row r="4909" spans="1:7">
      <c r="A4909">
        <v>4908</v>
      </c>
      <c r="B4909" t="str">
        <f>"002228"</f>
        <v>0</v>
      </c>
      <c r="C4909" t="s">
        <v>1735</v>
      </c>
      <c r="D4909" t="s">
        <v>5628</v>
      </c>
      <c r="E4909" t="str">
        <f>"3650100955125"</f>
        <v>0</v>
      </c>
      <c r="F4909" t="str">
        <f>"000980"</f>
        <v>0</v>
      </c>
      <c r="G4909" t="s">
        <v>21</v>
      </c>
    </row>
    <row r="4910" spans="1:7">
      <c r="A4910">
        <v>4909</v>
      </c>
      <c r="B4910" t="str">
        <f>"002564"</f>
        <v>0</v>
      </c>
      <c r="C4910" t="s">
        <v>8049</v>
      </c>
      <c r="D4910" t="s">
        <v>8050</v>
      </c>
      <c r="E4910" t="str">
        <f>"3559900130022"</f>
        <v>0</v>
      </c>
      <c r="F4910" t="str">
        <f>"000980"</f>
        <v>0</v>
      </c>
      <c r="G4910" t="s">
        <v>21</v>
      </c>
    </row>
    <row r="4911" spans="1:7">
      <c r="A4911">
        <v>4910</v>
      </c>
      <c r="B4911" t="str">
        <f>"003141"</f>
        <v>0</v>
      </c>
      <c r="C4911" t="s">
        <v>2607</v>
      </c>
      <c r="D4911" t="s">
        <v>8051</v>
      </c>
      <c r="E4911" t="str">
        <f>"3550700417532"</f>
        <v>0</v>
      </c>
      <c r="F4911" t="str">
        <f>"000980"</f>
        <v>0</v>
      </c>
      <c r="G4911" t="s">
        <v>21</v>
      </c>
    </row>
    <row r="4912" spans="1:7">
      <c r="A4912">
        <v>4911</v>
      </c>
      <c r="B4912" t="str">
        <f>"004119"</f>
        <v>0</v>
      </c>
      <c r="C4912" t="s">
        <v>2349</v>
      </c>
      <c r="D4912" t="s">
        <v>8052</v>
      </c>
      <c r="E4912" t="str">
        <f>"3559900201418"</f>
        <v>0</v>
      </c>
      <c r="F4912" t="str">
        <f>"000980"</f>
        <v>0</v>
      </c>
      <c r="G4912" t="s">
        <v>21</v>
      </c>
    </row>
    <row r="4913" spans="1:7">
      <c r="A4913">
        <v>4912</v>
      </c>
      <c r="B4913" t="str">
        <f>"005136"</f>
        <v>0</v>
      </c>
      <c r="C4913" t="s">
        <v>6315</v>
      </c>
      <c r="D4913" t="s">
        <v>8053</v>
      </c>
      <c r="E4913" t="str">
        <f>"3550600032442"</f>
        <v>0</v>
      </c>
      <c r="F4913" t="str">
        <f>"000980"</f>
        <v>0</v>
      </c>
      <c r="G4913" t="s">
        <v>21</v>
      </c>
    </row>
    <row r="4914" spans="1:7">
      <c r="A4914">
        <v>4913</v>
      </c>
      <c r="B4914" t="str">
        <f>"005435"</f>
        <v>0</v>
      </c>
      <c r="C4914" t="s">
        <v>250</v>
      </c>
      <c r="D4914" t="s">
        <v>8054</v>
      </c>
      <c r="E4914" t="str">
        <f>"3650101259441"</f>
        <v>0</v>
      </c>
      <c r="F4914" t="str">
        <f>"000980"</f>
        <v>0</v>
      </c>
      <c r="G4914" t="s">
        <v>21</v>
      </c>
    </row>
    <row r="4915" spans="1:7">
      <c r="A4915">
        <v>4914</v>
      </c>
      <c r="B4915" t="str">
        <f>"006406"</f>
        <v>0</v>
      </c>
      <c r="C4915" t="s">
        <v>4614</v>
      </c>
      <c r="D4915" t="s">
        <v>8055</v>
      </c>
      <c r="E4915" t="str">
        <f>"3570500251754"</f>
        <v>0</v>
      </c>
      <c r="F4915" t="str">
        <f>"000980"</f>
        <v>0</v>
      </c>
      <c r="G4915" t="s">
        <v>21</v>
      </c>
    </row>
    <row r="4916" spans="1:7">
      <c r="A4916">
        <v>4915</v>
      </c>
      <c r="B4916" t="str">
        <f>"006795"</f>
        <v>0</v>
      </c>
      <c r="C4916" t="s">
        <v>4305</v>
      </c>
      <c r="D4916" t="s">
        <v>8056</v>
      </c>
      <c r="E4916" t="str">
        <f>"3559900144171"</f>
        <v>0</v>
      </c>
      <c r="F4916" t="str">
        <f>"000980"</f>
        <v>0</v>
      </c>
      <c r="G4916" t="s">
        <v>21</v>
      </c>
    </row>
    <row r="4917" spans="1:7">
      <c r="A4917">
        <v>4916</v>
      </c>
      <c r="B4917" t="str">
        <f>"006800"</f>
        <v>0</v>
      </c>
      <c r="C4917" t="s">
        <v>8057</v>
      </c>
      <c r="D4917" t="s">
        <v>8058</v>
      </c>
      <c r="E4917" t="str">
        <f>"3550100477992"</f>
        <v>0</v>
      </c>
      <c r="F4917" t="str">
        <f>"000980"</f>
        <v>0</v>
      </c>
      <c r="G4917" t="s">
        <v>21</v>
      </c>
    </row>
    <row r="4918" spans="1:7">
      <c r="A4918">
        <v>4917</v>
      </c>
      <c r="B4918" t="str">
        <f>"007081"</f>
        <v>0</v>
      </c>
      <c r="C4918" t="s">
        <v>3023</v>
      </c>
      <c r="D4918" t="s">
        <v>8059</v>
      </c>
      <c r="E4918" t="str">
        <f>"3550500602441"</f>
        <v>0</v>
      </c>
      <c r="F4918" t="str">
        <f>"000980"</f>
        <v>0</v>
      </c>
      <c r="G4918" t="s">
        <v>21</v>
      </c>
    </row>
    <row r="4919" spans="1:7">
      <c r="A4919">
        <v>4918</v>
      </c>
      <c r="B4919" t="str">
        <f>"007231"</f>
        <v>0</v>
      </c>
      <c r="C4919" t="s">
        <v>8060</v>
      </c>
      <c r="D4919" t="s">
        <v>8061</v>
      </c>
      <c r="E4919" t="str">
        <f>"3640300007212"</f>
        <v>0</v>
      </c>
      <c r="F4919" t="str">
        <f>"000980"</f>
        <v>0</v>
      </c>
      <c r="G4919" t="s">
        <v>21</v>
      </c>
    </row>
    <row r="4920" spans="1:7">
      <c r="A4920">
        <v>4919</v>
      </c>
      <c r="B4920" t="str">
        <f>"007340"</f>
        <v>0</v>
      </c>
      <c r="C4920" t="s">
        <v>8062</v>
      </c>
      <c r="D4920" t="s">
        <v>8063</v>
      </c>
      <c r="E4920" t="str">
        <f>"3550500051437"</f>
        <v>0</v>
      </c>
      <c r="F4920" t="str">
        <f>"000980"</f>
        <v>0</v>
      </c>
      <c r="G4920" t="s">
        <v>21</v>
      </c>
    </row>
    <row r="4921" spans="1:7">
      <c r="A4921">
        <v>4920</v>
      </c>
      <c r="B4921" t="str">
        <f>"007528"</f>
        <v>0</v>
      </c>
      <c r="C4921" t="s">
        <v>8064</v>
      </c>
      <c r="D4921" t="s">
        <v>8065</v>
      </c>
      <c r="E4921" t="str">
        <f>"3579900322347"</f>
        <v>0</v>
      </c>
      <c r="F4921" t="str">
        <f>"000980"</f>
        <v>0</v>
      </c>
      <c r="G4921" t="s">
        <v>21</v>
      </c>
    </row>
    <row r="4922" spans="1:7">
      <c r="A4922">
        <v>4921</v>
      </c>
      <c r="B4922" t="str">
        <f>"007645"</f>
        <v>0</v>
      </c>
      <c r="C4922" t="s">
        <v>4444</v>
      </c>
      <c r="D4922" t="s">
        <v>8066</v>
      </c>
      <c r="E4922" t="str">
        <f>"3471100007556"</f>
        <v>0</v>
      </c>
      <c r="F4922" t="str">
        <f>"000980"</f>
        <v>0</v>
      </c>
      <c r="G4922" t="s">
        <v>21</v>
      </c>
    </row>
    <row r="4923" spans="1:7">
      <c r="A4923">
        <v>4922</v>
      </c>
      <c r="B4923" t="str">
        <f>"007872"</f>
        <v>0</v>
      </c>
      <c r="C4923" t="s">
        <v>8067</v>
      </c>
      <c r="D4923" t="s">
        <v>8068</v>
      </c>
      <c r="E4923" t="str">
        <f>"3550500024839"</f>
        <v>0</v>
      </c>
      <c r="F4923" t="str">
        <f>"000980"</f>
        <v>0</v>
      </c>
      <c r="G4923" t="s">
        <v>21</v>
      </c>
    </row>
    <row r="4924" spans="1:7">
      <c r="A4924">
        <v>4923</v>
      </c>
      <c r="B4924" t="str">
        <f>"008693"</f>
        <v>0</v>
      </c>
      <c r="C4924" t="s">
        <v>4838</v>
      </c>
      <c r="D4924" t="s">
        <v>8069</v>
      </c>
      <c r="E4924" t="str">
        <f>"5670200011761"</f>
        <v>0</v>
      </c>
      <c r="F4924" t="str">
        <f>"000980"</f>
        <v>0</v>
      </c>
      <c r="G4924" t="s">
        <v>21</v>
      </c>
    </row>
    <row r="4925" spans="1:7">
      <c r="A4925">
        <v>4924</v>
      </c>
      <c r="B4925" t="str">
        <f>"008816"</f>
        <v>0</v>
      </c>
      <c r="C4925" t="s">
        <v>8070</v>
      </c>
      <c r="D4925" t="s">
        <v>8071</v>
      </c>
      <c r="E4925" t="str">
        <f>"3550700063757"</f>
        <v>0</v>
      </c>
      <c r="F4925" t="str">
        <f>"000980"</f>
        <v>0</v>
      </c>
      <c r="G4925" t="s">
        <v>21</v>
      </c>
    </row>
    <row r="4926" spans="1:7">
      <c r="A4926">
        <v>4925</v>
      </c>
      <c r="B4926" t="str">
        <f>"009231"</f>
        <v>0</v>
      </c>
      <c r="C4926" t="s">
        <v>2103</v>
      </c>
      <c r="D4926" t="s">
        <v>8072</v>
      </c>
      <c r="E4926" t="str">
        <f>"3550700333576"</f>
        <v>0</v>
      </c>
      <c r="F4926" t="str">
        <f>"000980"</f>
        <v>0</v>
      </c>
      <c r="G4926" t="s">
        <v>21</v>
      </c>
    </row>
    <row r="4927" spans="1:7">
      <c r="A4927">
        <v>4926</v>
      </c>
      <c r="B4927" t="str">
        <f>"009601"</f>
        <v>0</v>
      </c>
      <c r="C4927" t="s">
        <v>1878</v>
      </c>
      <c r="D4927" t="s">
        <v>8073</v>
      </c>
      <c r="E4927" t="str">
        <f>"3559900207530"</f>
        <v>0</v>
      </c>
      <c r="F4927" t="str">
        <f>"000980"</f>
        <v>0</v>
      </c>
      <c r="G4927" t="s">
        <v>21</v>
      </c>
    </row>
    <row r="4928" spans="1:7">
      <c r="A4928">
        <v>4927</v>
      </c>
      <c r="B4928" t="str">
        <f>"010512"</f>
        <v>0</v>
      </c>
      <c r="C4928" t="s">
        <v>8074</v>
      </c>
      <c r="D4928" t="s">
        <v>8075</v>
      </c>
      <c r="E4928" t="str">
        <f>"3550300032960"</f>
        <v>0</v>
      </c>
      <c r="F4928" t="str">
        <f>"000980"</f>
        <v>0</v>
      </c>
      <c r="G4928" t="s">
        <v>21</v>
      </c>
    </row>
    <row r="4929" spans="1:7">
      <c r="A4929">
        <v>4928</v>
      </c>
      <c r="B4929" t="str">
        <f>"010870"</f>
        <v>0</v>
      </c>
      <c r="C4929" t="s">
        <v>167</v>
      </c>
      <c r="D4929" t="s">
        <v>8076</v>
      </c>
      <c r="E4929" t="str">
        <f>"3550700054359"</f>
        <v>0</v>
      </c>
      <c r="F4929" t="str">
        <f>"000980"</f>
        <v>0</v>
      </c>
      <c r="G4929" t="s">
        <v>21</v>
      </c>
    </row>
    <row r="4930" spans="1:7">
      <c r="A4930">
        <v>4929</v>
      </c>
      <c r="B4930" t="str">
        <f>"010908"</f>
        <v>0</v>
      </c>
      <c r="C4930" t="s">
        <v>7795</v>
      </c>
      <c r="D4930" t="s">
        <v>8077</v>
      </c>
      <c r="E4930" t="str">
        <f>"3350500263142"</f>
        <v>0</v>
      </c>
      <c r="F4930" t="str">
        <f>"000980"</f>
        <v>0</v>
      </c>
      <c r="G4930" t="s">
        <v>21</v>
      </c>
    </row>
    <row r="4931" spans="1:7">
      <c r="A4931">
        <v>4930</v>
      </c>
      <c r="B4931" t="str">
        <f>"011220"</f>
        <v>0</v>
      </c>
      <c r="C4931" t="s">
        <v>8078</v>
      </c>
      <c r="D4931" t="s">
        <v>8079</v>
      </c>
      <c r="E4931" t="str">
        <f>"3550900239352"</f>
        <v>0</v>
      </c>
      <c r="F4931" t="str">
        <f>"000980"</f>
        <v>0</v>
      </c>
      <c r="G4931" t="s">
        <v>21</v>
      </c>
    </row>
    <row r="4932" spans="1:7">
      <c r="A4932">
        <v>4931</v>
      </c>
      <c r="B4932" t="str">
        <f>"011627"</f>
        <v>0</v>
      </c>
      <c r="C4932" t="s">
        <v>130</v>
      </c>
      <c r="D4932" t="s">
        <v>8080</v>
      </c>
      <c r="E4932" t="str">
        <f>"3550700131876"</f>
        <v>0</v>
      </c>
      <c r="F4932" t="str">
        <f>"000980"</f>
        <v>0</v>
      </c>
      <c r="G4932" t="s">
        <v>21</v>
      </c>
    </row>
    <row r="4933" spans="1:7">
      <c r="A4933">
        <v>4932</v>
      </c>
      <c r="B4933" t="str">
        <f>"012199"</f>
        <v>0</v>
      </c>
      <c r="C4933" t="s">
        <v>8081</v>
      </c>
      <c r="D4933" t="s">
        <v>8082</v>
      </c>
      <c r="E4933" t="str">
        <f>"3550100155219"</f>
        <v>0</v>
      </c>
      <c r="F4933" t="str">
        <f>"000980"</f>
        <v>0</v>
      </c>
      <c r="G4933" t="s">
        <v>21</v>
      </c>
    </row>
    <row r="4934" spans="1:7">
      <c r="A4934">
        <v>4933</v>
      </c>
      <c r="B4934" t="str">
        <f>"012424"</f>
        <v>0</v>
      </c>
      <c r="C4934" t="s">
        <v>8083</v>
      </c>
      <c r="D4934" t="s">
        <v>8084</v>
      </c>
      <c r="E4934" t="str">
        <f>"3559900200811"</f>
        <v>0</v>
      </c>
      <c r="F4934" t="str">
        <f>"000980"</f>
        <v>0</v>
      </c>
      <c r="G4934" t="s">
        <v>21</v>
      </c>
    </row>
    <row r="4935" spans="1:7">
      <c r="A4935">
        <v>4934</v>
      </c>
      <c r="B4935" t="str">
        <f>"012571"</f>
        <v>0</v>
      </c>
      <c r="C4935" t="s">
        <v>5112</v>
      </c>
      <c r="D4935" t="s">
        <v>7919</v>
      </c>
      <c r="E4935" t="str">
        <f>"3559900087801"</f>
        <v>0</v>
      </c>
      <c r="F4935" t="str">
        <f>"000980"</f>
        <v>0</v>
      </c>
      <c r="G4935" t="s">
        <v>21</v>
      </c>
    </row>
    <row r="4936" spans="1:7">
      <c r="A4936">
        <v>4935</v>
      </c>
      <c r="B4936" t="str">
        <f>"012572"</f>
        <v>0</v>
      </c>
      <c r="C4936" t="s">
        <v>8085</v>
      </c>
      <c r="D4936" t="s">
        <v>8086</v>
      </c>
      <c r="E4936" t="str">
        <f>"3550400111926"</f>
        <v>0</v>
      </c>
      <c r="F4936" t="str">
        <f>"000980"</f>
        <v>0</v>
      </c>
      <c r="G4936" t="s">
        <v>21</v>
      </c>
    </row>
    <row r="4937" spans="1:7">
      <c r="A4937">
        <v>4936</v>
      </c>
      <c r="B4937" t="str">
        <f>"012574"</f>
        <v>0</v>
      </c>
      <c r="C4937" t="s">
        <v>1271</v>
      </c>
      <c r="D4937" t="s">
        <v>8087</v>
      </c>
      <c r="E4937" t="str">
        <f>"3551000033694"</f>
        <v>0</v>
      </c>
      <c r="F4937" t="str">
        <f>"000980"</f>
        <v>0</v>
      </c>
      <c r="G4937" t="s">
        <v>21</v>
      </c>
    </row>
    <row r="4938" spans="1:7">
      <c r="A4938">
        <v>4937</v>
      </c>
      <c r="B4938" t="str">
        <f>"012898"</f>
        <v>0</v>
      </c>
      <c r="C4938" t="s">
        <v>8088</v>
      </c>
      <c r="D4938" t="s">
        <v>8089</v>
      </c>
      <c r="E4938" t="str">
        <f>"3550500105782"</f>
        <v>0</v>
      </c>
      <c r="F4938" t="str">
        <f>"000980"</f>
        <v>0</v>
      </c>
      <c r="G4938" t="s">
        <v>21</v>
      </c>
    </row>
    <row r="4939" spans="1:7">
      <c r="A4939">
        <v>4938</v>
      </c>
      <c r="B4939" t="str">
        <f>"013029"</f>
        <v>0</v>
      </c>
      <c r="C4939" t="s">
        <v>2655</v>
      </c>
      <c r="D4939" t="s">
        <v>8069</v>
      </c>
      <c r="E4939" t="str">
        <f>"3521200049705"</f>
        <v>0</v>
      </c>
      <c r="F4939" t="str">
        <f>"000980"</f>
        <v>0</v>
      </c>
      <c r="G4939" t="s">
        <v>21</v>
      </c>
    </row>
    <row r="4940" spans="1:7">
      <c r="A4940">
        <v>4939</v>
      </c>
      <c r="B4940" t="str">
        <f>"013430"</f>
        <v>0</v>
      </c>
      <c r="C4940" t="s">
        <v>46</v>
      </c>
      <c r="D4940" t="s">
        <v>8090</v>
      </c>
      <c r="E4940" t="str">
        <f>"3550700322124"</f>
        <v>0</v>
      </c>
      <c r="F4940" t="str">
        <f>"000980"</f>
        <v>0</v>
      </c>
      <c r="G4940" t="s">
        <v>21</v>
      </c>
    </row>
    <row r="4941" spans="1:7">
      <c r="A4941">
        <v>4940</v>
      </c>
      <c r="B4941" t="str">
        <f>"013912"</f>
        <v>0</v>
      </c>
      <c r="C4941" t="s">
        <v>4081</v>
      </c>
      <c r="D4941" t="s">
        <v>8091</v>
      </c>
      <c r="E4941" t="str">
        <f>"3550100430457"</f>
        <v>0</v>
      </c>
      <c r="F4941" t="str">
        <f>"000980"</f>
        <v>0</v>
      </c>
      <c r="G4941" t="s">
        <v>21</v>
      </c>
    </row>
    <row r="4942" spans="1:7">
      <c r="A4942">
        <v>4941</v>
      </c>
      <c r="B4942" t="str">
        <f>"014249"</f>
        <v>0</v>
      </c>
      <c r="C4942" t="s">
        <v>4484</v>
      </c>
      <c r="D4942" t="s">
        <v>8092</v>
      </c>
      <c r="E4942" t="str">
        <f>"5550500582251"</f>
        <v>0</v>
      </c>
      <c r="F4942" t="str">
        <f>"000980"</f>
        <v>0</v>
      </c>
      <c r="G4942" t="s">
        <v>21</v>
      </c>
    </row>
    <row r="4943" spans="1:7">
      <c r="A4943">
        <v>4942</v>
      </c>
      <c r="B4943" t="str">
        <f>"015911"</f>
        <v>0</v>
      </c>
      <c r="C4943" t="s">
        <v>8093</v>
      </c>
      <c r="D4943" t="s">
        <v>8094</v>
      </c>
      <c r="E4943" t="str">
        <f>"3559900053869"</f>
        <v>0</v>
      </c>
      <c r="F4943" t="str">
        <f>"000980"</f>
        <v>0</v>
      </c>
      <c r="G4943" t="s">
        <v>21</v>
      </c>
    </row>
    <row r="4944" spans="1:7">
      <c r="A4944">
        <v>4943</v>
      </c>
      <c r="B4944" t="str">
        <f>"018307"</f>
        <v>0</v>
      </c>
      <c r="C4944" t="s">
        <v>4903</v>
      </c>
      <c r="D4944" t="s">
        <v>8095</v>
      </c>
      <c r="E4944" t="str">
        <f>"3550300059027"</f>
        <v>0</v>
      </c>
      <c r="F4944" t="str">
        <f>"000980"</f>
        <v>0</v>
      </c>
      <c r="G4944" t="s">
        <v>21</v>
      </c>
    </row>
    <row r="4945" spans="1:7">
      <c r="A4945">
        <v>4944</v>
      </c>
      <c r="B4945" t="str">
        <f>"018773"</f>
        <v>0</v>
      </c>
      <c r="C4945" t="s">
        <v>8096</v>
      </c>
      <c r="D4945" t="s">
        <v>8097</v>
      </c>
      <c r="E4945" t="str">
        <f>"3460400013305"</f>
        <v>0</v>
      </c>
      <c r="F4945" t="str">
        <f>"000980"</f>
        <v>0</v>
      </c>
      <c r="G4945" t="s">
        <v>21</v>
      </c>
    </row>
    <row r="4946" spans="1:7">
      <c r="A4946">
        <v>4945</v>
      </c>
      <c r="B4946" t="str">
        <f>"022433"</f>
        <v>0</v>
      </c>
      <c r="C4946" t="s">
        <v>8098</v>
      </c>
      <c r="D4946" t="s">
        <v>8099</v>
      </c>
      <c r="E4946" t="str">
        <f>"3559900198832"</f>
        <v>0</v>
      </c>
      <c r="F4946" t="str">
        <f>"000980"</f>
        <v>0</v>
      </c>
      <c r="G4946" t="s">
        <v>21</v>
      </c>
    </row>
    <row r="4947" spans="1:7">
      <c r="A4947">
        <v>4946</v>
      </c>
      <c r="B4947" t="str">
        <f>"023212"</f>
        <v>0</v>
      </c>
      <c r="C4947" t="s">
        <v>8100</v>
      </c>
      <c r="D4947" t="s">
        <v>8101</v>
      </c>
      <c r="E4947" t="str">
        <f>"3550100352936"</f>
        <v>0</v>
      </c>
      <c r="F4947" t="str">
        <f>"000980"</f>
        <v>0</v>
      </c>
      <c r="G4947" t="s">
        <v>21</v>
      </c>
    </row>
    <row r="4948" spans="1:7">
      <c r="A4948">
        <v>4947</v>
      </c>
      <c r="B4948" t="str">
        <f>"023229"</f>
        <v>0</v>
      </c>
      <c r="C4948" t="s">
        <v>8102</v>
      </c>
      <c r="D4948" t="s">
        <v>8103</v>
      </c>
      <c r="E4948" t="str">
        <f>"3550100700781"</f>
        <v>0</v>
      </c>
      <c r="F4948" t="str">
        <f>"000980"</f>
        <v>0</v>
      </c>
      <c r="G4948" t="s">
        <v>21</v>
      </c>
    </row>
    <row r="4949" spans="1:7">
      <c r="A4949">
        <v>4948</v>
      </c>
      <c r="B4949" t="str">
        <f>"023246"</f>
        <v>0</v>
      </c>
      <c r="C4949" t="s">
        <v>8104</v>
      </c>
      <c r="D4949" t="s">
        <v>8105</v>
      </c>
      <c r="E4949" t="str">
        <f>"3559900166442"</f>
        <v>0</v>
      </c>
      <c r="F4949" t="str">
        <f>"000980"</f>
        <v>0</v>
      </c>
      <c r="G4949" t="s">
        <v>21</v>
      </c>
    </row>
    <row r="4950" spans="1:7">
      <c r="A4950">
        <v>4949</v>
      </c>
      <c r="B4950" t="str">
        <f>"024585"</f>
        <v>0</v>
      </c>
      <c r="C4950" t="s">
        <v>8106</v>
      </c>
      <c r="D4950" t="s">
        <v>8107</v>
      </c>
      <c r="E4950" t="str">
        <f>"3559900202899"</f>
        <v>0</v>
      </c>
      <c r="F4950" t="str">
        <f>"000980"</f>
        <v>0</v>
      </c>
      <c r="G4950" t="s">
        <v>21</v>
      </c>
    </row>
    <row r="4951" spans="1:7">
      <c r="A4951">
        <v>4950</v>
      </c>
      <c r="B4951" t="str">
        <f>"027298"</f>
        <v>0</v>
      </c>
      <c r="C4951" t="s">
        <v>8108</v>
      </c>
      <c r="D4951" t="s">
        <v>8109</v>
      </c>
      <c r="E4951" t="str">
        <f>"3600500202744"</f>
        <v>0</v>
      </c>
      <c r="F4951" t="str">
        <f>"000980"</f>
        <v>0</v>
      </c>
      <c r="G4951" t="s">
        <v>21</v>
      </c>
    </row>
    <row r="4952" spans="1:7">
      <c r="A4952">
        <v>4951</v>
      </c>
      <c r="B4952" t="str">
        <f>"027449"</f>
        <v>0</v>
      </c>
      <c r="C4952" t="s">
        <v>8110</v>
      </c>
      <c r="D4952" t="s">
        <v>8111</v>
      </c>
      <c r="E4952" t="str">
        <f>"3540400667908"</f>
        <v>0</v>
      </c>
      <c r="F4952" t="str">
        <f>"000980"</f>
        <v>0</v>
      </c>
      <c r="G4952" t="s">
        <v>21</v>
      </c>
    </row>
    <row r="4953" spans="1:7">
      <c r="A4953">
        <v>4952</v>
      </c>
      <c r="B4953" t="str">
        <f>"015705"</f>
        <v>0</v>
      </c>
      <c r="C4953" t="s">
        <v>8112</v>
      </c>
      <c r="D4953" t="s">
        <v>8113</v>
      </c>
      <c r="E4953" t="str">
        <f>"3559900021916"</f>
        <v>0</v>
      </c>
      <c r="F4953" t="str">
        <f>"000980"</f>
        <v>0</v>
      </c>
      <c r="G4953" t="s">
        <v>21</v>
      </c>
    </row>
    <row r="4954" spans="1:7">
      <c r="A4954">
        <v>4953</v>
      </c>
      <c r="B4954" t="str">
        <f>"026561"</f>
        <v>0</v>
      </c>
      <c r="C4954" t="s">
        <v>8114</v>
      </c>
      <c r="D4954" t="s">
        <v>8115</v>
      </c>
      <c r="E4954" t="str">
        <f>"1559900245931"</f>
        <v>0</v>
      </c>
      <c r="F4954" t="str">
        <f>"000980"</f>
        <v>0</v>
      </c>
      <c r="G4954" t="s">
        <v>21</v>
      </c>
    </row>
    <row r="4955" spans="1:7">
      <c r="A4955">
        <v>4954</v>
      </c>
      <c r="B4955" t="str">
        <f>"026974"</f>
        <v>0</v>
      </c>
      <c r="C4955" t="s">
        <v>8116</v>
      </c>
      <c r="D4955" t="s">
        <v>8117</v>
      </c>
      <c r="E4955" t="str">
        <f>"1559900109507"</f>
        <v>0</v>
      </c>
      <c r="F4955" t="str">
        <f>"000980"</f>
        <v>0</v>
      </c>
      <c r="G4955" t="s">
        <v>21</v>
      </c>
    </row>
    <row r="4956" spans="1:7">
      <c r="A4956">
        <v>4955</v>
      </c>
      <c r="B4956" t="str">
        <f>"026535"</f>
        <v>0</v>
      </c>
      <c r="C4956" t="s">
        <v>1751</v>
      </c>
      <c r="D4956" t="s">
        <v>8118</v>
      </c>
      <c r="E4956" t="str">
        <f>"1550500062343"</f>
        <v>0</v>
      </c>
      <c r="F4956" t="str">
        <f>"000980"</f>
        <v>0</v>
      </c>
      <c r="G4956" t="s">
        <v>21</v>
      </c>
    </row>
    <row r="4957" spans="1:7">
      <c r="A4957">
        <v>4956</v>
      </c>
      <c r="B4957" t="str">
        <f>"025913"</f>
        <v>0</v>
      </c>
      <c r="C4957" t="s">
        <v>8119</v>
      </c>
      <c r="D4957" t="s">
        <v>8120</v>
      </c>
      <c r="E4957" t="str">
        <f>"1199900329390"</f>
        <v>0</v>
      </c>
      <c r="F4957" t="str">
        <f>"000980"</f>
        <v>0</v>
      </c>
      <c r="G4957" t="s">
        <v>21</v>
      </c>
    </row>
    <row r="4958" spans="1:7">
      <c r="A4958">
        <v>4957</v>
      </c>
      <c r="B4958" t="str">
        <f>"026347"</f>
        <v>0</v>
      </c>
      <c r="C4958" t="s">
        <v>3599</v>
      </c>
      <c r="D4958" t="s">
        <v>8121</v>
      </c>
      <c r="E4958" t="str">
        <f>"3501200294891"</f>
        <v>0</v>
      </c>
      <c r="F4958" t="str">
        <f>"000980"</f>
        <v>0</v>
      </c>
      <c r="G4958" t="s">
        <v>21</v>
      </c>
    </row>
    <row r="4959" spans="1:7">
      <c r="A4959">
        <v>4958</v>
      </c>
      <c r="B4959" t="str">
        <f>"020683"</f>
        <v>0</v>
      </c>
      <c r="C4959" t="s">
        <v>3546</v>
      </c>
      <c r="D4959" t="s">
        <v>8122</v>
      </c>
      <c r="E4959" t="str">
        <f>"3420300390212"</f>
        <v>0</v>
      </c>
      <c r="F4959" t="str">
        <f>"000980"</f>
        <v>0</v>
      </c>
      <c r="G4959" t="s">
        <v>21</v>
      </c>
    </row>
    <row r="4960" spans="1:7">
      <c r="A4960">
        <v>4959</v>
      </c>
      <c r="B4960" t="str">
        <f>"017151"</f>
        <v>0</v>
      </c>
      <c r="C4960" t="s">
        <v>148</v>
      </c>
      <c r="D4960" t="s">
        <v>8123</v>
      </c>
      <c r="E4960" t="str">
        <f>"3559900072201"</f>
        <v>0</v>
      </c>
      <c r="F4960" t="str">
        <f>"000980"</f>
        <v>0</v>
      </c>
      <c r="G4960" t="s">
        <v>21</v>
      </c>
    </row>
    <row r="4961" spans="1:7">
      <c r="A4961">
        <v>4960</v>
      </c>
      <c r="B4961" t="str">
        <f>"022242"</f>
        <v>0</v>
      </c>
      <c r="C4961" t="s">
        <v>8124</v>
      </c>
      <c r="D4961" t="s">
        <v>8125</v>
      </c>
      <c r="E4961" t="str">
        <f>"3500300052162"</f>
        <v>0</v>
      </c>
      <c r="F4961" t="str">
        <f>"000980"</f>
        <v>0</v>
      </c>
      <c r="G4961" t="s">
        <v>21</v>
      </c>
    </row>
    <row r="4962" spans="1:7">
      <c r="A4962">
        <v>4961</v>
      </c>
      <c r="B4962" t="str">
        <f>"023693"</f>
        <v>0</v>
      </c>
      <c r="C4962" t="s">
        <v>8126</v>
      </c>
      <c r="D4962" t="s">
        <v>8127</v>
      </c>
      <c r="E4962" t="str">
        <f>"1800800038615"</f>
        <v>0</v>
      </c>
      <c r="F4962" t="str">
        <f>"000980"</f>
        <v>0</v>
      </c>
      <c r="G4962" t="s">
        <v>21</v>
      </c>
    </row>
    <row r="4963" spans="1:7">
      <c r="A4963">
        <v>4962</v>
      </c>
      <c r="B4963" t="str">
        <f>"023838"</f>
        <v>0</v>
      </c>
      <c r="C4963" t="s">
        <v>8128</v>
      </c>
      <c r="D4963" t="s">
        <v>8129</v>
      </c>
      <c r="E4963" t="str">
        <f>"1509900290899"</f>
        <v>0</v>
      </c>
      <c r="F4963" t="str">
        <f>"000980"</f>
        <v>0</v>
      </c>
      <c r="G4963" t="s">
        <v>21</v>
      </c>
    </row>
    <row r="4964" spans="1:7">
      <c r="A4964">
        <v>4963</v>
      </c>
      <c r="B4964" t="str">
        <f>"024349"</f>
        <v>0</v>
      </c>
      <c r="C4964" t="s">
        <v>8130</v>
      </c>
      <c r="D4964" t="s">
        <v>8131</v>
      </c>
      <c r="E4964" t="str">
        <f>"3550700494791"</f>
        <v>0</v>
      </c>
      <c r="F4964" t="str">
        <f>"000980"</f>
        <v>0</v>
      </c>
      <c r="G4964" t="s">
        <v>21</v>
      </c>
    </row>
    <row r="4965" spans="1:7">
      <c r="A4965">
        <v>4964</v>
      </c>
      <c r="B4965" t="str">
        <f>"025411"</f>
        <v>0</v>
      </c>
      <c r="C4965" t="s">
        <v>8132</v>
      </c>
      <c r="D4965" t="s">
        <v>8133</v>
      </c>
      <c r="E4965" t="str">
        <f>"1500200029065"</f>
        <v>0</v>
      </c>
      <c r="F4965" t="str">
        <f>"000980"</f>
        <v>0</v>
      </c>
      <c r="G4965" t="s">
        <v>21</v>
      </c>
    </row>
    <row r="4966" spans="1:7">
      <c r="A4966">
        <v>4965</v>
      </c>
      <c r="B4966" t="str">
        <f>"026348"</f>
        <v>0</v>
      </c>
      <c r="C4966" t="s">
        <v>8134</v>
      </c>
      <c r="D4966" t="s">
        <v>8135</v>
      </c>
      <c r="E4966" t="str">
        <f>"1509901087027"</f>
        <v>0</v>
      </c>
      <c r="F4966" t="str">
        <f>"000980"</f>
        <v>0</v>
      </c>
      <c r="G4966" t="s">
        <v>21</v>
      </c>
    </row>
    <row r="4967" spans="1:7">
      <c r="A4967">
        <v>4966</v>
      </c>
      <c r="B4967" t="str">
        <f>"024234"</f>
        <v>0</v>
      </c>
      <c r="C4967" t="s">
        <v>8136</v>
      </c>
      <c r="D4967" t="s">
        <v>8137</v>
      </c>
      <c r="E4967" t="str">
        <f>"1510100124368"</f>
        <v>0</v>
      </c>
      <c r="F4967" t="str">
        <f>"000980"</f>
        <v>0</v>
      </c>
      <c r="G4967" t="s">
        <v>21</v>
      </c>
    </row>
    <row r="4968" spans="1:7">
      <c r="A4968">
        <v>4967</v>
      </c>
      <c r="B4968" t="str">
        <f>"023822"</f>
        <v>0</v>
      </c>
      <c r="C4968" t="s">
        <v>8138</v>
      </c>
      <c r="D4968" t="s">
        <v>8139</v>
      </c>
      <c r="E4968" t="str">
        <f>"1529900005612"</f>
        <v>0</v>
      </c>
      <c r="F4968" t="str">
        <f>"000980"</f>
        <v>0</v>
      </c>
      <c r="G4968" t="s">
        <v>21</v>
      </c>
    </row>
    <row r="4969" spans="1:7">
      <c r="A4969">
        <v>4968</v>
      </c>
      <c r="B4969" t="str">
        <f>"025279"</f>
        <v>0</v>
      </c>
      <c r="C4969" t="s">
        <v>8140</v>
      </c>
      <c r="D4969" t="s">
        <v>8141</v>
      </c>
      <c r="E4969" t="str">
        <f>"1521100003341"</f>
        <v>0</v>
      </c>
      <c r="F4969" t="str">
        <f>"000980"</f>
        <v>0</v>
      </c>
      <c r="G4969" t="s">
        <v>21</v>
      </c>
    </row>
    <row r="4970" spans="1:7">
      <c r="A4970">
        <v>4969</v>
      </c>
      <c r="B4970" t="str">
        <f>"025910"</f>
        <v>0</v>
      </c>
      <c r="C4970" t="s">
        <v>8142</v>
      </c>
      <c r="D4970" t="s">
        <v>8143</v>
      </c>
      <c r="E4970" t="str">
        <f>"1529900044413"</f>
        <v>0</v>
      </c>
      <c r="F4970" t="str">
        <f>"000980"</f>
        <v>0</v>
      </c>
      <c r="G4970" t="s">
        <v>21</v>
      </c>
    </row>
    <row r="4971" spans="1:7">
      <c r="A4971">
        <v>4970</v>
      </c>
      <c r="B4971" t="str">
        <f>"021134"</f>
        <v>0</v>
      </c>
      <c r="C4971" t="s">
        <v>4710</v>
      </c>
      <c r="D4971" t="s">
        <v>5241</v>
      </c>
      <c r="E4971" t="str">
        <f>"1540200011280"</f>
        <v>0</v>
      </c>
      <c r="F4971" t="str">
        <f>"000980"</f>
        <v>0</v>
      </c>
      <c r="G4971" t="s">
        <v>21</v>
      </c>
    </row>
    <row r="4972" spans="1:7">
      <c r="A4972">
        <v>4971</v>
      </c>
      <c r="B4972" t="str">
        <f>"025761"</f>
        <v>0</v>
      </c>
      <c r="C4972" t="s">
        <v>8144</v>
      </c>
      <c r="D4972" t="s">
        <v>8145</v>
      </c>
      <c r="E4972" t="str">
        <f>"1559900200164"</f>
        <v>0</v>
      </c>
      <c r="F4972" t="str">
        <f>"000980"</f>
        <v>0</v>
      </c>
      <c r="G4972" t="s">
        <v>21</v>
      </c>
    </row>
    <row r="4973" spans="1:7">
      <c r="A4973">
        <v>4972</v>
      </c>
      <c r="B4973" t="str">
        <f>"026349"</f>
        <v>0</v>
      </c>
      <c r="C4973" t="s">
        <v>8146</v>
      </c>
      <c r="D4973" t="s">
        <v>8147</v>
      </c>
      <c r="E4973" t="str">
        <f>"1540200080991"</f>
        <v>0</v>
      </c>
      <c r="F4973" t="str">
        <f>"000980"</f>
        <v>0</v>
      </c>
      <c r="G4973" t="s">
        <v>21</v>
      </c>
    </row>
    <row r="4974" spans="1:7">
      <c r="A4974">
        <v>4973</v>
      </c>
      <c r="B4974" t="str">
        <f>"008629"</f>
        <v>0</v>
      </c>
      <c r="C4974" t="s">
        <v>8148</v>
      </c>
      <c r="D4974" t="s">
        <v>8149</v>
      </c>
      <c r="E4974" t="str">
        <f>"3660300361393"</f>
        <v>0</v>
      </c>
      <c r="F4974" t="str">
        <f>"000980"</f>
        <v>0</v>
      </c>
      <c r="G4974" t="s">
        <v>21</v>
      </c>
    </row>
    <row r="4975" spans="1:7">
      <c r="A4975">
        <v>4974</v>
      </c>
      <c r="B4975" t="str">
        <f>"009491"</f>
        <v>0</v>
      </c>
      <c r="C4975" t="s">
        <v>8150</v>
      </c>
      <c r="D4975" t="s">
        <v>8089</v>
      </c>
      <c r="E4975" t="str">
        <f>"3550100355188"</f>
        <v>0</v>
      </c>
      <c r="F4975" t="str">
        <f>"000980"</f>
        <v>0</v>
      </c>
      <c r="G4975" t="s">
        <v>21</v>
      </c>
    </row>
    <row r="4976" spans="1:7">
      <c r="A4976">
        <v>4975</v>
      </c>
      <c r="B4976" t="str">
        <f>"010222"</f>
        <v>0</v>
      </c>
      <c r="C4976" t="s">
        <v>8151</v>
      </c>
      <c r="D4976" t="s">
        <v>8050</v>
      </c>
      <c r="E4976" t="str">
        <f>"3550600011747"</f>
        <v>0</v>
      </c>
      <c r="F4976" t="str">
        <f>"000980"</f>
        <v>0</v>
      </c>
      <c r="G4976" t="s">
        <v>21</v>
      </c>
    </row>
    <row r="4977" spans="1:7">
      <c r="A4977">
        <v>4976</v>
      </c>
      <c r="B4977" t="str">
        <f>"011158"</f>
        <v>0</v>
      </c>
      <c r="C4977" t="s">
        <v>8152</v>
      </c>
      <c r="D4977" t="s">
        <v>8153</v>
      </c>
      <c r="E4977" t="str">
        <f>"3550500209073"</f>
        <v>0</v>
      </c>
      <c r="F4977" t="str">
        <f>"000980"</f>
        <v>0</v>
      </c>
      <c r="G4977" t="s">
        <v>21</v>
      </c>
    </row>
    <row r="4978" spans="1:7">
      <c r="A4978">
        <v>4977</v>
      </c>
      <c r="B4978" t="str">
        <f>"011277"</f>
        <v>0</v>
      </c>
      <c r="C4978" t="s">
        <v>1162</v>
      </c>
      <c r="D4978" t="s">
        <v>5316</v>
      </c>
      <c r="E4978" t="str">
        <f>"3550900123419"</f>
        <v>0</v>
      </c>
      <c r="F4978" t="str">
        <f>"000980"</f>
        <v>0</v>
      </c>
      <c r="G4978" t="s">
        <v>21</v>
      </c>
    </row>
    <row r="4979" spans="1:7">
      <c r="A4979">
        <v>4978</v>
      </c>
      <c r="B4979" t="str">
        <f>"012071"</f>
        <v>0</v>
      </c>
      <c r="C4979" t="s">
        <v>953</v>
      </c>
      <c r="D4979" t="s">
        <v>8154</v>
      </c>
      <c r="E4979" t="str">
        <f>"3559900129628"</f>
        <v>0</v>
      </c>
      <c r="F4979" t="str">
        <f>"000980"</f>
        <v>0</v>
      </c>
      <c r="G4979" t="s">
        <v>21</v>
      </c>
    </row>
    <row r="4980" spans="1:7">
      <c r="A4980">
        <v>4979</v>
      </c>
      <c r="B4980" t="str">
        <f>"012420"</f>
        <v>0</v>
      </c>
      <c r="C4980" t="s">
        <v>1983</v>
      </c>
      <c r="D4980" t="s">
        <v>8155</v>
      </c>
      <c r="E4980" t="str">
        <f>"3550100370179"</f>
        <v>0</v>
      </c>
      <c r="F4980" t="str">
        <f>"000980"</f>
        <v>0</v>
      </c>
      <c r="G4980" t="s">
        <v>21</v>
      </c>
    </row>
    <row r="4981" spans="1:7">
      <c r="A4981">
        <v>4980</v>
      </c>
      <c r="B4981" t="str">
        <f>"012421"</f>
        <v>0</v>
      </c>
      <c r="C4981" t="s">
        <v>7541</v>
      </c>
      <c r="D4981" t="s">
        <v>8156</v>
      </c>
      <c r="E4981" t="str">
        <f>"3501200418476"</f>
        <v>0</v>
      </c>
      <c r="F4981" t="str">
        <f>"000980"</f>
        <v>0</v>
      </c>
      <c r="G4981" t="s">
        <v>21</v>
      </c>
    </row>
    <row r="4982" spans="1:7">
      <c r="A4982">
        <v>4981</v>
      </c>
      <c r="B4982" t="str">
        <f>"012573"</f>
        <v>0</v>
      </c>
      <c r="C4982" t="s">
        <v>514</v>
      </c>
      <c r="D4982" t="s">
        <v>4237</v>
      </c>
      <c r="E4982" t="str">
        <f>"3559900081617"</f>
        <v>0</v>
      </c>
      <c r="F4982" t="str">
        <f>"000980"</f>
        <v>0</v>
      </c>
      <c r="G4982" t="s">
        <v>21</v>
      </c>
    </row>
    <row r="4983" spans="1:7">
      <c r="A4983">
        <v>4982</v>
      </c>
      <c r="B4983" t="str">
        <f>"013094"</f>
        <v>0</v>
      </c>
      <c r="C4983" t="s">
        <v>2608</v>
      </c>
      <c r="D4983" t="s">
        <v>8157</v>
      </c>
      <c r="E4983" t="str">
        <f>"3550100501095"</f>
        <v>0</v>
      </c>
      <c r="F4983" t="str">
        <f>"000980"</f>
        <v>0</v>
      </c>
      <c r="G4983" t="s">
        <v>21</v>
      </c>
    </row>
    <row r="4984" spans="1:7">
      <c r="A4984">
        <v>4983</v>
      </c>
      <c r="B4984" t="str">
        <f>"013645"</f>
        <v>0</v>
      </c>
      <c r="C4984" t="s">
        <v>8158</v>
      </c>
      <c r="D4984" t="s">
        <v>8082</v>
      </c>
      <c r="E4984" t="str">
        <f>"3550100372643"</f>
        <v>0</v>
      </c>
      <c r="F4984" t="str">
        <f>"000980"</f>
        <v>0</v>
      </c>
      <c r="G4984" t="s">
        <v>21</v>
      </c>
    </row>
    <row r="4985" spans="1:7">
      <c r="A4985">
        <v>4984</v>
      </c>
      <c r="B4985" t="str">
        <f>"013961"</f>
        <v>0</v>
      </c>
      <c r="C4985" t="s">
        <v>4928</v>
      </c>
      <c r="D4985" t="s">
        <v>8159</v>
      </c>
      <c r="E4985" t="str">
        <f>"3550600028241"</f>
        <v>0</v>
      </c>
      <c r="F4985" t="str">
        <f>"000980"</f>
        <v>0</v>
      </c>
      <c r="G4985" t="s">
        <v>21</v>
      </c>
    </row>
    <row r="4986" spans="1:7">
      <c r="A4986">
        <v>4985</v>
      </c>
      <c r="B4986" t="str">
        <f>"013991"</f>
        <v>0</v>
      </c>
      <c r="C4986" t="s">
        <v>1983</v>
      </c>
      <c r="D4986" t="s">
        <v>8160</v>
      </c>
      <c r="E4986" t="str">
        <f>"3550500325359"</f>
        <v>0</v>
      </c>
      <c r="F4986" t="str">
        <f>"000980"</f>
        <v>0</v>
      </c>
      <c r="G4986" t="s">
        <v>21</v>
      </c>
    </row>
    <row r="4987" spans="1:7">
      <c r="A4987">
        <v>4986</v>
      </c>
      <c r="B4987" t="str">
        <f>"014390"</f>
        <v>0</v>
      </c>
      <c r="C4987" t="s">
        <v>8161</v>
      </c>
      <c r="D4987" t="s">
        <v>8162</v>
      </c>
      <c r="E4987" t="str">
        <f>"3551000004422"</f>
        <v>0</v>
      </c>
      <c r="F4987" t="str">
        <f>"000980"</f>
        <v>0</v>
      </c>
      <c r="G4987" t="s">
        <v>21</v>
      </c>
    </row>
    <row r="4988" spans="1:7">
      <c r="A4988">
        <v>4987</v>
      </c>
      <c r="B4988" t="str">
        <f>"015192"</f>
        <v>0</v>
      </c>
      <c r="C4988" t="s">
        <v>2758</v>
      </c>
      <c r="D4988" t="s">
        <v>8163</v>
      </c>
      <c r="E4988" t="str">
        <f>"3550600356591"</f>
        <v>0</v>
      </c>
      <c r="F4988" t="str">
        <f>"000980"</f>
        <v>0</v>
      </c>
      <c r="G4988" t="s">
        <v>21</v>
      </c>
    </row>
    <row r="4989" spans="1:7">
      <c r="A4989">
        <v>4988</v>
      </c>
      <c r="B4989" t="str">
        <f>"016586"</f>
        <v>0</v>
      </c>
      <c r="C4989" t="s">
        <v>4465</v>
      </c>
      <c r="D4989" t="s">
        <v>8164</v>
      </c>
      <c r="E4989" t="str">
        <f>"3700700579930"</f>
        <v>0</v>
      </c>
      <c r="F4989" t="str">
        <f>"000980"</f>
        <v>0</v>
      </c>
      <c r="G4989" t="s">
        <v>21</v>
      </c>
    </row>
    <row r="4990" spans="1:7">
      <c r="A4990">
        <v>4989</v>
      </c>
      <c r="B4990" t="str">
        <f>"016688"</f>
        <v>0</v>
      </c>
      <c r="C4990" t="s">
        <v>8165</v>
      </c>
      <c r="D4990" t="s">
        <v>8166</v>
      </c>
      <c r="E4990" t="str">
        <f>"3520600068854"</f>
        <v>0</v>
      </c>
      <c r="F4990" t="str">
        <f>"000980"</f>
        <v>0</v>
      </c>
      <c r="G4990" t="s">
        <v>21</v>
      </c>
    </row>
    <row r="4991" spans="1:7">
      <c r="A4991">
        <v>4990</v>
      </c>
      <c r="B4991" t="str">
        <f>"016737"</f>
        <v>0</v>
      </c>
      <c r="C4991" t="s">
        <v>154</v>
      </c>
      <c r="D4991" t="s">
        <v>8167</v>
      </c>
      <c r="E4991" t="str">
        <f>"5550500091770"</f>
        <v>0</v>
      </c>
      <c r="F4991" t="str">
        <f>"000980"</f>
        <v>0</v>
      </c>
      <c r="G4991" t="s">
        <v>21</v>
      </c>
    </row>
    <row r="4992" spans="1:7">
      <c r="A4992">
        <v>4991</v>
      </c>
      <c r="B4992" t="str">
        <f>"016839"</f>
        <v>0</v>
      </c>
      <c r="C4992" t="s">
        <v>5625</v>
      </c>
      <c r="D4992" t="s">
        <v>8168</v>
      </c>
      <c r="E4992" t="str">
        <f>"3302000734164"</f>
        <v>0</v>
      </c>
      <c r="F4992" t="str">
        <f>"000980"</f>
        <v>0</v>
      </c>
      <c r="G4992" t="s">
        <v>21</v>
      </c>
    </row>
    <row r="4993" spans="1:7">
      <c r="A4993">
        <v>4992</v>
      </c>
      <c r="B4993" t="str">
        <f>"017285"</f>
        <v>0</v>
      </c>
      <c r="C4993" t="s">
        <v>2758</v>
      </c>
      <c r="D4993" t="s">
        <v>8169</v>
      </c>
      <c r="E4993" t="str">
        <f>"3540600204251"</f>
        <v>0</v>
      </c>
      <c r="F4993" t="str">
        <f>"000980"</f>
        <v>0</v>
      </c>
      <c r="G4993" t="s">
        <v>21</v>
      </c>
    </row>
    <row r="4994" spans="1:7">
      <c r="A4994">
        <v>4993</v>
      </c>
      <c r="B4994" t="str">
        <f>"017288"</f>
        <v>0</v>
      </c>
      <c r="C4994" t="s">
        <v>8170</v>
      </c>
      <c r="D4994" t="s">
        <v>8171</v>
      </c>
      <c r="E4994" t="str">
        <f>"3559900063139"</f>
        <v>0</v>
      </c>
      <c r="F4994" t="str">
        <f>"000980"</f>
        <v>0</v>
      </c>
      <c r="G4994" t="s">
        <v>21</v>
      </c>
    </row>
    <row r="4995" spans="1:7">
      <c r="A4995">
        <v>4994</v>
      </c>
      <c r="B4995" t="str">
        <f>"017350"</f>
        <v>0</v>
      </c>
      <c r="C4995" t="s">
        <v>8172</v>
      </c>
      <c r="D4995" t="s">
        <v>8173</v>
      </c>
      <c r="E4995" t="str">
        <f>"3551000013120"</f>
        <v>0</v>
      </c>
      <c r="F4995" t="str">
        <f>"000980"</f>
        <v>0</v>
      </c>
      <c r="G4995" t="s">
        <v>21</v>
      </c>
    </row>
    <row r="4996" spans="1:7">
      <c r="A4996">
        <v>4995</v>
      </c>
      <c r="B4996" t="str">
        <f>"018133"</f>
        <v>0</v>
      </c>
      <c r="C4996" t="s">
        <v>8174</v>
      </c>
      <c r="D4996" t="s">
        <v>343</v>
      </c>
      <c r="E4996" t="str">
        <f>"3550800011899"</f>
        <v>0</v>
      </c>
      <c r="F4996" t="str">
        <f>"000980"</f>
        <v>0</v>
      </c>
      <c r="G4996" t="s">
        <v>21</v>
      </c>
    </row>
    <row r="4997" spans="1:7">
      <c r="A4997">
        <v>4996</v>
      </c>
      <c r="B4997" t="str">
        <f>"018301"</f>
        <v>0</v>
      </c>
      <c r="C4997" t="s">
        <v>2060</v>
      </c>
      <c r="D4997" t="s">
        <v>8175</v>
      </c>
      <c r="E4997" t="str">
        <f>"3550600111687"</f>
        <v>0</v>
      </c>
      <c r="F4997" t="str">
        <f>"000980"</f>
        <v>0</v>
      </c>
      <c r="G4997" t="s">
        <v>21</v>
      </c>
    </row>
    <row r="4998" spans="1:7">
      <c r="A4998">
        <v>4997</v>
      </c>
      <c r="B4998" t="str">
        <f>"019028"</f>
        <v>0</v>
      </c>
      <c r="C4998" t="s">
        <v>8176</v>
      </c>
      <c r="D4998" t="s">
        <v>8177</v>
      </c>
      <c r="E4998" t="str">
        <f>"3559900054652"</f>
        <v>0</v>
      </c>
      <c r="F4998" t="str">
        <f>"000980"</f>
        <v>0</v>
      </c>
      <c r="G4998" t="s">
        <v>21</v>
      </c>
    </row>
    <row r="4999" spans="1:7">
      <c r="A4999">
        <v>4998</v>
      </c>
      <c r="B4999" t="str">
        <f>"019211"</f>
        <v>0</v>
      </c>
      <c r="C4999" t="s">
        <v>8178</v>
      </c>
      <c r="D4999" t="s">
        <v>8179</v>
      </c>
      <c r="E4999" t="str">
        <f>"3550100704166"</f>
        <v>0</v>
      </c>
      <c r="F4999" t="str">
        <f>"000980"</f>
        <v>0</v>
      </c>
      <c r="G4999" t="s">
        <v>21</v>
      </c>
    </row>
    <row r="5000" spans="1:7">
      <c r="A5000">
        <v>4999</v>
      </c>
      <c r="B5000" t="str">
        <f>"019232"</f>
        <v>0</v>
      </c>
      <c r="C5000" t="s">
        <v>8180</v>
      </c>
      <c r="D5000" t="s">
        <v>8181</v>
      </c>
      <c r="E5000" t="str">
        <f>"5559990001789"</f>
        <v>0</v>
      </c>
      <c r="F5000" t="str">
        <f>"000980"</f>
        <v>0</v>
      </c>
      <c r="G5000" t="s">
        <v>21</v>
      </c>
    </row>
    <row r="5001" spans="1:7">
      <c r="A5001">
        <v>5000</v>
      </c>
      <c r="B5001" t="str">
        <f>"019893"</f>
        <v>0</v>
      </c>
      <c r="C5001" t="s">
        <v>8182</v>
      </c>
      <c r="D5001" t="s">
        <v>8183</v>
      </c>
      <c r="E5001" t="str">
        <f>"3550100068545"</f>
        <v>0</v>
      </c>
      <c r="F5001" t="str">
        <f>"000980"</f>
        <v>0</v>
      </c>
      <c r="G5001" t="s">
        <v>21</v>
      </c>
    </row>
    <row r="5002" spans="1:7">
      <c r="A5002">
        <v>5001</v>
      </c>
      <c r="B5002" t="str">
        <f>"019898"</f>
        <v>0</v>
      </c>
      <c r="C5002" t="s">
        <v>8184</v>
      </c>
      <c r="D5002" t="s">
        <v>8185</v>
      </c>
      <c r="E5002" t="str">
        <f>"3550100198627"</f>
        <v>0</v>
      </c>
      <c r="F5002" t="str">
        <f>"000980"</f>
        <v>0</v>
      </c>
      <c r="G5002" t="s">
        <v>21</v>
      </c>
    </row>
    <row r="5003" spans="1:7">
      <c r="A5003">
        <v>5002</v>
      </c>
      <c r="B5003" t="str">
        <f>"020056"</f>
        <v>0</v>
      </c>
      <c r="C5003" t="s">
        <v>5960</v>
      </c>
      <c r="D5003" t="s">
        <v>8186</v>
      </c>
      <c r="E5003" t="str">
        <f>"3559900017595"</f>
        <v>0</v>
      </c>
      <c r="F5003" t="str">
        <f>"000980"</f>
        <v>0</v>
      </c>
      <c r="G5003" t="s">
        <v>21</v>
      </c>
    </row>
    <row r="5004" spans="1:7">
      <c r="A5004">
        <v>5003</v>
      </c>
      <c r="B5004" t="str">
        <f>"020492"</f>
        <v>0</v>
      </c>
      <c r="C5004" t="s">
        <v>8187</v>
      </c>
      <c r="D5004" t="s">
        <v>8188</v>
      </c>
      <c r="E5004" t="str">
        <f>"3550900135832"</f>
        <v>0</v>
      </c>
      <c r="F5004" t="str">
        <f>"000980"</f>
        <v>0</v>
      </c>
      <c r="G5004" t="s">
        <v>21</v>
      </c>
    </row>
    <row r="5005" spans="1:7">
      <c r="A5005">
        <v>5004</v>
      </c>
      <c r="B5005" t="str">
        <f>"020611"</f>
        <v>0</v>
      </c>
      <c r="C5005" t="s">
        <v>96</v>
      </c>
      <c r="D5005" t="s">
        <v>8189</v>
      </c>
      <c r="E5005" t="str">
        <f>"3550100069487"</f>
        <v>0</v>
      </c>
      <c r="F5005" t="str">
        <f>"000980"</f>
        <v>0</v>
      </c>
      <c r="G5005" t="s">
        <v>21</v>
      </c>
    </row>
    <row r="5006" spans="1:7">
      <c r="A5006">
        <v>5005</v>
      </c>
      <c r="B5006" t="str">
        <f>"020774"</f>
        <v>0</v>
      </c>
      <c r="C5006" t="s">
        <v>8190</v>
      </c>
      <c r="D5006" t="s">
        <v>8191</v>
      </c>
      <c r="E5006" t="str">
        <f>"3559900051297"</f>
        <v>0</v>
      </c>
      <c r="F5006" t="str">
        <f>"000980"</f>
        <v>0</v>
      </c>
      <c r="G5006" t="s">
        <v>21</v>
      </c>
    </row>
    <row r="5007" spans="1:7">
      <c r="A5007">
        <v>5006</v>
      </c>
      <c r="B5007" t="str">
        <f>"020966"</f>
        <v>0</v>
      </c>
      <c r="C5007" t="s">
        <v>2298</v>
      </c>
      <c r="D5007" t="s">
        <v>8192</v>
      </c>
      <c r="E5007" t="str">
        <f>"3841500163373"</f>
        <v>0</v>
      </c>
      <c r="F5007" t="str">
        <f>"000980"</f>
        <v>0</v>
      </c>
      <c r="G5007" t="s">
        <v>21</v>
      </c>
    </row>
    <row r="5008" spans="1:7">
      <c r="A5008">
        <v>5007</v>
      </c>
      <c r="B5008" t="str">
        <f>"021356"</f>
        <v>0</v>
      </c>
      <c r="C5008" t="s">
        <v>8193</v>
      </c>
      <c r="D5008" t="s">
        <v>8194</v>
      </c>
      <c r="E5008" t="str">
        <f>"3670100784100"</f>
        <v>0</v>
      </c>
      <c r="F5008" t="str">
        <f>"000980"</f>
        <v>0</v>
      </c>
      <c r="G5008" t="s">
        <v>21</v>
      </c>
    </row>
    <row r="5009" spans="1:7">
      <c r="A5009">
        <v>5008</v>
      </c>
      <c r="B5009" t="str">
        <f>"021388"</f>
        <v>0</v>
      </c>
      <c r="C5009" t="s">
        <v>8195</v>
      </c>
      <c r="D5009" t="s">
        <v>8196</v>
      </c>
      <c r="E5009" t="str">
        <f>"3550600398528"</f>
        <v>0</v>
      </c>
      <c r="F5009" t="str">
        <f>"000980"</f>
        <v>0</v>
      </c>
      <c r="G5009" t="s">
        <v>21</v>
      </c>
    </row>
    <row r="5010" spans="1:7">
      <c r="A5010">
        <v>5009</v>
      </c>
      <c r="B5010" t="str">
        <f>"021724"</f>
        <v>0</v>
      </c>
      <c r="C5010" t="s">
        <v>2751</v>
      </c>
      <c r="D5010" t="s">
        <v>8197</v>
      </c>
      <c r="E5010" t="str">
        <f>"3550300047771"</f>
        <v>0</v>
      </c>
      <c r="F5010" t="str">
        <f>"000980"</f>
        <v>0</v>
      </c>
      <c r="G5010" t="s">
        <v>21</v>
      </c>
    </row>
    <row r="5011" spans="1:7">
      <c r="A5011">
        <v>5010</v>
      </c>
      <c r="B5011" t="str">
        <f>"021929"</f>
        <v>0</v>
      </c>
      <c r="C5011" t="s">
        <v>5761</v>
      </c>
      <c r="D5011" t="s">
        <v>8198</v>
      </c>
      <c r="E5011" t="str">
        <f>"3550400238560"</f>
        <v>0</v>
      </c>
      <c r="F5011" t="str">
        <f>"000980"</f>
        <v>0</v>
      </c>
      <c r="G5011" t="s">
        <v>21</v>
      </c>
    </row>
    <row r="5012" spans="1:7">
      <c r="A5012">
        <v>5011</v>
      </c>
      <c r="B5012" t="str">
        <f>"021936"</f>
        <v>0</v>
      </c>
      <c r="C5012" t="s">
        <v>1415</v>
      </c>
      <c r="D5012" t="s">
        <v>8199</v>
      </c>
      <c r="E5012" t="str">
        <f>"3551100048847"</f>
        <v>0</v>
      </c>
      <c r="F5012" t="str">
        <f>"000980"</f>
        <v>0</v>
      </c>
      <c r="G5012" t="s">
        <v>21</v>
      </c>
    </row>
    <row r="5013" spans="1:7">
      <c r="A5013">
        <v>5012</v>
      </c>
      <c r="B5013" t="str">
        <f>"021960"</f>
        <v>0</v>
      </c>
      <c r="C5013" t="s">
        <v>3364</v>
      </c>
      <c r="D5013" t="s">
        <v>8200</v>
      </c>
      <c r="E5013" t="str">
        <f>"3550100149413"</f>
        <v>0</v>
      </c>
      <c r="F5013" t="str">
        <f>"000980"</f>
        <v>0</v>
      </c>
      <c r="G5013" t="s">
        <v>21</v>
      </c>
    </row>
    <row r="5014" spans="1:7">
      <c r="A5014">
        <v>5013</v>
      </c>
      <c r="B5014" t="str">
        <f>"021993"</f>
        <v>0</v>
      </c>
      <c r="C5014" t="s">
        <v>8201</v>
      </c>
      <c r="D5014" t="s">
        <v>8202</v>
      </c>
      <c r="E5014" t="str">
        <f>"3559900189434"</f>
        <v>0</v>
      </c>
      <c r="F5014" t="str">
        <f>"000980"</f>
        <v>0</v>
      </c>
      <c r="G5014" t="s">
        <v>21</v>
      </c>
    </row>
    <row r="5015" spans="1:7">
      <c r="A5015">
        <v>5014</v>
      </c>
      <c r="B5015" t="str">
        <f>"021995"</f>
        <v>0</v>
      </c>
      <c r="C5015" t="s">
        <v>8203</v>
      </c>
      <c r="D5015" t="s">
        <v>8204</v>
      </c>
      <c r="E5015" t="str">
        <f>"3501100050264"</f>
        <v>0</v>
      </c>
      <c r="F5015" t="str">
        <f>"000980"</f>
        <v>0</v>
      </c>
      <c r="G5015" t="s">
        <v>21</v>
      </c>
    </row>
    <row r="5016" spans="1:7">
      <c r="A5016">
        <v>5015</v>
      </c>
      <c r="B5016" t="str">
        <f>"022470"</f>
        <v>0</v>
      </c>
      <c r="C5016" t="s">
        <v>6253</v>
      </c>
      <c r="D5016" t="s">
        <v>8205</v>
      </c>
      <c r="E5016" t="str">
        <f>"3550700276203"</f>
        <v>0</v>
      </c>
      <c r="F5016" t="str">
        <f>"000980"</f>
        <v>0</v>
      </c>
      <c r="G5016" t="s">
        <v>21</v>
      </c>
    </row>
    <row r="5017" spans="1:7">
      <c r="A5017">
        <v>5016</v>
      </c>
      <c r="B5017" t="str">
        <f>"022510"</f>
        <v>0</v>
      </c>
      <c r="C5017" t="s">
        <v>8206</v>
      </c>
      <c r="D5017" t="s">
        <v>8207</v>
      </c>
      <c r="E5017" t="str">
        <f>"5550500457936"</f>
        <v>0</v>
      </c>
      <c r="F5017" t="str">
        <f>"000980"</f>
        <v>0</v>
      </c>
      <c r="G5017" t="s">
        <v>21</v>
      </c>
    </row>
    <row r="5018" spans="1:7">
      <c r="A5018">
        <v>5017</v>
      </c>
      <c r="B5018" t="str">
        <f>"022512"</f>
        <v>0</v>
      </c>
      <c r="C5018" t="s">
        <v>8208</v>
      </c>
      <c r="D5018" t="s">
        <v>8209</v>
      </c>
      <c r="E5018" t="str">
        <f>"3559900201841"</f>
        <v>0</v>
      </c>
      <c r="F5018" t="str">
        <f>"000980"</f>
        <v>0</v>
      </c>
      <c r="G5018" t="s">
        <v>21</v>
      </c>
    </row>
    <row r="5019" spans="1:7">
      <c r="A5019">
        <v>5018</v>
      </c>
      <c r="B5019" t="str">
        <f>"022553"</f>
        <v>0</v>
      </c>
      <c r="C5019" t="s">
        <v>8210</v>
      </c>
      <c r="D5019" t="s">
        <v>8211</v>
      </c>
      <c r="E5019" t="str">
        <f>"3110102359699"</f>
        <v>0</v>
      </c>
      <c r="F5019" t="str">
        <f>"000980"</f>
        <v>0</v>
      </c>
      <c r="G5019" t="s">
        <v>21</v>
      </c>
    </row>
    <row r="5020" spans="1:7">
      <c r="A5020">
        <v>5019</v>
      </c>
      <c r="B5020" t="str">
        <f>"022710"</f>
        <v>0</v>
      </c>
      <c r="C5020" t="s">
        <v>8212</v>
      </c>
      <c r="D5020" t="s">
        <v>8213</v>
      </c>
      <c r="E5020" t="str">
        <f>"1559900002591"</f>
        <v>0</v>
      </c>
      <c r="F5020" t="str">
        <f>"000980"</f>
        <v>0</v>
      </c>
      <c r="G5020" t="s">
        <v>21</v>
      </c>
    </row>
    <row r="5021" spans="1:7">
      <c r="A5021">
        <v>5020</v>
      </c>
      <c r="B5021" t="str">
        <f>"022969"</f>
        <v>0</v>
      </c>
      <c r="C5021" t="s">
        <v>8214</v>
      </c>
      <c r="D5021" t="s">
        <v>8215</v>
      </c>
      <c r="E5021" t="str">
        <f>"3550700446095"</f>
        <v>0</v>
      </c>
      <c r="F5021" t="str">
        <f>"000980"</f>
        <v>0</v>
      </c>
      <c r="G5021" t="s">
        <v>21</v>
      </c>
    </row>
    <row r="5022" spans="1:7">
      <c r="A5022">
        <v>5021</v>
      </c>
      <c r="B5022" t="str">
        <f>"023221"</f>
        <v>0</v>
      </c>
      <c r="C5022" t="s">
        <v>8216</v>
      </c>
      <c r="D5022" t="s">
        <v>8217</v>
      </c>
      <c r="E5022" t="str">
        <f>"3500400311674"</f>
        <v>0</v>
      </c>
      <c r="F5022" t="str">
        <f>"000980"</f>
        <v>0</v>
      </c>
      <c r="G5022" t="s">
        <v>21</v>
      </c>
    </row>
    <row r="5023" spans="1:7">
      <c r="A5023">
        <v>5022</v>
      </c>
      <c r="B5023" t="str">
        <f>"023239"</f>
        <v>0</v>
      </c>
      <c r="C5023" t="s">
        <v>8218</v>
      </c>
      <c r="D5023" t="s">
        <v>8219</v>
      </c>
      <c r="E5023" t="str">
        <f>"1551100001780"</f>
        <v>0</v>
      </c>
      <c r="F5023" t="str">
        <f>"000980"</f>
        <v>0</v>
      </c>
      <c r="G5023" t="s">
        <v>21</v>
      </c>
    </row>
    <row r="5024" spans="1:7">
      <c r="A5024">
        <v>5023</v>
      </c>
      <c r="B5024" t="str">
        <f>"023266"</f>
        <v>0</v>
      </c>
      <c r="C5024" t="s">
        <v>8220</v>
      </c>
      <c r="D5024" t="s">
        <v>8221</v>
      </c>
      <c r="E5024" t="str">
        <f>"3550100162100"</f>
        <v>0</v>
      </c>
      <c r="F5024" t="str">
        <f>"000980"</f>
        <v>0</v>
      </c>
      <c r="G5024" t="s">
        <v>21</v>
      </c>
    </row>
    <row r="5025" spans="1:7">
      <c r="A5025">
        <v>5024</v>
      </c>
      <c r="B5025" t="str">
        <f>"023397"</f>
        <v>0</v>
      </c>
      <c r="C5025" t="s">
        <v>8222</v>
      </c>
      <c r="D5025" t="s">
        <v>8223</v>
      </c>
      <c r="E5025" t="str">
        <f>"3550700228268"</f>
        <v>0</v>
      </c>
      <c r="F5025" t="str">
        <f>"000980"</f>
        <v>0</v>
      </c>
      <c r="G5025" t="s">
        <v>21</v>
      </c>
    </row>
    <row r="5026" spans="1:7">
      <c r="A5026">
        <v>5025</v>
      </c>
      <c r="B5026" t="str">
        <f>"023573"</f>
        <v>0</v>
      </c>
      <c r="C5026" t="s">
        <v>8224</v>
      </c>
      <c r="D5026" t="s">
        <v>8225</v>
      </c>
      <c r="E5026" t="str">
        <f>"3550100565204"</f>
        <v>0</v>
      </c>
      <c r="F5026" t="str">
        <f>"000980"</f>
        <v>0</v>
      </c>
      <c r="G5026" t="s">
        <v>21</v>
      </c>
    </row>
    <row r="5027" spans="1:7">
      <c r="A5027">
        <v>5026</v>
      </c>
      <c r="B5027" t="str">
        <f>"023722"</f>
        <v>0</v>
      </c>
      <c r="C5027" t="s">
        <v>8226</v>
      </c>
      <c r="D5027" t="s">
        <v>8227</v>
      </c>
      <c r="E5027" t="str">
        <f>"1559900124298"</f>
        <v>0</v>
      </c>
      <c r="F5027" t="str">
        <f>"000980"</f>
        <v>0</v>
      </c>
      <c r="G5027" t="s">
        <v>21</v>
      </c>
    </row>
    <row r="5028" spans="1:7">
      <c r="A5028">
        <v>5027</v>
      </c>
      <c r="B5028" t="str">
        <f>"023905"</f>
        <v>0</v>
      </c>
      <c r="C5028" t="s">
        <v>8228</v>
      </c>
      <c r="D5028" t="s">
        <v>8229</v>
      </c>
      <c r="E5028" t="str">
        <f>"3550100539769"</f>
        <v>0</v>
      </c>
      <c r="F5028" t="str">
        <f>"000980"</f>
        <v>0</v>
      </c>
      <c r="G5028" t="s">
        <v>21</v>
      </c>
    </row>
    <row r="5029" spans="1:7">
      <c r="A5029">
        <v>5028</v>
      </c>
      <c r="B5029" t="str">
        <f>"024019"</f>
        <v>0</v>
      </c>
      <c r="C5029" t="s">
        <v>8230</v>
      </c>
      <c r="D5029" t="s">
        <v>8231</v>
      </c>
      <c r="E5029" t="str">
        <f>"1560100022328"</f>
        <v>0</v>
      </c>
      <c r="F5029" t="str">
        <f>"000980"</f>
        <v>0</v>
      </c>
      <c r="G5029" t="s">
        <v>21</v>
      </c>
    </row>
    <row r="5030" spans="1:7">
      <c r="A5030">
        <v>5029</v>
      </c>
      <c r="B5030" t="str">
        <f>"024173"</f>
        <v>0</v>
      </c>
      <c r="C5030" t="s">
        <v>8232</v>
      </c>
      <c r="D5030" t="s">
        <v>8233</v>
      </c>
      <c r="E5030" t="str">
        <f>"1551100038101"</f>
        <v>0</v>
      </c>
      <c r="F5030" t="str">
        <f>"000980"</f>
        <v>0</v>
      </c>
      <c r="G5030" t="s">
        <v>21</v>
      </c>
    </row>
    <row r="5031" spans="1:7">
      <c r="A5031">
        <v>5030</v>
      </c>
      <c r="B5031" t="str">
        <f>"024231"</f>
        <v>0</v>
      </c>
      <c r="C5031" t="s">
        <v>5158</v>
      </c>
      <c r="D5031" t="s">
        <v>8234</v>
      </c>
      <c r="E5031" t="str">
        <f>"1550500027645"</f>
        <v>0</v>
      </c>
      <c r="F5031" t="str">
        <f>"000980"</f>
        <v>0</v>
      </c>
      <c r="G5031" t="s">
        <v>21</v>
      </c>
    </row>
    <row r="5032" spans="1:7">
      <c r="A5032">
        <v>5031</v>
      </c>
      <c r="B5032" t="str">
        <f>"024354"</f>
        <v>0</v>
      </c>
      <c r="C5032" t="s">
        <v>1182</v>
      </c>
      <c r="D5032" t="s">
        <v>8235</v>
      </c>
      <c r="E5032" t="str">
        <f>"1550300027552"</f>
        <v>0</v>
      </c>
      <c r="F5032" t="str">
        <f>"000980"</f>
        <v>0</v>
      </c>
      <c r="G5032" t="s">
        <v>21</v>
      </c>
    </row>
    <row r="5033" spans="1:7">
      <c r="A5033">
        <v>5032</v>
      </c>
      <c r="B5033" t="str">
        <f>"024622"</f>
        <v>0</v>
      </c>
      <c r="C5033" t="s">
        <v>8236</v>
      </c>
      <c r="D5033" t="s">
        <v>8237</v>
      </c>
      <c r="E5033" t="str">
        <f>"5670290000365"</f>
        <v>0</v>
      </c>
      <c r="F5033" t="str">
        <f>"000980"</f>
        <v>0</v>
      </c>
      <c r="G5033" t="s">
        <v>21</v>
      </c>
    </row>
    <row r="5034" spans="1:7">
      <c r="A5034">
        <v>5033</v>
      </c>
      <c r="B5034" t="str">
        <f>"024670"</f>
        <v>0</v>
      </c>
      <c r="C5034" t="s">
        <v>1413</v>
      </c>
      <c r="D5034" t="s">
        <v>8238</v>
      </c>
      <c r="E5034" t="str">
        <f>"3550600231321"</f>
        <v>0</v>
      </c>
      <c r="F5034" t="str">
        <f>"000980"</f>
        <v>0</v>
      </c>
      <c r="G5034" t="s">
        <v>21</v>
      </c>
    </row>
    <row r="5035" spans="1:7">
      <c r="A5035">
        <v>5034</v>
      </c>
      <c r="B5035" t="str">
        <f>"024786"</f>
        <v>0</v>
      </c>
      <c r="C5035" t="s">
        <v>8239</v>
      </c>
      <c r="D5035" t="s">
        <v>8240</v>
      </c>
      <c r="E5035" t="str">
        <f>"1550500073779"</f>
        <v>0</v>
      </c>
      <c r="F5035" t="str">
        <f>"000980"</f>
        <v>0</v>
      </c>
      <c r="G5035" t="s">
        <v>21</v>
      </c>
    </row>
    <row r="5036" spans="1:7">
      <c r="A5036">
        <v>5035</v>
      </c>
      <c r="B5036" t="str">
        <f>"025278"</f>
        <v>0</v>
      </c>
      <c r="C5036" t="s">
        <v>8241</v>
      </c>
      <c r="D5036" t="s">
        <v>8242</v>
      </c>
      <c r="E5036" t="str">
        <f>"1550500075275"</f>
        <v>0</v>
      </c>
      <c r="F5036" t="str">
        <f>"000980"</f>
        <v>0</v>
      </c>
      <c r="G5036" t="s">
        <v>21</v>
      </c>
    </row>
    <row r="5037" spans="1:7">
      <c r="A5037">
        <v>5036</v>
      </c>
      <c r="B5037" t="str">
        <f>"025303"</f>
        <v>0</v>
      </c>
      <c r="C5037" t="s">
        <v>6994</v>
      </c>
      <c r="D5037" t="s">
        <v>8243</v>
      </c>
      <c r="E5037" t="str">
        <f>"1559900031460"</f>
        <v>0</v>
      </c>
      <c r="F5037" t="str">
        <f>"000980"</f>
        <v>0</v>
      </c>
      <c r="G5037" t="s">
        <v>21</v>
      </c>
    </row>
    <row r="5038" spans="1:7">
      <c r="A5038">
        <v>5037</v>
      </c>
      <c r="B5038" t="str">
        <f>"025431"</f>
        <v>0</v>
      </c>
      <c r="C5038" t="s">
        <v>8244</v>
      </c>
      <c r="D5038" t="s">
        <v>8245</v>
      </c>
      <c r="E5038" t="str">
        <f>"1550700069457"</f>
        <v>0</v>
      </c>
      <c r="F5038" t="str">
        <f>"000980"</f>
        <v>0</v>
      </c>
      <c r="G5038" t="s">
        <v>21</v>
      </c>
    </row>
    <row r="5039" spans="1:7">
      <c r="A5039">
        <v>5038</v>
      </c>
      <c r="B5039" t="str">
        <f>"025781"</f>
        <v>0</v>
      </c>
      <c r="C5039" t="s">
        <v>5158</v>
      </c>
      <c r="D5039" t="s">
        <v>8246</v>
      </c>
      <c r="E5039" t="str">
        <f>"3560300680082"</f>
        <v>0</v>
      </c>
      <c r="F5039" t="str">
        <f>"000980"</f>
        <v>0</v>
      </c>
      <c r="G5039" t="s">
        <v>21</v>
      </c>
    </row>
    <row r="5040" spans="1:7">
      <c r="A5040">
        <v>5039</v>
      </c>
      <c r="B5040" t="str">
        <f>"026212"</f>
        <v>0</v>
      </c>
      <c r="C5040" t="s">
        <v>8247</v>
      </c>
      <c r="D5040" t="s">
        <v>8248</v>
      </c>
      <c r="E5040" t="str">
        <f>"5550200021377"</f>
        <v>0</v>
      </c>
      <c r="F5040" t="str">
        <f>"000980"</f>
        <v>0</v>
      </c>
      <c r="G5040" t="s">
        <v>21</v>
      </c>
    </row>
    <row r="5041" spans="1:7">
      <c r="A5041">
        <v>5040</v>
      </c>
      <c r="B5041" t="str">
        <f>"026351"</f>
        <v>0</v>
      </c>
      <c r="C5041" t="s">
        <v>1104</v>
      </c>
      <c r="D5041" t="s">
        <v>8249</v>
      </c>
      <c r="E5041" t="str">
        <f>"1550400053059"</f>
        <v>0</v>
      </c>
      <c r="F5041" t="str">
        <f>"000980"</f>
        <v>0</v>
      </c>
      <c r="G5041" t="s">
        <v>21</v>
      </c>
    </row>
    <row r="5042" spans="1:7">
      <c r="A5042">
        <v>5041</v>
      </c>
      <c r="B5042" t="str">
        <f>"027136"</f>
        <v>0</v>
      </c>
      <c r="C5042" t="s">
        <v>8250</v>
      </c>
      <c r="D5042" t="s">
        <v>8234</v>
      </c>
      <c r="E5042" t="str">
        <f>"1550500132911"</f>
        <v>0</v>
      </c>
      <c r="F5042" t="str">
        <f>"000980"</f>
        <v>0</v>
      </c>
      <c r="G5042" t="s">
        <v>21</v>
      </c>
    </row>
    <row r="5043" spans="1:7">
      <c r="A5043">
        <v>5042</v>
      </c>
      <c r="B5043" t="str">
        <f>"027305"</f>
        <v>0</v>
      </c>
      <c r="C5043" t="s">
        <v>8251</v>
      </c>
      <c r="D5043" t="s">
        <v>8252</v>
      </c>
      <c r="E5043" t="str">
        <f>"1550800004624"</f>
        <v>0</v>
      </c>
      <c r="F5043" t="str">
        <f>"000980"</f>
        <v>0</v>
      </c>
      <c r="G5043" t="s">
        <v>21</v>
      </c>
    </row>
    <row r="5044" spans="1:7">
      <c r="A5044">
        <v>5043</v>
      </c>
      <c r="B5044" t="str">
        <f>"027306"</f>
        <v>0</v>
      </c>
      <c r="C5044" t="s">
        <v>8253</v>
      </c>
      <c r="D5044" t="s">
        <v>8254</v>
      </c>
      <c r="E5044" t="str">
        <f>"3311100537998"</f>
        <v>0</v>
      </c>
      <c r="F5044" t="str">
        <f>"000980"</f>
        <v>0</v>
      </c>
      <c r="G5044" t="s">
        <v>21</v>
      </c>
    </row>
    <row r="5045" spans="1:7">
      <c r="A5045">
        <v>5044</v>
      </c>
      <c r="B5045" t="str">
        <f>"027364"</f>
        <v>0</v>
      </c>
      <c r="C5045" t="s">
        <v>8255</v>
      </c>
      <c r="D5045" t="s">
        <v>8256</v>
      </c>
      <c r="E5045" t="str">
        <f>"1550700082178"</f>
        <v>0</v>
      </c>
      <c r="F5045" t="str">
        <f>"000980"</f>
        <v>0</v>
      </c>
      <c r="G5045" t="s">
        <v>21</v>
      </c>
    </row>
    <row r="5046" spans="1:7">
      <c r="A5046">
        <v>5045</v>
      </c>
      <c r="B5046" t="str">
        <f>"027366"</f>
        <v>0</v>
      </c>
      <c r="C5046" t="s">
        <v>8257</v>
      </c>
      <c r="D5046" t="s">
        <v>8258</v>
      </c>
      <c r="E5046" t="str">
        <f>"1550700093552"</f>
        <v>0</v>
      </c>
      <c r="F5046" t="str">
        <f>"000980"</f>
        <v>0</v>
      </c>
      <c r="G5046" t="s">
        <v>21</v>
      </c>
    </row>
    <row r="5047" spans="1:7">
      <c r="A5047">
        <v>5046</v>
      </c>
      <c r="B5047" t="str">
        <f>"027367"</f>
        <v>0</v>
      </c>
      <c r="C5047" t="s">
        <v>1777</v>
      </c>
      <c r="D5047" t="s">
        <v>8259</v>
      </c>
      <c r="E5047" t="str">
        <f>"1551100003600"</f>
        <v>0</v>
      </c>
      <c r="F5047" t="str">
        <f>"000980"</f>
        <v>0</v>
      </c>
      <c r="G5047" t="s">
        <v>21</v>
      </c>
    </row>
    <row r="5048" spans="1:7">
      <c r="A5048">
        <v>5047</v>
      </c>
      <c r="B5048" t="str">
        <f>"026718"</f>
        <v>0</v>
      </c>
      <c r="C5048" t="s">
        <v>4577</v>
      </c>
      <c r="D5048" t="s">
        <v>8260</v>
      </c>
      <c r="E5048" t="str">
        <f>"1560300097747"</f>
        <v>0</v>
      </c>
      <c r="F5048" t="str">
        <f>"000980"</f>
        <v>0</v>
      </c>
      <c r="G5048" t="s">
        <v>21</v>
      </c>
    </row>
    <row r="5049" spans="1:7">
      <c r="A5049">
        <v>5048</v>
      </c>
      <c r="B5049" t="str">
        <f>"027362"</f>
        <v>0</v>
      </c>
      <c r="C5049" t="s">
        <v>8261</v>
      </c>
      <c r="D5049" t="s">
        <v>8262</v>
      </c>
      <c r="E5049" t="str">
        <f>"1560300224781"</f>
        <v>0</v>
      </c>
      <c r="F5049" t="str">
        <f>"000980"</f>
        <v>0</v>
      </c>
      <c r="G5049" t="s">
        <v>21</v>
      </c>
    </row>
    <row r="5050" spans="1:7">
      <c r="A5050">
        <v>5049</v>
      </c>
      <c r="B5050" t="str">
        <f>"026719"</f>
        <v>0</v>
      </c>
      <c r="C5050" t="s">
        <v>8263</v>
      </c>
      <c r="D5050" t="s">
        <v>8264</v>
      </c>
      <c r="E5050" t="str">
        <f>"1570400082458"</f>
        <v>0</v>
      </c>
      <c r="F5050" t="str">
        <f>"000980"</f>
        <v>0</v>
      </c>
      <c r="G5050" t="s">
        <v>21</v>
      </c>
    </row>
    <row r="5051" spans="1:7">
      <c r="A5051">
        <v>5050</v>
      </c>
      <c r="B5051" t="str">
        <f>"026720"</f>
        <v>0</v>
      </c>
      <c r="C5051" t="s">
        <v>814</v>
      </c>
      <c r="D5051" t="s">
        <v>8265</v>
      </c>
      <c r="E5051" t="str">
        <f>"1570700122790"</f>
        <v>0</v>
      </c>
      <c r="F5051" t="str">
        <f>"000980"</f>
        <v>0</v>
      </c>
      <c r="G5051" t="s">
        <v>21</v>
      </c>
    </row>
    <row r="5052" spans="1:7">
      <c r="A5052">
        <v>5051</v>
      </c>
      <c r="B5052" t="str">
        <f>"024446"</f>
        <v>0</v>
      </c>
      <c r="C5052" t="s">
        <v>8266</v>
      </c>
      <c r="D5052" t="s">
        <v>8267</v>
      </c>
      <c r="E5052" t="str">
        <f>"3550900273887"</f>
        <v>0</v>
      </c>
      <c r="F5052" t="str">
        <f>"000980"</f>
        <v>0</v>
      </c>
      <c r="G5052" t="s">
        <v>21</v>
      </c>
    </row>
    <row r="5053" spans="1:7">
      <c r="A5053">
        <v>5052</v>
      </c>
      <c r="B5053" t="str">
        <f>"009474"</f>
        <v>0</v>
      </c>
      <c r="C5053" t="s">
        <v>130</v>
      </c>
      <c r="D5053" t="s">
        <v>8059</v>
      </c>
      <c r="E5053" t="str">
        <f>"3539900115619"</f>
        <v>0</v>
      </c>
      <c r="F5053" t="str">
        <f>"000980"</f>
        <v>0</v>
      </c>
      <c r="G5053" t="s">
        <v>21</v>
      </c>
    </row>
    <row r="5054" spans="1:7">
      <c r="A5054">
        <v>5053</v>
      </c>
      <c r="B5054" t="str">
        <f>"012495"</f>
        <v>0</v>
      </c>
      <c r="C5054" t="s">
        <v>678</v>
      </c>
      <c r="D5054" t="s">
        <v>3336</v>
      </c>
      <c r="E5054" t="str">
        <f>"5609790001954"</f>
        <v>0</v>
      </c>
      <c r="F5054" t="str">
        <f>"000980"</f>
        <v>0</v>
      </c>
      <c r="G5054" t="s">
        <v>21</v>
      </c>
    </row>
    <row r="5055" spans="1:7">
      <c r="A5055">
        <v>5054</v>
      </c>
      <c r="B5055" t="str">
        <f>"015701"</f>
        <v>0</v>
      </c>
      <c r="C5055" t="s">
        <v>1541</v>
      </c>
      <c r="D5055" t="s">
        <v>8268</v>
      </c>
      <c r="E5055" t="str">
        <f>"3550100446311"</f>
        <v>0</v>
      </c>
      <c r="F5055" t="str">
        <f>"000980"</f>
        <v>0</v>
      </c>
      <c r="G5055" t="s">
        <v>21</v>
      </c>
    </row>
    <row r="5056" spans="1:7">
      <c r="A5056">
        <v>5055</v>
      </c>
      <c r="B5056" t="str">
        <f>"015702"</f>
        <v>0</v>
      </c>
      <c r="C5056" t="s">
        <v>8269</v>
      </c>
      <c r="D5056" t="s">
        <v>8270</v>
      </c>
      <c r="E5056" t="str">
        <f>"3550100478166"</f>
        <v>0</v>
      </c>
      <c r="F5056" t="str">
        <f>"000980"</f>
        <v>0</v>
      </c>
      <c r="G5056" t="s">
        <v>21</v>
      </c>
    </row>
    <row r="5057" spans="1:7">
      <c r="A5057">
        <v>5056</v>
      </c>
      <c r="B5057" t="str">
        <f>"015703"</f>
        <v>0</v>
      </c>
      <c r="C5057" t="s">
        <v>379</v>
      </c>
      <c r="D5057" t="s">
        <v>8271</v>
      </c>
      <c r="E5057" t="str">
        <f>"3550100478514"</f>
        <v>0</v>
      </c>
      <c r="F5057" t="str">
        <f>"000980"</f>
        <v>0</v>
      </c>
      <c r="G5057" t="s">
        <v>21</v>
      </c>
    </row>
    <row r="5058" spans="1:7">
      <c r="A5058">
        <v>5057</v>
      </c>
      <c r="B5058" t="str">
        <f>"015706"</f>
        <v>0</v>
      </c>
      <c r="C5058" t="s">
        <v>130</v>
      </c>
      <c r="D5058" t="s">
        <v>4958</v>
      </c>
      <c r="E5058" t="str">
        <f>"3559900011244"</f>
        <v>0</v>
      </c>
      <c r="F5058" t="str">
        <f>"000980"</f>
        <v>0</v>
      </c>
      <c r="G5058" t="s">
        <v>21</v>
      </c>
    </row>
    <row r="5059" spans="1:7">
      <c r="A5059">
        <v>5058</v>
      </c>
      <c r="B5059" t="str">
        <f>"015707"</f>
        <v>0</v>
      </c>
      <c r="C5059" t="s">
        <v>8272</v>
      </c>
      <c r="D5059" t="s">
        <v>8273</v>
      </c>
      <c r="E5059" t="str">
        <f>"3550101088019"</f>
        <v>0</v>
      </c>
      <c r="F5059" t="str">
        <f>"000980"</f>
        <v>0</v>
      </c>
      <c r="G5059" t="s">
        <v>21</v>
      </c>
    </row>
    <row r="5060" spans="1:7">
      <c r="A5060">
        <v>5059</v>
      </c>
      <c r="B5060" t="str">
        <f>"015710"</f>
        <v>0</v>
      </c>
      <c r="C5060" t="s">
        <v>1847</v>
      </c>
      <c r="D5060" t="s">
        <v>8274</v>
      </c>
      <c r="E5060" t="str">
        <f>"3550100478417"</f>
        <v>0</v>
      </c>
      <c r="F5060" t="str">
        <f>"000980"</f>
        <v>0</v>
      </c>
      <c r="G5060" t="s">
        <v>21</v>
      </c>
    </row>
    <row r="5061" spans="1:7">
      <c r="A5061">
        <v>5060</v>
      </c>
      <c r="B5061" t="str">
        <f>"016904"</f>
        <v>0</v>
      </c>
      <c r="C5061" t="s">
        <v>8275</v>
      </c>
      <c r="D5061" t="s">
        <v>8276</v>
      </c>
      <c r="E5061" t="str">
        <f>"3559900163656"</f>
        <v>0</v>
      </c>
      <c r="F5061" t="str">
        <f>"000980"</f>
        <v>0</v>
      </c>
      <c r="G5061" t="s">
        <v>21</v>
      </c>
    </row>
    <row r="5062" spans="1:7">
      <c r="A5062">
        <v>5061</v>
      </c>
      <c r="B5062" t="str">
        <f>"017642"</f>
        <v>0</v>
      </c>
      <c r="C5062" t="s">
        <v>8277</v>
      </c>
      <c r="D5062" t="s">
        <v>8278</v>
      </c>
      <c r="E5062" t="str">
        <f>"3240500118011"</f>
        <v>0</v>
      </c>
      <c r="F5062" t="str">
        <f>"000980"</f>
        <v>0</v>
      </c>
      <c r="G5062" t="s">
        <v>21</v>
      </c>
    </row>
    <row r="5063" spans="1:7">
      <c r="A5063">
        <v>5062</v>
      </c>
      <c r="B5063" t="str">
        <f>"019007"</f>
        <v>0</v>
      </c>
      <c r="C5063" t="s">
        <v>130</v>
      </c>
      <c r="D5063" t="s">
        <v>2390</v>
      </c>
      <c r="E5063" t="str">
        <f>"3550100478662"</f>
        <v>0</v>
      </c>
      <c r="F5063" t="str">
        <f>"000980"</f>
        <v>0</v>
      </c>
      <c r="G5063" t="s">
        <v>21</v>
      </c>
    </row>
    <row r="5064" spans="1:7">
      <c r="A5064">
        <v>5063</v>
      </c>
      <c r="B5064" t="str">
        <f>"024947"</f>
        <v>0</v>
      </c>
      <c r="C5064" t="s">
        <v>8279</v>
      </c>
      <c r="D5064" t="s">
        <v>8280</v>
      </c>
      <c r="E5064" t="str">
        <f>"3559900149831"</f>
        <v>0</v>
      </c>
      <c r="F5064" t="str">
        <f>"000980"</f>
        <v>0</v>
      </c>
      <c r="G5064" t="s">
        <v>21</v>
      </c>
    </row>
    <row r="5065" spans="1:7">
      <c r="A5065">
        <v>5064</v>
      </c>
      <c r="B5065" t="str">
        <f>"025444"</f>
        <v>0</v>
      </c>
      <c r="C5065" t="s">
        <v>8281</v>
      </c>
      <c r="D5065" t="s">
        <v>8282</v>
      </c>
      <c r="E5065" t="str">
        <f>"3550100228801"</f>
        <v>0</v>
      </c>
      <c r="F5065" t="str">
        <f>"000980"</f>
        <v>0</v>
      </c>
      <c r="G5065" t="s">
        <v>21</v>
      </c>
    </row>
    <row r="5066" spans="1:7">
      <c r="A5066">
        <v>5065</v>
      </c>
      <c r="B5066" t="str">
        <f>"027547"</f>
        <v>0</v>
      </c>
      <c r="C5066" t="s">
        <v>8283</v>
      </c>
      <c r="D5066" t="s">
        <v>8284</v>
      </c>
      <c r="E5066" t="str">
        <f>"1580400104664"</f>
        <v>0</v>
      </c>
      <c r="F5066" t="str">
        <f>"000980"</f>
        <v>0</v>
      </c>
      <c r="G5066" t="s">
        <v>21</v>
      </c>
    </row>
    <row r="5067" spans="1:7">
      <c r="A5067">
        <v>5066</v>
      </c>
      <c r="B5067" t="str">
        <f>"027548"</f>
        <v>0</v>
      </c>
      <c r="C5067" t="s">
        <v>8285</v>
      </c>
      <c r="D5067" t="s">
        <v>8286</v>
      </c>
      <c r="E5067" t="str">
        <f>"1929900461525"</f>
        <v>0</v>
      </c>
      <c r="F5067" t="str">
        <f>"000980"</f>
        <v>0</v>
      </c>
      <c r="G5067" t="s">
        <v>21</v>
      </c>
    </row>
    <row r="5068" spans="1:7">
      <c r="A5068">
        <v>5067</v>
      </c>
      <c r="B5068" t="str">
        <f>"027549"</f>
        <v>0</v>
      </c>
      <c r="C5068" t="s">
        <v>8287</v>
      </c>
      <c r="D5068" t="s">
        <v>8288</v>
      </c>
      <c r="E5068" t="str">
        <f>"1550500079254"</f>
        <v>0</v>
      </c>
      <c r="F5068" t="str">
        <f>"000980"</f>
        <v>0</v>
      </c>
      <c r="G5068" t="s">
        <v>21</v>
      </c>
    </row>
    <row r="5069" spans="1:7">
      <c r="A5069">
        <v>5068</v>
      </c>
      <c r="B5069" t="str">
        <f>"027550"</f>
        <v>0</v>
      </c>
      <c r="C5069" t="s">
        <v>753</v>
      </c>
      <c r="D5069" t="s">
        <v>8289</v>
      </c>
      <c r="E5069" t="str">
        <f>"1929900356101"</f>
        <v>0</v>
      </c>
      <c r="F5069" t="str">
        <f>"000980"</f>
        <v>0</v>
      </c>
      <c r="G5069" t="s">
        <v>21</v>
      </c>
    </row>
    <row r="5070" spans="1:7">
      <c r="A5070">
        <v>5069</v>
      </c>
      <c r="B5070" t="str">
        <f>"001808"</f>
        <v>0</v>
      </c>
      <c r="C5070" t="s">
        <v>2434</v>
      </c>
      <c r="D5070" t="s">
        <v>6595</v>
      </c>
      <c r="E5070" t="str">
        <f>"3961100126038"</f>
        <v>0</v>
      </c>
      <c r="F5070" t="str">
        <f>"001010"</f>
        <v>0</v>
      </c>
      <c r="G5070" t="s">
        <v>21</v>
      </c>
    </row>
    <row r="5071" spans="1:7">
      <c r="A5071">
        <v>5070</v>
      </c>
      <c r="B5071" t="str">
        <f>"001809"</f>
        <v>0</v>
      </c>
      <c r="C5071" t="s">
        <v>8290</v>
      </c>
      <c r="D5071" t="s">
        <v>8291</v>
      </c>
      <c r="E5071" t="str">
        <f>"3940800031292"</f>
        <v>0</v>
      </c>
      <c r="F5071" t="str">
        <f>"001010"</f>
        <v>0</v>
      </c>
      <c r="G5071" t="s">
        <v>21</v>
      </c>
    </row>
    <row r="5072" spans="1:7">
      <c r="A5072">
        <v>5071</v>
      </c>
      <c r="B5072" t="str">
        <f>"003966"</f>
        <v>0</v>
      </c>
      <c r="C5072" t="s">
        <v>8292</v>
      </c>
      <c r="D5072" t="s">
        <v>8293</v>
      </c>
      <c r="E5072" t="str">
        <f>"3809700182034"</f>
        <v>0</v>
      </c>
      <c r="F5072" t="str">
        <f>"001010"</f>
        <v>0</v>
      </c>
      <c r="G5072" t="s">
        <v>21</v>
      </c>
    </row>
    <row r="5073" spans="1:7">
      <c r="A5073">
        <v>5072</v>
      </c>
      <c r="B5073" t="str">
        <f>"004776"</f>
        <v>0</v>
      </c>
      <c r="C5073" t="s">
        <v>4372</v>
      </c>
      <c r="D5073" t="s">
        <v>8294</v>
      </c>
      <c r="E5073" t="str">
        <f>"3960400033328"</f>
        <v>0</v>
      </c>
      <c r="F5073" t="str">
        <f>"001010"</f>
        <v>0</v>
      </c>
      <c r="G5073" t="s">
        <v>21</v>
      </c>
    </row>
    <row r="5074" spans="1:7">
      <c r="A5074">
        <v>5073</v>
      </c>
      <c r="B5074" t="str">
        <f>"006428"</f>
        <v>0</v>
      </c>
      <c r="C5074" t="s">
        <v>311</v>
      </c>
      <c r="D5074" t="s">
        <v>8295</v>
      </c>
      <c r="E5074" t="str">
        <f>"3969800008051"</f>
        <v>0</v>
      </c>
      <c r="F5074" t="str">
        <f>"001010"</f>
        <v>0</v>
      </c>
      <c r="G5074" t="s">
        <v>21</v>
      </c>
    </row>
    <row r="5075" spans="1:7">
      <c r="A5075">
        <v>5074</v>
      </c>
      <c r="B5075" t="str">
        <f>"006885"</f>
        <v>0</v>
      </c>
      <c r="C5075" t="s">
        <v>3080</v>
      </c>
      <c r="D5075" t="s">
        <v>8296</v>
      </c>
      <c r="E5075" t="str">
        <f>"5960299003569"</f>
        <v>0</v>
      </c>
      <c r="F5075" t="str">
        <f>"001010"</f>
        <v>0</v>
      </c>
      <c r="G5075" t="s">
        <v>21</v>
      </c>
    </row>
    <row r="5076" spans="1:7">
      <c r="A5076">
        <v>5075</v>
      </c>
      <c r="B5076" t="str">
        <f>"007958"</f>
        <v>0</v>
      </c>
      <c r="C5076" t="s">
        <v>8297</v>
      </c>
      <c r="D5076" t="s">
        <v>8298</v>
      </c>
      <c r="E5076" t="str">
        <f>"3969900115593"</f>
        <v>0</v>
      </c>
      <c r="F5076" t="str">
        <f>"001010"</f>
        <v>0</v>
      </c>
      <c r="G5076" t="s">
        <v>21</v>
      </c>
    </row>
    <row r="5077" spans="1:7">
      <c r="A5077">
        <v>5076</v>
      </c>
      <c r="B5077" t="str">
        <f>"008272"</f>
        <v>0</v>
      </c>
      <c r="C5077" t="s">
        <v>8299</v>
      </c>
      <c r="D5077" t="s">
        <v>8300</v>
      </c>
      <c r="E5077" t="str">
        <f>"3960500101589"</f>
        <v>0</v>
      </c>
      <c r="F5077" t="str">
        <f>"001010"</f>
        <v>0</v>
      </c>
      <c r="G5077" t="s">
        <v>21</v>
      </c>
    </row>
    <row r="5078" spans="1:7">
      <c r="A5078">
        <v>5077</v>
      </c>
      <c r="B5078" t="str">
        <f>"008810"</f>
        <v>0</v>
      </c>
      <c r="C5078" t="s">
        <v>3014</v>
      </c>
      <c r="D5078" t="s">
        <v>8301</v>
      </c>
      <c r="E5078" t="str">
        <f>"3960200332682"</f>
        <v>0</v>
      </c>
      <c r="F5078" t="str">
        <f>"001010"</f>
        <v>0</v>
      </c>
      <c r="G5078" t="s">
        <v>21</v>
      </c>
    </row>
    <row r="5079" spans="1:7">
      <c r="A5079">
        <v>5078</v>
      </c>
      <c r="B5079" t="str">
        <f>"009160"</f>
        <v>0</v>
      </c>
      <c r="C5079" t="s">
        <v>8302</v>
      </c>
      <c r="D5079" t="s">
        <v>8303</v>
      </c>
      <c r="E5079" t="str">
        <f>"3960800031292"</f>
        <v>0</v>
      </c>
      <c r="F5079" t="str">
        <f>"001010"</f>
        <v>0</v>
      </c>
      <c r="G5079" t="s">
        <v>21</v>
      </c>
    </row>
    <row r="5080" spans="1:7">
      <c r="A5080">
        <v>5079</v>
      </c>
      <c r="B5080" t="str">
        <f>"010273"</f>
        <v>0</v>
      </c>
      <c r="C5080" t="s">
        <v>3823</v>
      </c>
      <c r="D5080" t="s">
        <v>8304</v>
      </c>
      <c r="E5080" t="str">
        <f>"3960400033352"</f>
        <v>0</v>
      </c>
      <c r="F5080" t="str">
        <f>"001010"</f>
        <v>0</v>
      </c>
      <c r="G5080" t="s">
        <v>21</v>
      </c>
    </row>
    <row r="5081" spans="1:7">
      <c r="A5081">
        <v>5080</v>
      </c>
      <c r="B5081" t="str">
        <f>"010283"</f>
        <v>0</v>
      </c>
      <c r="C5081" t="s">
        <v>5340</v>
      </c>
      <c r="D5081" t="s">
        <v>8305</v>
      </c>
      <c r="E5081" t="str">
        <f>"3110300114871"</f>
        <v>0</v>
      </c>
      <c r="F5081" t="str">
        <f>"001010"</f>
        <v>0</v>
      </c>
      <c r="G5081" t="s">
        <v>21</v>
      </c>
    </row>
    <row r="5082" spans="1:7">
      <c r="A5082">
        <v>5081</v>
      </c>
      <c r="B5082" t="str">
        <f>"010418"</f>
        <v>0</v>
      </c>
      <c r="C5082" t="s">
        <v>3776</v>
      </c>
      <c r="D5082" t="s">
        <v>1039</v>
      </c>
      <c r="E5082" t="str">
        <f>"3961000007126"</f>
        <v>0</v>
      </c>
      <c r="F5082" t="str">
        <f>"001010"</f>
        <v>0</v>
      </c>
      <c r="G5082" t="s">
        <v>21</v>
      </c>
    </row>
    <row r="5083" spans="1:7">
      <c r="A5083">
        <v>5082</v>
      </c>
      <c r="B5083" t="str">
        <f>"010519"</f>
        <v>0</v>
      </c>
      <c r="C5083" t="s">
        <v>8306</v>
      </c>
      <c r="D5083" t="s">
        <v>8307</v>
      </c>
      <c r="E5083" t="str">
        <f>"3961100161917"</f>
        <v>0</v>
      </c>
      <c r="F5083" t="str">
        <f>"001010"</f>
        <v>0</v>
      </c>
      <c r="G5083" t="s">
        <v>21</v>
      </c>
    </row>
    <row r="5084" spans="1:7">
      <c r="A5084">
        <v>5083</v>
      </c>
      <c r="B5084" t="str">
        <f>"011330"</f>
        <v>0</v>
      </c>
      <c r="C5084" t="s">
        <v>2320</v>
      </c>
      <c r="D5084" t="s">
        <v>8308</v>
      </c>
      <c r="E5084" t="str">
        <f>"3969800078521"</f>
        <v>0</v>
      </c>
      <c r="F5084" t="str">
        <f>"001010"</f>
        <v>0</v>
      </c>
      <c r="G5084" t="s">
        <v>21</v>
      </c>
    </row>
    <row r="5085" spans="1:7">
      <c r="A5085">
        <v>5084</v>
      </c>
      <c r="B5085" t="str">
        <f>"011424"</f>
        <v>0</v>
      </c>
      <c r="C5085" t="s">
        <v>8309</v>
      </c>
      <c r="D5085" t="s">
        <v>8310</v>
      </c>
      <c r="E5085" t="str">
        <f>"3960600111161"</f>
        <v>0</v>
      </c>
      <c r="F5085" t="str">
        <f>"001010"</f>
        <v>0</v>
      </c>
      <c r="G5085" t="s">
        <v>21</v>
      </c>
    </row>
    <row r="5086" spans="1:7">
      <c r="A5086">
        <v>5085</v>
      </c>
      <c r="B5086" t="str">
        <f>"012504"</f>
        <v>0</v>
      </c>
      <c r="C5086" t="s">
        <v>847</v>
      </c>
      <c r="D5086" t="s">
        <v>8311</v>
      </c>
      <c r="E5086" t="str">
        <f>"5960999001682"</f>
        <v>0</v>
      </c>
      <c r="F5086" t="str">
        <f>"001010"</f>
        <v>0</v>
      </c>
      <c r="G5086" t="s">
        <v>21</v>
      </c>
    </row>
    <row r="5087" spans="1:7">
      <c r="A5087">
        <v>5086</v>
      </c>
      <c r="B5087" t="str">
        <f>"013033"</f>
        <v>0</v>
      </c>
      <c r="C5087" t="s">
        <v>755</v>
      </c>
      <c r="D5087" t="s">
        <v>8312</v>
      </c>
      <c r="E5087" t="str">
        <f>"3801600217467"</f>
        <v>0</v>
      </c>
      <c r="F5087" t="str">
        <f>"001010"</f>
        <v>0</v>
      </c>
      <c r="G5087" t="s">
        <v>21</v>
      </c>
    </row>
    <row r="5088" spans="1:7">
      <c r="A5088">
        <v>5087</v>
      </c>
      <c r="B5088" t="str">
        <f>"013097"</f>
        <v>0</v>
      </c>
      <c r="C5088" t="s">
        <v>8313</v>
      </c>
      <c r="D5088" t="s">
        <v>8314</v>
      </c>
      <c r="E5088" t="str">
        <f>"5961199008713"</f>
        <v>0</v>
      </c>
      <c r="F5088" t="str">
        <f>"001010"</f>
        <v>0</v>
      </c>
      <c r="G5088" t="s">
        <v>21</v>
      </c>
    </row>
    <row r="5089" spans="1:7">
      <c r="A5089">
        <v>5088</v>
      </c>
      <c r="B5089" t="str">
        <f>"012679"</f>
        <v>0</v>
      </c>
      <c r="C5089" t="s">
        <v>5133</v>
      </c>
      <c r="D5089" t="s">
        <v>8315</v>
      </c>
      <c r="E5089" t="str">
        <f>"3960100392357"</f>
        <v>0</v>
      </c>
      <c r="F5089" t="str">
        <f>"001010"</f>
        <v>0</v>
      </c>
      <c r="G5089" t="s">
        <v>21</v>
      </c>
    </row>
    <row r="5090" spans="1:7">
      <c r="A5090">
        <v>5089</v>
      </c>
      <c r="B5090" t="str">
        <f>"012775"</f>
        <v>0</v>
      </c>
      <c r="C5090" t="s">
        <v>7140</v>
      </c>
      <c r="D5090" t="s">
        <v>8316</v>
      </c>
      <c r="E5090" t="str">
        <f>"3969900131564"</f>
        <v>0</v>
      </c>
      <c r="F5090" t="str">
        <f>"001010"</f>
        <v>0</v>
      </c>
      <c r="G5090" t="s">
        <v>21</v>
      </c>
    </row>
    <row r="5091" spans="1:7">
      <c r="A5091">
        <v>5090</v>
      </c>
      <c r="B5091" t="str">
        <f>"023797"</f>
        <v>0</v>
      </c>
      <c r="C5091" t="s">
        <v>8317</v>
      </c>
      <c r="D5091" t="s">
        <v>8318</v>
      </c>
      <c r="E5091" t="str">
        <f>"3969900244369"</f>
        <v>0</v>
      </c>
      <c r="F5091" t="str">
        <f>"001010"</f>
        <v>0</v>
      </c>
      <c r="G5091" t="s">
        <v>21</v>
      </c>
    </row>
    <row r="5092" spans="1:7">
      <c r="A5092">
        <v>5091</v>
      </c>
      <c r="B5092" t="str">
        <f>"024236"</f>
        <v>0</v>
      </c>
      <c r="C5092" t="s">
        <v>8319</v>
      </c>
      <c r="D5092" t="s">
        <v>8320</v>
      </c>
      <c r="E5092" t="str">
        <f>"3969900248011"</f>
        <v>0</v>
      </c>
      <c r="F5092" t="str">
        <f>"001010"</f>
        <v>0</v>
      </c>
      <c r="G5092" t="s">
        <v>21</v>
      </c>
    </row>
    <row r="5093" spans="1:7">
      <c r="A5093">
        <v>5092</v>
      </c>
      <c r="B5093" t="str">
        <f>"025064"</f>
        <v>0</v>
      </c>
      <c r="C5093" t="s">
        <v>8321</v>
      </c>
      <c r="D5093" t="s">
        <v>8322</v>
      </c>
      <c r="E5093" t="str">
        <f>"1969900001613"</f>
        <v>0</v>
      </c>
      <c r="F5093" t="str">
        <f>"001010"</f>
        <v>0</v>
      </c>
      <c r="G5093" t="s">
        <v>21</v>
      </c>
    </row>
    <row r="5094" spans="1:7">
      <c r="A5094">
        <v>5093</v>
      </c>
      <c r="B5094" t="str">
        <f>"020836"</f>
        <v>0</v>
      </c>
      <c r="C5094" t="s">
        <v>2208</v>
      </c>
      <c r="D5094" t="s">
        <v>8323</v>
      </c>
      <c r="E5094" t="str">
        <f>"3960900079874"</f>
        <v>0</v>
      </c>
      <c r="F5094" t="str">
        <f>"001010"</f>
        <v>0</v>
      </c>
      <c r="G5094" t="s">
        <v>21</v>
      </c>
    </row>
    <row r="5095" spans="1:7">
      <c r="A5095">
        <v>5094</v>
      </c>
      <c r="B5095" t="str">
        <f>"020888"</f>
        <v>0</v>
      </c>
      <c r="C5095" t="s">
        <v>8324</v>
      </c>
      <c r="D5095" t="s">
        <v>8325</v>
      </c>
      <c r="E5095" t="str">
        <f>"3960100419409"</f>
        <v>0</v>
      </c>
      <c r="F5095" t="str">
        <f>"001010"</f>
        <v>0</v>
      </c>
      <c r="G5095" t="s">
        <v>21</v>
      </c>
    </row>
    <row r="5096" spans="1:7">
      <c r="A5096">
        <v>5095</v>
      </c>
      <c r="B5096" t="str">
        <f>"021748"</f>
        <v>0</v>
      </c>
      <c r="C5096" t="s">
        <v>8326</v>
      </c>
      <c r="D5096" t="s">
        <v>8327</v>
      </c>
      <c r="E5096" t="str">
        <f>"3940700110484"</f>
        <v>0</v>
      </c>
      <c r="F5096" t="str">
        <f>"001010"</f>
        <v>0</v>
      </c>
      <c r="G5096" t="s">
        <v>21</v>
      </c>
    </row>
    <row r="5097" spans="1:7">
      <c r="A5097">
        <v>5096</v>
      </c>
      <c r="B5097" t="str">
        <f>"024709"</f>
        <v>0</v>
      </c>
      <c r="C5097" t="s">
        <v>8328</v>
      </c>
      <c r="D5097" t="s">
        <v>8329</v>
      </c>
      <c r="E5097" t="str">
        <f>"1930500006121"</f>
        <v>0</v>
      </c>
      <c r="F5097" t="str">
        <f>"001010"</f>
        <v>0</v>
      </c>
      <c r="G5097" t="s">
        <v>21</v>
      </c>
    </row>
    <row r="5098" spans="1:7">
      <c r="A5098">
        <v>5097</v>
      </c>
      <c r="B5098" t="str">
        <f>"026353"</f>
        <v>0</v>
      </c>
      <c r="C5098" t="s">
        <v>8330</v>
      </c>
      <c r="D5098" t="s">
        <v>8331</v>
      </c>
      <c r="E5098" t="str">
        <f>"3259900187655"</f>
        <v>0</v>
      </c>
      <c r="F5098" t="str">
        <f>"001010"</f>
        <v>0</v>
      </c>
      <c r="G5098" t="s">
        <v>21</v>
      </c>
    </row>
    <row r="5099" spans="1:7">
      <c r="A5099">
        <v>5098</v>
      </c>
      <c r="B5099" t="str">
        <f>"026892"</f>
        <v>0</v>
      </c>
      <c r="C5099" t="s">
        <v>8332</v>
      </c>
      <c r="D5099" t="s">
        <v>1850</v>
      </c>
      <c r="E5099" t="str">
        <f>"3800100655227"</f>
        <v>0</v>
      </c>
      <c r="F5099" t="str">
        <f>"001010"</f>
        <v>0</v>
      </c>
      <c r="G5099" t="s">
        <v>21</v>
      </c>
    </row>
    <row r="5100" spans="1:7">
      <c r="A5100">
        <v>5099</v>
      </c>
      <c r="B5100" t="str">
        <f>"014031"</f>
        <v>0</v>
      </c>
      <c r="C5100" t="s">
        <v>3572</v>
      </c>
      <c r="D5100" t="s">
        <v>8333</v>
      </c>
      <c r="E5100" t="str">
        <f>"3860200006549"</f>
        <v>0</v>
      </c>
      <c r="F5100" t="str">
        <f>"001010"</f>
        <v>0</v>
      </c>
      <c r="G5100" t="s">
        <v>21</v>
      </c>
    </row>
    <row r="5101" spans="1:7">
      <c r="A5101">
        <v>5100</v>
      </c>
      <c r="B5101" t="str">
        <f>"026582"</f>
        <v>0</v>
      </c>
      <c r="C5101" t="s">
        <v>734</v>
      </c>
      <c r="D5101" t="s">
        <v>8334</v>
      </c>
      <c r="E5101" t="str">
        <f>"1860400001919"</f>
        <v>0</v>
      </c>
      <c r="F5101" t="str">
        <f>"001010"</f>
        <v>0</v>
      </c>
      <c r="G5101" t="s">
        <v>21</v>
      </c>
    </row>
    <row r="5102" spans="1:7">
      <c r="A5102">
        <v>5101</v>
      </c>
      <c r="B5102" t="str">
        <f>"024025"</f>
        <v>0</v>
      </c>
      <c r="C5102" t="s">
        <v>8335</v>
      </c>
      <c r="D5102" t="s">
        <v>8336</v>
      </c>
      <c r="E5102" t="str">
        <f>"1900100015891"</f>
        <v>0</v>
      </c>
      <c r="F5102" t="str">
        <f>"001010"</f>
        <v>0</v>
      </c>
      <c r="G5102" t="s">
        <v>21</v>
      </c>
    </row>
    <row r="5103" spans="1:7">
      <c r="A5103">
        <v>5102</v>
      </c>
      <c r="B5103" t="str">
        <f>"024491"</f>
        <v>0</v>
      </c>
      <c r="C5103" t="s">
        <v>7405</v>
      </c>
      <c r="D5103" t="s">
        <v>8337</v>
      </c>
      <c r="E5103" t="str">
        <f>"1909900213491"</f>
        <v>0</v>
      </c>
      <c r="F5103" t="str">
        <f>"001010"</f>
        <v>0</v>
      </c>
      <c r="G5103" t="s">
        <v>21</v>
      </c>
    </row>
    <row r="5104" spans="1:7">
      <c r="A5104">
        <v>5103</v>
      </c>
      <c r="B5104" t="str">
        <f>"024494"</f>
        <v>0</v>
      </c>
      <c r="C5104" t="s">
        <v>8338</v>
      </c>
      <c r="D5104" t="s">
        <v>8339</v>
      </c>
      <c r="E5104" t="str">
        <f>"3900300535984"</f>
        <v>0</v>
      </c>
      <c r="F5104" t="str">
        <f>"001010"</f>
        <v>0</v>
      </c>
      <c r="G5104" t="s">
        <v>21</v>
      </c>
    </row>
    <row r="5105" spans="1:7">
      <c r="A5105">
        <v>5104</v>
      </c>
      <c r="B5105" t="str">
        <f>"026355"</f>
        <v>0</v>
      </c>
      <c r="C5105" t="s">
        <v>8340</v>
      </c>
      <c r="D5105" t="s">
        <v>8341</v>
      </c>
      <c r="E5105" t="str">
        <f>"1900500080011"</f>
        <v>0</v>
      </c>
      <c r="F5105" t="str">
        <f>"001010"</f>
        <v>0</v>
      </c>
      <c r="G5105" t="s">
        <v>21</v>
      </c>
    </row>
    <row r="5106" spans="1:7">
      <c r="A5106">
        <v>5105</v>
      </c>
      <c r="B5106" t="str">
        <f>"026497"</f>
        <v>0</v>
      </c>
      <c r="C5106" t="s">
        <v>8342</v>
      </c>
      <c r="D5106" t="s">
        <v>8343</v>
      </c>
      <c r="E5106" t="str">
        <f>"3959800121320"</f>
        <v>0</v>
      </c>
      <c r="F5106" t="str">
        <f>"001010"</f>
        <v>0</v>
      </c>
      <c r="G5106" t="s">
        <v>21</v>
      </c>
    </row>
    <row r="5107" spans="1:7">
      <c r="A5107">
        <v>5106</v>
      </c>
      <c r="B5107" t="str">
        <f>"026579"</f>
        <v>0</v>
      </c>
      <c r="C5107" t="s">
        <v>8344</v>
      </c>
      <c r="D5107" t="s">
        <v>8345</v>
      </c>
      <c r="E5107" t="str">
        <f>"3901100060746"</f>
        <v>0</v>
      </c>
      <c r="F5107" t="str">
        <f>"001010"</f>
        <v>0</v>
      </c>
      <c r="G5107" t="s">
        <v>21</v>
      </c>
    </row>
    <row r="5108" spans="1:7">
      <c r="A5108">
        <v>5107</v>
      </c>
      <c r="B5108" t="str">
        <f>"026995"</f>
        <v>0</v>
      </c>
      <c r="C5108" t="s">
        <v>399</v>
      </c>
      <c r="D5108" t="s">
        <v>8346</v>
      </c>
      <c r="E5108" t="str">
        <f>"1900400003104"</f>
        <v>0</v>
      </c>
      <c r="F5108" t="str">
        <f>"001010"</f>
        <v>0</v>
      </c>
      <c r="G5108" t="s">
        <v>21</v>
      </c>
    </row>
    <row r="5109" spans="1:7">
      <c r="A5109">
        <v>5108</v>
      </c>
      <c r="B5109" t="str">
        <f>"024024"</f>
        <v>0</v>
      </c>
      <c r="C5109" t="s">
        <v>1097</v>
      </c>
      <c r="D5109" t="s">
        <v>8347</v>
      </c>
      <c r="E5109" t="str">
        <f>"1910200007637"</f>
        <v>0</v>
      </c>
      <c r="F5109" t="str">
        <f>"001010"</f>
        <v>0</v>
      </c>
      <c r="G5109" t="s">
        <v>21</v>
      </c>
    </row>
    <row r="5110" spans="1:7">
      <c r="A5110">
        <v>5109</v>
      </c>
      <c r="B5110" t="str">
        <f>"026893"</f>
        <v>0</v>
      </c>
      <c r="C5110" t="s">
        <v>8348</v>
      </c>
      <c r="D5110" t="s">
        <v>8349</v>
      </c>
      <c r="E5110" t="str">
        <f>"1910500075913"</f>
        <v>0</v>
      </c>
      <c r="F5110" t="str">
        <f>"001010"</f>
        <v>0</v>
      </c>
      <c r="G5110" t="s">
        <v>21</v>
      </c>
    </row>
    <row r="5111" spans="1:7">
      <c r="A5111">
        <v>5110</v>
      </c>
      <c r="B5111" t="str">
        <f>"027137"</f>
        <v>0</v>
      </c>
      <c r="C5111" t="s">
        <v>8350</v>
      </c>
      <c r="D5111" t="s">
        <v>8351</v>
      </c>
      <c r="E5111" t="str">
        <f>"1909800581987"</f>
        <v>0</v>
      </c>
      <c r="F5111" t="str">
        <f>"001010"</f>
        <v>0</v>
      </c>
      <c r="G5111" t="s">
        <v>21</v>
      </c>
    </row>
    <row r="5112" spans="1:7">
      <c r="A5112">
        <v>5111</v>
      </c>
      <c r="B5112" t="str">
        <f>"026354"</f>
        <v>0</v>
      </c>
      <c r="C5112" t="s">
        <v>1108</v>
      </c>
      <c r="D5112" t="s">
        <v>8352</v>
      </c>
      <c r="E5112" t="str">
        <f>"1100800261710"</f>
        <v>0</v>
      </c>
      <c r="F5112" t="str">
        <f>"001010"</f>
        <v>0</v>
      </c>
      <c r="G5112" t="s">
        <v>21</v>
      </c>
    </row>
    <row r="5113" spans="1:7">
      <c r="A5113">
        <v>5112</v>
      </c>
      <c r="B5113" t="str">
        <f>"025044"</f>
        <v>0</v>
      </c>
      <c r="C5113" t="s">
        <v>8353</v>
      </c>
      <c r="D5113" t="s">
        <v>8354</v>
      </c>
      <c r="E5113" t="str">
        <f>"3939900082857"</f>
        <v>0</v>
      </c>
      <c r="F5113" t="str">
        <f>"001010"</f>
        <v>0</v>
      </c>
      <c r="G5113" t="s">
        <v>21</v>
      </c>
    </row>
    <row r="5114" spans="1:7">
      <c r="A5114">
        <v>5113</v>
      </c>
      <c r="B5114" t="str">
        <f>"026994"</f>
        <v>0</v>
      </c>
      <c r="C5114" t="s">
        <v>8355</v>
      </c>
      <c r="D5114" t="s">
        <v>8356</v>
      </c>
      <c r="E5114" t="str">
        <f>"1801400014337"</f>
        <v>0</v>
      </c>
      <c r="F5114" t="str">
        <f>"001010"</f>
        <v>0</v>
      </c>
      <c r="G5114" t="s">
        <v>21</v>
      </c>
    </row>
    <row r="5115" spans="1:7">
      <c r="A5115">
        <v>5114</v>
      </c>
      <c r="B5115" t="str">
        <f>"023695"</f>
        <v>0</v>
      </c>
      <c r="C5115" t="s">
        <v>8357</v>
      </c>
      <c r="D5115" t="s">
        <v>8358</v>
      </c>
      <c r="E5115" t="str">
        <f>"3940900285113"</f>
        <v>0</v>
      </c>
      <c r="F5115" t="str">
        <f>"001010"</f>
        <v>0</v>
      </c>
      <c r="G5115" t="s">
        <v>21</v>
      </c>
    </row>
    <row r="5116" spans="1:7">
      <c r="A5116">
        <v>5115</v>
      </c>
      <c r="B5116" t="str">
        <f>"023696"</f>
        <v>0</v>
      </c>
      <c r="C5116" t="s">
        <v>297</v>
      </c>
      <c r="D5116" t="s">
        <v>8359</v>
      </c>
      <c r="E5116" t="str">
        <f>"1930400004763"</f>
        <v>0</v>
      </c>
      <c r="F5116" t="str">
        <f>"001010"</f>
        <v>0</v>
      </c>
      <c r="G5116" t="s">
        <v>21</v>
      </c>
    </row>
    <row r="5117" spans="1:7">
      <c r="A5117">
        <v>5116</v>
      </c>
      <c r="B5117" t="str">
        <f>"026248"</f>
        <v>0</v>
      </c>
      <c r="C5117" t="s">
        <v>8360</v>
      </c>
      <c r="D5117" t="s">
        <v>8361</v>
      </c>
      <c r="E5117" t="str">
        <f>"3800800651178"</f>
        <v>0</v>
      </c>
      <c r="F5117" t="str">
        <f>"001010"</f>
        <v>0</v>
      </c>
      <c r="G5117" t="s">
        <v>21</v>
      </c>
    </row>
    <row r="5118" spans="1:7">
      <c r="A5118">
        <v>5117</v>
      </c>
      <c r="B5118" t="str">
        <f>"024493"</f>
        <v>0</v>
      </c>
      <c r="C5118" t="s">
        <v>3939</v>
      </c>
      <c r="D5118" t="s">
        <v>8362</v>
      </c>
      <c r="E5118" t="str">
        <f>"1950200001566"</f>
        <v>0</v>
      </c>
      <c r="F5118" t="str">
        <f>"001010"</f>
        <v>0</v>
      </c>
      <c r="G5118" t="s">
        <v>21</v>
      </c>
    </row>
    <row r="5119" spans="1:7">
      <c r="A5119">
        <v>5118</v>
      </c>
      <c r="B5119" t="str">
        <f>"026639"</f>
        <v>0</v>
      </c>
      <c r="C5119" t="s">
        <v>8363</v>
      </c>
      <c r="D5119" t="s">
        <v>8364</v>
      </c>
      <c r="E5119" t="str">
        <f>"3950200043940"</f>
        <v>0</v>
      </c>
      <c r="F5119" t="str">
        <f>"001010"</f>
        <v>0</v>
      </c>
      <c r="G5119" t="s">
        <v>21</v>
      </c>
    </row>
    <row r="5120" spans="1:7">
      <c r="A5120">
        <v>5119</v>
      </c>
      <c r="B5120" t="str">
        <f>"011780"</f>
        <v>0</v>
      </c>
      <c r="C5120" t="s">
        <v>4779</v>
      </c>
      <c r="D5120" t="s">
        <v>8365</v>
      </c>
      <c r="E5120" t="str">
        <f>"3961100327211"</f>
        <v>0</v>
      </c>
      <c r="F5120" t="str">
        <f>"001010"</f>
        <v>0</v>
      </c>
      <c r="G5120" t="s">
        <v>21</v>
      </c>
    </row>
    <row r="5121" spans="1:7">
      <c r="A5121">
        <v>5120</v>
      </c>
      <c r="B5121" t="str">
        <f>"012773"</f>
        <v>0</v>
      </c>
      <c r="C5121" t="s">
        <v>425</v>
      </c>
      <c r="D5121" t="s">
        <v>8366</v>
      </c>
      <c r="E5121" t="str">
        <f>"3960300224181"</f>
        <v>0</v>
      </c>
      <c r="F5121" t="str">
        <f>"001010"</f>
        <v>0</v>
      </c>
      <c r="G5121" t="s">
        <v>21</v>
      </c>
    </row>
    <row r="5122" spans="1:7">
      <c r="A5122">
        <v>5121</v>
      </c>
      <c r="B5122" t="str">
        <f>"012921"</f>
        <v>0</v>
      </c>
      <c r="C5122" t="s">
        <v>4227</v>
      </c>
      <c r="D5122" t="s">
        <v>8367</v>
      </c>
      <c r="E5122" t="str">
        <f>"3960200102121"</f>
        <v>0</v>
      </c>
      <c r="F5122" t="str">
        <f>"001010"</f>
        <v>0</v>
      </c>
      <c r="G5122" t="s">
        <v>21</v>
      </c>
    </row>
    <row r="5123" spans="1:7">
      <c r="A5123">
        <v>5122</v>
      </c>
      <c r="B5123" t="str">
        <f>"016152"</f>
        <v>0</v>
      </c>
      <c r="C5123" t="s">
        <v>3375</v>
      </c>
      <c r="D5123" t="s">
        <v>8368</v>
      </c>
      <c r="E5123" t="str">
        <f>"3309800042051"</f>
        <v>0</v>
      </c>
      <c r="F5123" t="str">
        <f>"001010"</f>
        <v>0</v>
      </c>
      <c r="G5123" t="s">
        <v>21</v>
      </c>
    </row>
    <row r="5124" spans="1:7">
      <c r="A5124">
        <v>5123</v>
      </c>
      <c r="B5124" t="str">
        <f>"017689"</f>
        <v>0</v>
      </c>
      <c r="C5124" t="s">
        <v>3234</v>
      </c>
      <c r="D5124" t="s">
        <v>8369</v>
      </c>
      <c r="E5124" t="str">
        <f>"3969900074030"</f>
        <v>0</v>
      </c>
      <c r="F5124" t="str">
        <f>"001010"</f>
        <v>0</v>
      </c>
      <c r="G5124" t="s">
        <v>21</v>
      </c>
    </row>
    <row r="5125" spans="1:7">
      <c r="A5125">
        <v>5124</v>
      </c>
      <c r="B5125" t="str">
        <f>"019135"</f>
        <v>0</v>
      </c>
      <c r="C5125" t="s">
        <v>1027</v>
      </c>
      <c r="D5125" t="s">
        <v>8370</v>
      </c>
      <c r="E5125" t="str">
        <f>"3960700124205"</f>
        <v>0</v>
      </c>
      <c r="F5125" t="str">
        <f>"001010"</f>
        <v>0</v>
      </c>
      <c r="G5125" t="s">
        <v>21</v>
      </c>
    </row>
    <row r="5126" spans="1:7">
      <c r="A5126">
        <v>5125</v>
      </c>
      <c r="B5126" t="str">
        <f>"019617"</f>
        <v>0</v>
      </c>
      <c r="C5126" t="s">
        <v>3620</v>
      </c>
      <c r="D5126" t="s">
        <v>8371</v>
      </c>
      <c r="E5126" t="str">
        <f>"3960200343081"</f>
        <v>0</v>
      </c>
      <c r="F5126" t="str">
        <f>"001010"</f>
        <v>0</v>
      </c>
      <c r="G5126" t="s">
        <v>21</v>
      </c>
    </row>
    <row r="5127" spans="1:7">
      <c r="A5127">
        <v>5126</v>
      </c>
      <c r="B5127" t="str">
        <f>"020255"</f>
        <v>0</v>
      </c>
      <c r="C5127" t="s">
        <v>8372</v>
      </c>
      <c r="D5127" t="s">
        <v>8373</v>
      </c>
      <c r="E5127" t="str">
        <f>"3960500200692"</f>
        <v>0</v>
      </c>
      <c r="F5127" t="str">
        <f>"001010"</f>
        <v>0</v>
      </c>
      <c r="G5127" t="s">
        <v>21</v>
      </c>
    </row>
    <row r="5128" spans="1:7">
      <c r="A5128">
        <v>5127</v>
      </c>
      <c r="B5128" t="str">
        <f>"020256"</f>
        <v>0</v>
      </c>
      <c r="C5128" t="s">
        <v>8374</v>
      </c>
      <c r="D5128" t="s">
        <v>8375</v>
      </c>
      <c r="E5128" t="str">
        <f>"3969900340791"</f>
        <v>0</v>
      </c>
      <c r="F5128" t="str">
        <f>"001010"</f>
        <v>0</v>
      </c>
      <c r="G5128" t="s">
        <v>21</v>
      </c>
    </row>
    <row r="5129" spans="1:7">
      <c r="A5129">
        <v>5128</v>
      </c>
      <c r="B5129" t="str">
        <f>"020258"</f>
        <v>0</v>
      </c>
      <c r="C5129" t="s">
        <v>8151</v>
      </c>
      <c r="D5129" t="s">
        <v>8376</v>
      </c>
      <c r="E5129" t="str">
        <f>"3969900015262"</f>
        <v>0</v>
      </c>
      <c r="F5129" t="str">
        <f>"001010"</f>
        <v>0</v>
      </c>
      <c r="G5129" t="s">
        <v>21</v>
      </c>
    </row>
    <row r="5130" spans="1:7">
      <c r="A5130">
        <v>5129</v>
      </c>
      <c r="B5130" t="str">
        <f>"020305"</f>
        <v>0</v>
      </c>
      <c r="C5130" t="s">
        <v>8377</v>
      </c>
      <c r="D5130" t="s">
        <v>8378</v>
      </c>
      <c r="E5130" t="str">
        <f>"3960500734701"</f>
        <v>0</v>
      </c>
      <c r="F5130" t="str">
        <f>"001010"</f>
        <v>0</v>
      </c>
      <c r="G5130" t="s">
        <v>21</v>
      </c>
    </row>
    <row r="5131" spans="1:7">
      <c r="A5131">
        <v>5130</v>
      </c>
      <c r="B5131" t="str">
        <f>"020308"</f>
        <v>0</v>
      </c>
      <c r="C5131" t="s">
        <v>8379</v>
      </c>
      <c r="D5131" t="s">
        <v>8380</v>
      </c>
      <c r="E5131" t="str">
        <f>"3960100207169"</f>
        <v>0</v>
      </c>
      <c r="F5131" t="str">
        <f>"001010"</f>
        <v>0</v>
      </c>
      <c r="G5131" t="s">
        <v>21</v>
      </c>
    </row>
    <row r="5132" spans="1:7">
      <c r="A5132">
        <v>5131</v>
      </c>
      <c r="B5132" t="str">
        <f>"020309"</f>
        <v>0</v>
      </c>
      <c r="C5132" t="s">
        <v>8381</v>
      </c>
      <c r="D5132" t="s">
        <v>8382</v>
      </c>
      <c r="E5132" t="str">
        <f>"3960300081665"</f>
        <v>0</v>
      </c>
      <c r="F5132" t="str">
        <f>"001010"</f>
        <v>0</v>
      </c>
      <c r="G5132" t="s">
        <v>21</v>
      </c>
    </row>
    <row r="5133" spans="1:7">
      <c r="A5133">
        <v>5132</v>
      </c>
      <c r="B5133" t="str">
        <f>"020312"</f>
        <v>0</v>
      </c>
      <c r="C5133" t="s">
        <v>46</v>
      </c>
      <c r="D5133" t="s">
        <v>8383</v>
      </c>
      <c r="E5133" t="str">
        <f>"3960200071927"</f>
        <v>0</v>
      </c>
      <c r="F5133" t="str">
        <f>"001010"</f>
        <v>0</v>
      </c>
      <c r="G5133" t="s">
        <v>21</v>
      </c>
    </row>
    <row r="5134" spans="1:7">
      <c r="A5134">
        <v>5133</v>
      </c>
      <c r="B5134" t="str">
        <f>"020314"</f>
        <v>0</v>
      </c>
      <c r="C5134" t="s">
        <v>8384</v>
      </c>
      <c r="D5134" t="s">
        <v>8385</v>
      </c>
      <c r="E5134" t="str">
        <f>"3900500141009"</f>
        <v>0</v>
      </c>
      <c r="F5134" t="str">
        <f>"001010"</f>
        <v>0</v>
      </c>
      <c r="G5134" t="s">
        <v>21</v>
      </c>
    </row>
    <row r="5135" spans="1:7">
      <c r="A5135">
        <v>5134</v>
      </c>
      <c r="B5135" t="str">
        <f>"020316"</f>
        <v>0</v>
      </c>
      <c r="C5135" t="s">
        <v>653</v>
      </c>
      <c r="D5135" t="s">
        <v>8386</v>
      </c>
      <c r="E5135" t="str">
        <f>"3960100014239"</f>
        <v>0</v>
      </c>
      <c r="F5135" t="str">
        <f>"001010"</f>
        <v>0</v>
      </c>
      <c r="G5135" t="s">
        <v>21</v>
      </c>
    </row>
    <row r="5136" spans="1:7">
      <c r="A5136">
        <v>5135</v>
      </c>
      <c r="B5136" t="str">
        <f>"020317"</f>
        <v>0</v>
      </c>
      <c r="C5136" t="s">
        <v>8387</v>
      </c>
      <c r="D5136" t="s">
        <v>8388</v>
      </c>
      <c r="E5136" t="str">
        <f>"3960400130714"</f>
        <v>0</v>
      </c>
      <c r="F5136" t="str">
        <f>"001010"</f>
        <v>0</v>
      </c>
      <c r="G5136" t="s">
        <v>21</v>
      </c>
    </row>
    <row r="5137" spans="1:7">
      <c r="A5137">
        <v>5136</v>
      </c>
      <c r="B5137" t="str">
        <f>"020435"</f>
        <v>0</v>
      </c>
      <c r="C5137" t="s">
        <v>8389</v>
      </c>
      <c r="D5137" t="s">
        <v>8390</v>
      </c>
      <c r="E5137" t="str">
        <f>"3960100077061"</f>
        <v>0</v>
      </c>
      <c r="F5137" t="str">
        <f>"001010"</f>
        <v>0</v>
      </c>
      <c r="G5137" t="s">
        <v>21</v>
      </c>
    </row>
    <row r="5138" spans="1:7">
      <c r="A5138">
        <v>5137</v>
      </c>
      <c r="B5138" t="str">
        <f>"020466"</f>
        <v>0</v>
      </c>
      <c r="C5138" t="s">
        <v>160</v>
      </c>
      <c r="D5138" t="s">
        <v>8391</v>
      </c>
      <c r="E5138" t="str">
        <f>"3960200344443"</f>
        <v>0</v>
      </c>
      <c r="F5138" t="str">
        <f>"001010"</f>
        <v>0</v>
      </c>
      <c r="G5138" t="s">
        <v>21</v>
      </c>
    </row>
    <row r="5139" spans="1:7">
      <c r="A5139">
        <v>5138</v>
      </c>
      <c r="B5139" t="str">
        <f>"020707"</f>
        <v>0</v>
      </c>
      <c r="C5139" t="s">
        <v>8392</v>
      </c>
      <c r="D5139" t="s">
        <v>8393</v>
      </c>
      <c r="E5139" t="str">
        <f>"3960500801017"</f>
        <v>0</v>
      </c>
      <c r="F5139" t="str">
        <f>"001010"</f>
        <v>0</v>
      </c>
      <c r="G5139" t="s">
        <v>21</v>
      </c>
    </row>
    <row r="5140" spans="1:7">
      <c r="A5140">
        <v>5139</v>
      </c>
      <c r="B5140" t="str">
        <f>"020710"</f>
        <v>0</v>
      </c>
      <c r="C5140" t="s">
        <v>767</v>
      </c>
      <c r="D5140" t="s">
        <v>8394</v>
      </c>
      <c r="E5140" t="str">
        <f>"3960500104219"</f>
        <v>0</v>
      </c>
      <c r="F5140" t="str">
        <f>"001010"</f>
        <v>0</v>
      </c>
      <c r="G5140" t="s">
        <v>21</v>
      </c>
    </row>
    <row r="5141" spans="1:7">
      <c r="A5141">
        <v>5140</v>
      </c>
      <c r="B5141" t="str">
        <f>"020756"</f>
        <v>0</v>
      </c>
      <c r="C5141" t="s">
        <v>8395</v>
      </c>
      <c r="D5141" t="s">
        <v>8396</v>
      </c>
      <c r="E5141" t="str">
        <f>"3960300028659"</f>
        <v>0</v>
      </c>
      <c r="F5141" t="str">
        <f>"001010"</f>
        <v>0</v>
      </c>
      <c r="G5141" t="s">
        <v>21</v>
      </c>
    </row>
    <row r="5142" spans="1:7">
      <c r="A5142">
        <v>5141</v>
      </c>
      <c r="B5142" t="str">
        <f>"021006"</f>
        <v>0</v>
      </c>
      <c r="C5142" t="s">
        <v>8397</v>
      </c>
      <c r="D5142" t="s">
        <v>8398</v>
      </c>
      <c r="E5142" t="str">
        <f>"3960100175640"</f>
        <v>0</v>
      </c>
      <c r="F5142" t="str">
        <f>"001010"</f>
        <v>0</v>
      </c>
      <c r="G5142" t="s">
        <v>21</v>
      </c>
    </row>
    <row r="5143" spans="1:7">
      <c r="A5143">
        <v>5142</v>
      </c>
      <c r="B5143" t="str">
        <f>"021043"</f>
        <v>0</v>
      </c>
      <c r="C5143" t="s">
        <v>8399</v>
      </c>
      <c r="D5143" t="s">
        <v>8400</v>
      </c>
      <c r="E5143" t="str">
        <f>"3969900170471"</f>
        <v>0</v>
      </c>
      <c r="F5143" t="str">
        <f>"001010"</f>
        <v>0</v>
      </c>
      <c r="G5143" t="s">
        <v>21</v>
      </c>
    </row>
    <row r="5144" spans="1:7">
      <c r="A5144">
        <v>5143</v>
      </c>
      <c r="B5144" t="str">
        <f>"021045"</f>
        <v>0</v>
      </c>
      <c r="C5144" t="s">
        <v>8401</v>
      </c>
      <c r="D5144" t="s">
        <v>8402</v>
      </c>
      <c r="E5144" t="str">
        <f>"3960200139963"</f>
        <v>0</v>
      </c>
      <c r="F5144" t="str">
        <f>"001010"</f>
        <v>0</v>
      </c>
      <c r="G5144" t="s">
        <v>21</v>
      </c>
    </row>
    <row r="5145" spans="1:7">
      <c r="A5145">
        <v>5144</v>
      </c>
      <c r="B5145" t="str">
        <f>"021084"</f>
        <v>0</v>
      </c>
      <c r="C5145" t="s">
        <v>8403</v>
      </c>
      <c r="D5145" t="s">
        <v>8404</v>
      </c>
      <c r="E5145" t="str">
        <f>"3960100353106"</f>
        <v>0</v>
      </c>
      <c r="F5145" t="str">
        <f>"001010"</f>
        <v>0</v>
      </c>
      <c r="G5145" t="s">
        <v>21</v>
      </c>
    </row>
    <row r="5146" spans="1:7">
      <c r="A5146">
        <v>5145</v>
      </c>
      <c r="B5146" t="str">
        <f>"021086"</f>
        <v>0</v>
      </c>
      <c r="C5146" t="s">
        <v>8405</v>
      </c>
      <c r="D5146" t="s">
        <v>8406</v>
      </c>
      <c r="E5146" t="str">
        <f>"3960100299551"</f>
        <v>0</v>
      </c>
      <c r="F5146" t="str">
        <f>"001010"</f>
        <v>0</v>
      </c>
      <c r="G5146" t="s">
        <v>21</v>
      </c>
    </row>
    <row r="5147" spans="1:7">
      <c r="A5147">
        <v>5146</v>
      </c>
      <c r="B5147" t="str">
        <f>"021203"</f>
        <v>0</v>
      </c>
      <c r="C5147" t="s">
        <v>8407</v>
      </c>
      <c r="D5147" t="s">
        <v>8408</v>
      </c>
      <c r="E5147" t="str">
        <f>"3969900127419"</f>
        <v>0</v>
      </c>
      <c r="F5147" t="str">
        <f>"001010"</f>
        <v>0</v>
      </c>
      <c r="G5147" t="s">
        <v>21</v>
      </c>
    </row>
    <row r="5148" spans="1:7">
      <c r="A5148">
        <v>5147</v>
      </c>
      <c r="B5148" t="str">
        <f>"021226"</f>
        <v>0</v>
      </c>
      <c r="C5148" t="s">
        <v>8409</v>
      </c>
      <c r="D5148" t="s">
        <v>8410</v>
      </c>
      <c r="E5148" t="str">
        <f>"3960400101960"</f>
        <v>0</v>
      </c>
      <c r="F5148" t="str">
        <f>"001010"</f>
        <v>0</v>
      </c>
      <c r="G5148" t="s">
        <v>21</v>
      </c>
    </row>
    <row r="5149" spans="1:7">
      <c r="A5149">
        <v>5148</v>
      </c>
      <c r="B5149" t="str">
        <f>"021239"</f>
        <v>0</v>
      </c>
      <c r="C5149" t="s">
        <v>8411</v>
      </c>
      <c r="D5149" t="s">
        <v>8412</v>
      </c>
      <c r="E5149" t="str">
        <f>"3960100276331"</f>
        <v>0</v>
      </c>
      <c r="F5149" t="str">
        <f>"001010"</f>
        <v>0</v>
      </c>
      <c r="G5149" t="s">
        <v>21</v>
      </c>
    </row>
    <row r="5150" spans="1:7">
      <c r="A5150">
        <v>5149</v>
      </c>
      <c r="B5150" t="str">
        <f>"021240"</f>
        <v>0</v>
      </c>
      <c r="C5150" t="s">
        <v>8413</v>
      </c>
      <c r="D5150" t="s">
        <v>8373</v>
      </c>
      <c r="E5150" t="str">
        <f>"3960100302331"</f>
        <v>0</v>
      </c>
      <c r="F5150" t="str">
        <f>"001010"</f>
        <v>0</v>
      </c>
      <c r="G5150" t="s">
        <v>21</v>
      </c>
    </row>
    <row r="5151" spans="1:7">
      <c r="A5151">
        <v>5150</v>
      </c>
      <c r="B5151" t="str">
        <f>"021252"</f>
        <v>0</v>
      </c>
      <c r="C5151" t="s">
        <v>8414</v>
      </c>
      <c r="D5151" t="s">
        <v>8415</v>
      </c>
      <c r="E5151" t="str">
        <f>"3940100254710"</f>
        <v>0</v>
      </c>
      <c r="F5151" t="str">
        <f>"001010"</f>
        <v>0</v>
      </c>
      <c r="G5151" t="s">
        <v>21</v>
      </c>
    </row>
    <row r="5152" spans="1:7">
      <c r="A5152">
        <v>5151</v>
      </c>
      <c r="B5152" t="str">
        <f>"021253"</f>
        <v>0</v>
      </c>
      <c r="C5152" t="s">
        <v>8416</v>
      </c>
      <c r="D5152" t="s">
        <v>8417</v>
      </c>
      <c r="E5152" t="str">
        <f>"3960200228818"</f>
        <v>0</v>
      </c>
      <c r="F5152" t="str">
        <f>"001010"</f>
        <v>0</v>
      </c>
      <c r="G5152" t="s">
        <v>21</v>
      </c>
    </row>
    <row r="5153" spans="1:7">
      <c r="A5153">
        <v>5152</v>
      </c>
      <c r="B5153" t="str">
        <f>"021254"</f>
        <v>0</v>
      </c>
      <c r="C5153" t="s">
        <v>8418</v>
      </c>
      <c r="D5153" t="s">
        <v>8419</v>
      </c>
      <c r="E5153" t="str">
        <f>"3969900004325"</f>
        <v>0</v>
      </c>
      <c r="F5153" t="str">
        <f>"001010"</f>
        <v>0</v>
      </c>
      <c r="G5153" t="s">
        <v>21</v>
      </c>
    </row>
    <row r="5154" spans="1:7">
      <c r="A5154">
        <v>5153</v>
      </c>
      <c r="B5154" t="str">
        <f>"021565"</f>
        <v>0</v>
      </c>
      <c r="C5154" t="s">
        <v>8420</v>
      </c>
      <c r="D5154" t="s">
        <v>8421</v>
      </c>
      <c r="E5154" t="str">
        <f>"3410401274986"</f>
        <v>0</v>
      </c>
      <c r="F5154" t="str">
        <f>"001010"</f>
        <v>0</v>
      </c>
      <c r="G5154" t="s">
        <v>21</v>
      </c>
    </row>
    <row r="5155" spans="1:7">
      <c r="A5155">
        <v>5154</v>
      </c>
      <c r="B5155" t="str">
        <f>"021656"</f>
        <v>0</v>
      </c>
      <c r="C5155" t="s">
        <v>4372</v>
      </c>
      <c r="D5155" t="s">
        <v>6448</v>
      </c>
      <c r="E5155" t="str">
        <f>"3960200071111"</f>
        <v>0</v>
      </c>
      <c r="F5155" t="str">
        <f>"001010"</f>
        <v>0</v>
      </c>
      <c r="G5155" t="s">
        <v>21</v>
      </c>
    </row>
    <row r="5156" spans="1:7">
      <c r="A5156">
        <v>5155</v>
      </c>
      <c r="B5156" t="str">
        <f>"021775"</f>
        <v>0</v>
      </c>
      <c r="C5156" t="s">
        <v>8422</v>
      </c>
      <c r="D5156" t="s">
        <v>8423</v>
      </c>
      <c r="E5156" t="str">
        <f>"3960300030904"</f>
        <v>0</v>
      </c>
      <c r="F5156" t="str">
        <f>"001010"</f>
        <v>0</v>
      </c>
      <c r="G5156" t="s">
        <v>21</v>
      </c>
    </row>
    <row r="5157" spans="1:7">
      <c r="A5157">
        <v>5156</v>
      </c>
      <c r="B5157" t="str">
        <f>"022016"</f>
        <v>0</v>
      </c>
      <c r="C5157" t="s">
        <v>352</v>
      </c>
      <c r="D5157" t="s">
        <v>8424</v>
      </c>
      <c r="E5157" t="str">
        <f>"3810400241576"</f>
        <v>0</v>
      </c>
      <c r="F5157" t="str">
        <f>"001010"</f>
        <v>0</v>
      </c>
      <c r="G5157" t="s">
        <v>21</v>
      </c>
    </row>
    <row r="5158" spans="1:7">
      <c r="A5158">
        <v>5157</v>
      </c>
      <c r="B5158" t="str">
        <f>"022050"</f>
        <v>0</v>
      </c>
      <c r="C5158" t="s">
        <v>8425</v>
      </c>
      <c r="D5158" t="s">
        <v>8426</v>
      </c>
      <c r="E5158" t="str">
        <f>"2969800009505"</f>
        <v>0</v>
      </c>
      <c r="F5158" t="str">
        <f>"001010"</f>
        <v>0</v>
      </c>
      <c r="G5158" t="s">
        <v>21</v>
      </c>
    </row>
    <row r="5159" spans="1:7">
      <c r="A5159">
        <v>5158</v>
      </c>
      <c r="B5159" t="str">
        <f>"023102"</f>
        <v>0</v>
      </c>
      <c r="C5159" t="s">
        <v>8427</v>
      </c>
      <c r="D5159" t="s">
        <v>8428</v>
      </c>
      <c r="E5159" t="str">
        <f>"1960800015240"</f>
        <v>0</v>
      </c>
      <c r="F5159" t="str">
        <f>"001010"</f>
        <v>0</v>
      </c>
      <c r="G5159" t="s">
        <v>21</v>
      </c>
    </row>
    <row r="5160" spans="1:7">
      <c r="A5160">
        <v>5159</v>
      </c>
      <c r="B5160" t="str">
        <f>"023105"</f>
        <v>0</v>
      </c>
      <c r="C5160" t="s">
        <v>8429</v>
      </c>
      <c r="D5160" t="s">
        <v>8430</v>
      </c>
      <c r="E5160" t="str">
        <f>"3960400069861"</f>
        <v>0</v>
      </c>
      <c r="F5160" t="str">
        <f>"001010"</f>
        <v>0</v>
      </c>
      <c r="G5160" t="s">
        <v>21</v>
      </c>
    </row>
    <row r="5161" spans="1:7">
      <c r="A5161">
        <v>5160</v>
      </c>
      <c r="B5161" t="str">
        <f>"023694"</f>
        <v>0</v>
      </c>
      <c r="C5161" t="s">
        <v>8431</v>
      </c>
      <c r="D5161" t="s">
        <v>8432</v>
      </c>
      <c r="E5161" t="str">
        <f>"3960200334103"</f>
        <v>0</v>
      </c>
      <c r="F5161" t="str">
        <f>"001010"</f>
        <v>0</v>
      </c>
      <c r="G5161" t="s">
        <v>21</v>
      </c>
    </row>
    <row r="5162" spans="1:7">
      <c r="A5162">
        <v>5161</v>
      </c>
      <c r="B5162" t="str">
        <f>"024023"</f>
        <v>0</v>
      </c>
      <c r="C5162" t="s">
        <v>8433</v>
      </c>
      <c r="D5162" t="s">
        <v>8434</v>
      </c>
      <c r="E5162" t="str">
        <f>"1950100081703"</f>
        <v>0</v>
      </c>
      <c r="F5162" t="str">
        <f>"001010"</f>
        <v>0</v>
      </c>
      <c r="G5162" t="s">
        <v>21</v>
      </c>
    </row>
    <row r="5163" spans="1:7">
      <c r="A5163">
        <v>5162</v>
      </c>
      <c r="B5163" t="str">
        <f>"024026"</f>
        <v>0</v>
      </c>
      <c r="C5163" t="s">
        <v>8435</v>
      </c>
      <c r="D5163" t="s">
        <v>8436</v>
      </c>
      <c r="E5163" t="str">
        <f>"1969900023790"</f>
        <v>0</v>
      </c>
      <c r="F5163" t="str">
        <f>"001010"</f>
        <v>0</v>
      </c>
      <c r="G5163" t="s">
        <v>21</v>
      </c>
    </row>
    <row r="5164" spans="1:7">
      <c r="A5164">
        <v>5163</v>
      </c>
      <c r="B5164" t="str">
        <f>"024035"</f>
        <v>0</v>
      </c>
      <c r="C5164" t="s">
        <v>8437</v>
      </c>
      <c r="D5164" t="s">
        <v>8438</v>
      </c>
      <c r="E5164" t="str">
        <f>"3960100161983"</f>
        <v>0</v>
      </c>
      <c r="F5164" t="str">
        <f>"001010"</f>
        <v>0</v>
      </c>
      <c r="G5164" t="s">
        <v>21</v>
      </c>
    </row>
    <row r="5165" spans="1:7">
      <c r="A5165">
        <v>5164</v>
      </c>
      <c r="B5165" t="str">
        <f>"024351"</f>
        <v>0</v>
      </c>
      <c r="C5165" t="s">
        <v>8439</v>
      </c>
      <c r="D5165" t="s">
        <v>8440</v>
      </c>
      <c r="E5165" t="str">
        <f>"1969800011536"</f>
        <v>0</v>
      </c>
      <c r="F5165" t="str">
        <f>"001010"</f>
        <v>0</v>
      </c>
      <c r="G5165" t="s">
        <v>21</v>
      </c>
    </row>
    <row r="5166" spans="1:7">
      <c r="A5166">
        <v>5165</v>
      </c>
      <c r="B5166" t="str">
        <f>"024505"</f>
        <v>0</v>
      </c>
      <c r="C5166" t="s">
        <v>8441</v>
      </c>
      <c r="D5166" t="s">
        <v>8442</v>
      </c>
      <c r="E5166" t="str">
        <f>"1969800017038"</f>
        <v>0</v>
      </c>
      <c r="F5166" t="str">
        <f>"001010"</f>
        <v>0</v>
      </c>
      <c r="G5166" t="s">
        <v>21</v>
      </c>
    </row>
    <row r="5167" spans="1:7">
      <c r="A5167">
        <v>5166</v>
      </c>
      <c r="B5167" t="str">
        <f>"024570"</f>
        <v>0</v>
      </c>
      <c r="C5167" t="s">
        <v>8443</v>
      </c>
      <c r="D5167" t="s">
        <v>6985</v>
      </c>
      <c r="E5167" t="str">
        <f>"5900899001303"</f>
        <v>0</v>
      </c>
      <c r="F5167" t="str">
        <f>"001010"</f>
        <v>0</v>
      </c>
      <c r="G5167" t="s">
        <v>21</v>
      </c>
    </row>
    <row r="5168" spans="1:7">
      <c r="A5168">
        <v>5167</v>
      </c>
      <c r="B5168" t="str">
        <f>"024623"</f>
        <v>0</v>
      </c>
      <c r="C5168" t="s">
        <v>8444</v>
      </c>
      <c r="D5168" t="s">
        <v>8445</v>
      </c>
      <c r="E5168" t="str">
        <f>"3969900182258"</f>
        <v>0</v>
      </c>
      <c r="F5168" t="str">
        <f>"001010"</f>
        <v>0</v>
      </c>
      <c r="G5168" t="s">
        <v>21</v>
      </c>
    </row>
    <row r="5169" spans="1:7">
      <c r="A5169">
        <v>5168</v>
      </c>
      <c r="B5169" t="str">
        <f>"024624"</f>
        <v>0</v>
      </c>
      <c r="C5169" t="s">
        <v>8446</v>
      </c>
      <c r="D5169" t="s">
        <v>8447</v>
      </c>
      <c r="E5169" t="str">
        <f>"3969900057194"</f>
        <v>0</v>
      </c>
      <c r="F5169" t="str">
        <f>"001010"</f>
        <v>0</v>
      </c>
      <c r="G5169" t="s">
        <v>21</v>
      </c>
    </row>
    <row r="5170" spans="1:7">
      <c r="A5170">
        <v>5169</v>
      </c>
      <c r="B5170" t="str">
        <f>"024629"</f>
        <v>0</v>
      </c>
      <c r="C5170" t="s">
        <v>8448</v>
      </c>
      <c r="D5170" t="s">
        <v>8449</v>
      </c>
      <c r="E5170" t="str">
        <f>"1969800056629"</f>
        <v>0</v>
      </c>
      <c r="F5170" t="str">
        <f>"001010"</f>
        <v>0</v>
      </c>
      <c r="G5170" t="s">
        <v>21</v>
      </c>
    </row>
    <row r="5171" spans="1:7">
      <c r="A5171">
        <v>5170</v>
      </c>
      <c r="B5171" t="str">
        <f>"024952"</f>
        <v>0</v>
      </c>
      <c r="C5171" t="s">
        <v>8450</v>
      </c>
      <c r="D5171" t="s">
        <v>8451</v>
      </c>
      <c r="E5171" t="str">
        <f>"3960500523670"</f>
        <v>0</v>
      </c>
      <c r="F5171" t="str">
        <f>"001010"</f>
        <v>0</v>
      </c>
      <c r="G5171" t="s">
        <v>21</v>
      </c>
    </row>
    <row r="5172" spans="1:7">
      <c r="A5172">
        <v>5171</v>
      </c>
      <c r="B5172" t="str">
        <f>"024959"</f>
        <v>0</v>
      </c>
      <c r="C5172" t="s">
        <v>1896</v>
      </c>
      <c r="D5172" t="s">
        <v>8452</v>
      </c>
      <c r="E5172" t="str">
        <f>"1920200012100"</f>
        <v>0</v>
      </c>
      <c r="F5172" t="str">
        <f>"001010"</f>
        <v>0</v>
      </c>
      <c r="G5172" t="s">
        <v>21</v>
      </c>
    </row>
    <row r="5173" spans="1:7">
      <c r="A5173">
        <v>5172</v>
      </c>
      <c r="B5173" t="str">
        <f>"025048"</f>
        <v>0</v>
      </c>
      <c r="C5173" t="s">
        <v>8453</v>
      </c>
      <c r="D5173" t="s">
        <v>8454</v>
      </c>
      <c r="E5173" t="str">
        <f>"1961200041097"</f>
        <v>0</v>
      </c>
      <c r="F5173" t="str">
        <f>"001010"</f>
        <v>0</v>
      </c>
      <c r="G5173" t="s">
        <v>21</v>
      </c>
    </row>
    <row r="5174" spans="1:7">
      <c r="A5174">
        <v>5173</v>
      </c>
      <c r="B5174" t="str">
        <f>"025177"</f>
        <v>0</v>
      </c>
      <c r="C5174" t="s">
        <v>8455</v>
      </c>
      <c r="D5174" t="s">
        <v>7004</v>
      </c>
      <c r="E5174" t="str">
        <f>"3960200070815"</f>
        <v>0</v>
      </c>
      <c r="F5174" t="str">
        <f>"001010"</f>
        <v>0</v>
      </c>
      <c r="G5174" t="s">
        <v>21</v>
      </c>
    </row>
    <row r="5175" spans="1:7">
      <c r="A5175">
        <v>5174</v>
      </c>
      <c r="B5175" t="str">
        <f>"025432"</f>
        <v>0</v>
      </c>
      <c r="C5175" t="s">
        <v>8456</v>
      </c>
      <c r="D5175" t="s">
        <v>8457</v>
      </c>
      <c r="E5175" t="str">
        <f>"2960600015155"</f>
        <v>0</v>
      </c>
      <c r="F5175" t="str">
        <f>"001010"</f>
        <v>0</v>
      </c>
      <c r="G5175" t="s">
        <v>21</v>
      </c>
    </row>
    <row r="5176" spans="1:7">
      <c r="A5176">
        <v>5175</v>
      </c>
      <c r="B5176" t="str">
        <f>"026427"</f>
        <v>0</v>
      </c>
      <c r="C5176" t="s">
        <v>8458</v>
      </c>
      <c r="D5176" t="s">
        <v>8459</v>
      </c>
      <c r="E5176" t="str">
        <f>"1969800021663"</f>
        <v>0</v>
      </c>
      <c r="F5176" t="str">
        <f>"001010"</f>
        <v>0</v>
      </c>
      <c r="G5176" t="s">
        <v>21</v>
      </c>
    </row>
    <row r="5177" spans="1:7">
      <c r="A5177">
        <v>5176</v>
      </c>
      <c r="B5177" t="str">
        <f>"026498"</f>
        <v>0</v>
      </c>
      <c r="C5177" t="s">
        <v>8460</v>
      </c>
      <c r="D5177" t="s">
        <v>8461</v>
      </c>
      <c r="E5177" t="str">
        <f>"1969900178726"</f>
        <v>0</v>
      </c>
      <c r="F5177" t="str">
        <f>"001010"</f>
        <v>0</v>
      </c>
      <c r="G5177" t="s">
        <v>21</v>
      </c>
    </row>
    <row r="5178" spans="1:7">
      <c r="A5178">
        <v>5177</v>
      </c>
      <c r="B5178" t="str">
        <f>"026581"</f>
        <v>0</v>
      </c>
      <c r="C5178" t="s">
        <v>8462</v>
      </c>
      <c r="D5178" t="s">
        <v>8463</v>
      </c>
      <c r="E5178" t="str">
        <f>"1480500023063"</f>
        <v>0</v>
      </c>
      <c r="F5178" t="str">
        <f>"001010"</f>
        <v>0</v>
      </c>
      <c r="G5178" t="s">
        <v>21</v>
      </c>
    </row>
    <row r="5179" spans="1:7">
      <c r="A5179">
        <v>5178</v>
      </c>
      <c r="B5179" t="str">
        <f>"026740"</f>
        <v>0</v>
      </c>
      <c r="C5179" t="s">
        <v>674</v>
      </c>
      <c r="D5179" t="s">
        <v>8464</v>
      </c>
      <c r="E5179" t="str">
        <f>"3960600186195"</f>
        <v>0</v>
      </c>
      <c r="F5179" t="str">
        <f>"001010"</f>
        <v>0</v>
      </c>
      <c r="G5179" t="s">
        <v>21</v>
      </c>
    </row>
    <row r="5180" spans="1:7">
      <c r="A5180">
        <v>5179</v>
      </c>
      <c r="B5180" t="str">
        <f>"000677"</f>
        <v>0</v>
      </c>
      <c r="C5180" t="s">
        <v>4948</v>
      </c>
      <c r="D5180" t="s">
        <v>8465</v>
      </c>
      <c r="E5180" t="str">
        <f>"3319900150131"</f>
        <v>0</v>
      </c>
      <c r="F5180" t="str">
        <f>"001020"</f>
        <v>0</v>
      </c>
      <c r="G5180" t="s">
        <v>21</v>
      </c>
    </row>
    <row r="5181" spans="1:7">
      <c r="A5181">
        <v>5180</v>
      </c>
      <c r="B5181" t="str">
        <f>"001872"</f>
        <v>0</v>
      </c>
      <c r="C5181" t="s">
        <v>8466</v>
      </c>
      <c r="D5181" t="s">
        <v>8467</v>
      </c>
      <c r="E5181" t="str">
        <f>"3629900053515"</f>
        <v>0</v>
      </c>
      <c r="F5181" t="str">
        <f>"001020"</f>
        <v>0</v>
      </c>
      <c r="G5181" t="s">
        <v>21</v>
      </c>
    </row>
    <row r="5182" spans="1:7">
      <c r="A5182">
        <v>5181</v>
      </c>
      <c r="B5182" t="str">
        <f>"002710"</f>
        <v>0</v>
      </c>
      <c r="C5182" t="s">
        <v>8468</v>
      </c>
      <c r="D5182" t="s">
        <v>8469</v>
      </c>
      <c r="E5182" t="str">
        <f>"3341300373590"</f>
        <v>0</v>
      </c>
      <c r="F5182" t="str">
        <f>"001020"</f>
        <v>0</v>
      </c>
      <c r="G5182" t="s">
        <v>21</v>
      </c>
    </row>
    <row r="5183" spans="1:7">
      <c r="A5183">
        <v>5182</v>
      </c>
      <c r="B5183" t="str">
        <f>"003192"</f>
        <v>0</v>
      </c>
      <c r="C5183" t="s">
        <v>368</v>
      </c>
      <c r="D5183" t="s">
        <v>8470</v>
      </c>
      <c r="E5183" t="str">
        <f>"5310990038015"</f>
        <v>0</v>
      </c>
      <c r="F5183" t="str">
        <f>"001020"</f>
        <v>0</v>
      </c>
      <c r="G5183" t="s">
        <v>21</v>
      </c>
    </row>
    <row r="5184" spans="1:7">
      <c r="A5184">
        <v>5183</v>
      </c>
      <c r="B5184" t="str">
        <f>"003234"</f>
        <v>0</v>
      </c>
      <c r="C5184" t="s">
        <v>494</v>
      </c>
      <c r="D5184" t="s">
        <v>8471</v>
      </c>
      <c r="E5184" t="str">
        <f>"3311100199600"</f>
        <v>0</v>
      </c>
      <c r="F5184" t="str">
        <f>"001020"</f>
        <v>0</v>
      </c>
      <c r="G5184" t="s">
        <v>21</v>
      </c>
    </row>
    <row r="5185" spans="1:7">
      <c r="A5185">
        <v>5184</v>
      </c>
      <c r="B5185" t="str">
        <f>"003866"</f>
        <v>0</v>
      </c>
      <c r="C5185" t="s">
        <v>981</v>
      </c>
      <c r="D5185" t="s">
        <v>5165</v>
      </c>
      <c r="E5185" t="str">
        <f>"4311200002555"</f>
        <v>0</v>
      </c>
      <c r="F5185" t="str">
        <f>"001020"</f>
        <v>0</v>
      </c>
      <c r="G5185" t="s">
        <v>21</v>
      </c>
    </row>
    <row r="5186" spans="1:7">
      <c r="A5186">
        <v>5185</v>
      </c>
      <c r="B5186" t="str">
        <f>"004037"</f>
        <v>0</v>
      </c>
      <c r="C5186" t="s">
        <v>1827</v>
      </c>
      <c r="D5186" t="s">
        <v>8472</v>
      </c>
      <c r="E5186" t="str">
        <f>"3311000155490"</f>
        <v>0</v>
      </c>
      <c r="F5186" t="str">
        <f>"001020"</f>
        <v>0</v>
      </c>
      <c r="G5186" t="s">
        <v>21</v>
      </c>
    </row>
    <row r="5187" spans="1:7">
      <c r="A5187">
        <v>5186</v>
      </c>
      <c r="B5187" t="str">
        <f>"004088"</f>
        <v>0</v>
      </c>
      <c r="C5187" t="s">
        <v>2221</v>
      </c>
      <c r="D5187" t="s">
        <v>8473</v>
      </c>
      <c r="E5187" t="str">
        <f>"3311100457978"</f>
        <v>0</v>
      </c>
      <c r="F5187" t="str">
        <f>"001020"</f>
        <v>0</v>
      </c>
      <c r="G5187" t="s">
        <v>21</v>
      </c>
    </row>
    <row r="5188" spans="1:7">
      <c r="A5188">
        <v>5187</v>
      </c>
      <c r="B5188" t="str">
        <f>"004627"</f>
        <v>0</v>
      </c>
      <c r="C5188" t="s">
        <v>8474</v>
      </c>
      <c r="D5188" t="s">
        <v>8475</v>
      </c>
      <c r="E5188" t="str">
        <f>"3311300255651"</f>
        <v>0</v>
      </c>
      <c r="F5188" t="str">
        <f>"001020"</f>
        <v>0</v>
      </c>
      <c r="G5188" t="s">
        <v>21</v>
      </c>
    </row>
    <row r="5189" spans="1:7">
      <c r="A5189">
        <v>5188</v>
      </c>
      <c r="B5189" t="str">
        <f>"004628"</f>
        <v>0</v>
      </c>
      <c r="C5189" t="s">
        <v>8476</v>
      </c>
      <c r="D5189" t="s">
        <v>2026</v>
      </c>
      <c r="E5189" t="str">
        <f>"3311100001192"</f>
        <v>0</v>
      </c>
      <c r="F5189" t="str">
        <f>"001020"</f>
        <v>0</v>
      </c>
      <c r="G5189" t="s">
        <v>21</v>
      </c>
    </row>
    <row r="5190" spans="1:7">
      <c r="A5190">
        <v>5189</v>
      </c>
      <c r="B5190" t="str">
        <f>"004907"</f>
        <v>0</v>
      </c>
      <c r="C5190" t="s">
        <v>8477</v>
      </c>
      <c r="D5190" t="s">
        <v>7956</v>
      </c>
      <c r="E5190" t="str">
        <f>"3319900230673"</f>
        <v>0</v>
      </c>
      <c r="F5190" t="str">
        <f>"001020"</f>
        <v>0</v>
      </c>
      <c r="G5190" t="s">
        <v>21</v>
      </c>
    </row>
    <row r="5191" spans="1:7">
      <c r="A5191">
        <v>5190</v>
      </c>
      <c r="B5191" t="str">
        <f>"005155"</f>
        <v>0</v>
      </c>
      <c r="C5191" t="s">
        <v>3375</v>
      </c>
      <c r="D5191" t="s">
        <v>8478</v>
      </c>
      <c r="E5191" t="str">
        <f>"3350400639141"</f>
        <v>0</v>
      </c>
      <c r="F5191" t="str">
        <f>"001020"</f>
        <v>0</v>
      </c>
      <c r="G5191" t="s">
        <v>21</v>
      </c>
    </row>
    <row r="5192" spans="1:7">
      <c r="A5192">
        <v>5191</v>
      </c>
      <c r="B5192" t="str">
        <f>"005273"</f>
        <v>0</v>
      </c>
      <c r="C5192" t="s">
        <v>98</v>
      </c>
      <c r="D5192" t="s">
        <v>8479</v>
      </c>
      <c r="E5192" t="str">
        <f>"3400100640690"</f>
        <v>0</v>
      </c>
      <c r="F5192" t="str">
        <f>"001020"</f>
        <v>0</v>
      </c>
      <c r="G5192" t="s">
        <v>21</v>
      </c>
    </row>
    <row r="5193" spans="1:7">
      <c r="A5193">
        <v>5192</v>
      </c>
      <c r="B5193" t="str">
        <f>"005485"</f>
        <v>0</v>
      </c>
      <c r="C5193" t="s">
        <v>504</v>
      </c>
      <c r="D5193" t="s">
        <v>8480</v>
      </c>
      <c r="E5193" t="str">
        <f>"3310900338298"</f>
        <v>0</v>
      </c>
      <c r="F5193" t="str">
        <f>"001020"</f>
        <v>0</v>
      </c>
      <c r="G5193" t="s">
        <v>21</v>
      </c>
    </row>
    <row r="5194" spans="1:7">
      <c r="A5194">
        <v>5193</v>
      </c>
      <c r="B5194" t="str">
        <f>"005627"</f>
        <v>0</v>
      </c>
      <c r="C5194" t="s">
        <v>231</v>
      </c>
      <c r="D5194" t="s">
        <v>8481</v>
      </c>
      <c r="E5194" t="str">
        <f>"3301500600662"</f>
        <v>0</v>
      </c>
      <c r="F5194" t="str">
        <f>"001020"</f>
        <v>0</v>
      </c>
      <c r="G5194" t="s">
        <v>21</v>
      </c>
    </row>
    <row r="5195" spans="1:7">
      <c r="A5195">
        <v>5194</v>
      </c>
      <c r="B5195" t="str">
        <f>"005762"</f>
        <v>0</v>
      </c>
      <c r="C5195" t="s">
        <v>442</v>
      </c>
      <c r="D5195" t="s">
        <v>5196</v>
      </c>
      <c r="E5195" t="str">
        <f>"4319900001729"</f>
        <v>0</v>
      </c>
      <c r="F5195" t="str">
        <f>"001020"</f>
        <v>0</v>
      </c>
      <c r="G5195" t="s">
        <v>21</v>
      </c>
    </row>
    <row r="5196" spans="1:7">
      <c r="A5196">
        <v>5195</v>
      </c>
      <c r="B5196" t="str">
        <f>"006208"</f>
        <v>0</v>
      </c>
      <c r="C5196" t="s">
        <v>8482</v>
      </c>
      <c r="D5196" t="s">
        <v>8483</v>
      </c>
      <c r="E5196" t="str">
        <f>"3310101097826"</f>
        <v>0</v>
      </c>
      <c r="F5196" t="str">
        <f>"001020"</f>
        <v>0</v>
      </c>
      <c r="G5196" t="s">
        <v>21</v>
      </c>
    </row>
    <row r="5197" spans="1:7">
      <c r="A5197">
        <v>5196</v>
      </c>
      <c r="B5197" t="str">
        <f>"006210"</f>
        <v>0</v>
      </c>
      <c r="C5197" t="s">
        <v>5966</v>
      </c>
      <c r="D5197" t="s">
        <v>8484</v>
      </c>
      <c r="E5197" t="str">
        <f>"3311000138129"</f>
        <v>0</v>
      </c>
      <c r="F5197" t="str">
        <f>"001020"</f>
        <v>0</v>
      </c>
      <c r="G5197" t="s">
        <v>21</v>
      </c>
    </row>
    <row r="5198" spans="1:7">
      <c r="A5198">
        <v>5197</v>
      </c>
      <c r="B5198" t="str">
        <f>"006214"</f>
        <v>0</v>
      </c>
      <c r="C5198" t="s">
        <v>887</v>
      </c>
      <c r="D5198" t="s">
        <v>8485</v>
      </c>
      <c r="E5198" t="str">
        <f>"3319900191694"</f>
        <v>0</v>
      </c>
      <c r="F5198" t="str">
        <f>"001020"</f>
        <v>0</v>
      </c>
      <c r="G5198" t="s">
        <v>21</v>
      </c>
    </row>
    <row r="5199" spans="1:7">
      <c r="A5199">
        <v>5198</v>
      </c>
      <c r="B5199" t="str">
        <f>"006217"</f>
        <v>0</v>
      </c>
      <c r="C5199" t="s">
        <v>8486</v>
      </c>
      <c r="D5199" t="s">
        <v>2322</v>
      </c>
      <c r="E5199" t="str">
        <f>"3310700687442"</f>
        <v>0</v>
      </c>
      <c r="F5199" t="str">
        <f>"001020"</f>
        <v>0</v>
      </c>
      <c r="G5199" t="s">
        <v>21</v>
      </c>
    </row>
    <row r="5200" spans="1:7">
      <c r="A5200">
        <v>5199</v>
      </c>
      <c r="B5200" t="str">
        <f>"006218"</f>
        <v>0</v>
      </c>
      <c r="C5200" t="s">
        <v>4913</v>
      </c>
      <c r="D5200" t="s">
        <v>2322</v>
      </c>
      <c r="E5200" t="str">
        <f>"3310700687434"</f>
        <v>0</v>
      </c>
      <c r="F5200" t="str">
        <f>"001020"</f>
        <v>0</v>
      </c>
      <c r="G5200" t="s">
        <v>21</v>
      </c>
    </row>
    <row r="5201" spans="1:7">
      <c r="A5201">
        <v>5200</v>
      </c>
      <c r="B5201" t="str">
        <f>"006601"</f>
        <v>0</v>
      </c>
      <c r="C5201" t="s">
        <v>8487</v>
      </c>
      <c r="D5201" t="s">
        <v>8488</v>
      </c>
      <c r="E5201" t="str">
        <f>"3310800060867"</f>
        <v>0</v>
      </c>
      <c r="F5201" t="str">
        <f>"001020"</f>
        <v>0</v>
      </c>
      <c r="G5201" t="s">
        <v>21</v>
      </c>
    </row>
    <row r="5202" spans="1:7">
      <c r="A5202">
        <v>5201</v>
      </c>
      <c r="B5202" t="str">
        <f>"006766"</f>
        <v>0</v>
      </c>
      <c r="C5202" t="s">
        <v>433</v>
      </c>
      <c r="D5202" t="s">
        <v>8489</v>
      </c>
      <c r="E5202" t="str">
        <f>"3310900256097"</f>
        <v>0</v>
      </c>
      <c r="F5202" t="str">
        <f>"001020"</f>
        <v>0</v>
      </c>
      <c r="G5202" t="s">
        <v>21</v>
      </c>
    </row>
    <row r="5203" spans="1:7">
      <c r="A5203">
        <v>5202</v>
      </c>
      <c r="B5203" t="str">
        <f>"006823"</f>
        <v>0</v>
      </c>
      <c r="C5203" t="s">
        <v>957</v>
      </c>
      <c r="D5203" t="s">
        <v>8490</v>
      </c>
      <c r="E5203" t="str">
        <f>"3319900159421"</f>
        <v>0</v>
      </c>
      <c r="F5203" t="str">
        <f>"001020"</f>
        <v>0</v>
      </c>
      <c r="G5203" t="s">
        <v>21</v>
      </c>
    </row>
    <row r="5204" spans="1:7">
      <c r="A5204">
        <v>5203</v>
      </c>
      <c r="B5204" t="str">
        <f>"006835"</f>
        <v>0</v>
      </c>
      <c r="C5204" t="s">
        <v>6174</v>
      </c>
      <c r="D5204" t="s">
        <v>8491</v>
      </c>
      <c r="E5204" t="str">
        <f>"3310400046930"</f>
        <v>0</v>
      </c>
      <c r="F5204" t="str">
        <f>"001020"</f>
        <v>0</v>
      </c>
      <c r="G5204" t="s">
        <v>21</v>
      </c>
    </row>
    <row r="5205" spans="1:7">
      <c r="A5205">
        <v>5204</v>
      </c>
      <c r="B5205" t="str">
        <f>"006904"</f>
        <v>0</v>
      </c>
      <c r="C5205" t="s">
        <v>3992</v>
      </c>
      <c r="D5205" t="s">
        <v>8492</v>
      </c>
      <c r="E5205" t="str">
        <f>"3341400042030"</f>
        <v>0</v>
      </c>
      <c r="F5205" t="str">
        <f>"001020"</f>
        <v>0</v>
      </c>
      <c r="G5205" t="s">
        <v>21</v>
      </c>
    </row>
    <row r="5206" spans="1:7">
      <c r="A5206">
        <v>5205</v>
      </c>
      <c r="B5206" t="str">
        <f>"007013"</f>
        <v>0</v>
      </c>
      <c r="C5206" t="s">
        <v>8493</v>
      </c>
      <c r="D5206" t="s">
        <v>8494</v>
      </c>
      <c r="E5206" t="str">
        <f>"3310500245187"</f>
        <v>0</v>
      </c>
      <c r="F5206" t="str">
        <f>"001020"</f>
        <v>0</v>
      </c>
      <c r="G5206" t="s">
        <v>21</v>
      </c>
    </row>
    <row r="5207" spans="1:7">
      <c r="A5207">
        <v>5206</v>
      </c>
      <c r="B5207" t="str">
        <f>"007130"</f>
        <v>0</v>
      </c>
      <c r="C5207" t="s">
        <v>8495</v>
      </c>
      <c r="D5207" t="s">
        <v>8496</v>
      </c>
      <c r="E5207" t="str">
        <f>"3319900151323"</f>
        <v>0</v>
      </c>
      <c r="F5207" t="str">
        <f>"001020"</f>
        <v>0</v>
      </c>
      <c r="G5207" t="s">
        <v>21</v>
      </c>
    </row>
    <row r="5208" spans="1:7">
      <c r="A5208">
        <v>5207</v>
      </c>
      <c r="B5208" t="str">
        <f>"007164"</f>
        <v>0</v>
      </c>
      <c r="C5208" t="s">
        <v>8384</v>
      </c>
      <c r="D5208" t="s">
        <v>8497</v>
      </c>
      <c r="E5208" t="str">
        <f>"3310500285651"</f>
        <v>0</v>
      </c>
      <c r="F5208" t="str">
        <f>"001020"</f>
        <v>0</v>
      </c>
      <c r="G5208" t="s">
        <v>21</v>
      </c>
    </row>
    <row r="5209" spans="1:7">
      <c r="A5209">
        <v>5208</v>
      </c>
      <c r="B5209" t="str">
        <f>"007165"</f>
        <v>0</v>
      </c>
      <c r="C5209" t="s">
        <v>154</v>
      </c>
      <c r="D5209" t="s">
        <v>8498</v>
      </c>
      <c r="E5209" t="str">
        <f>"3310600727370"</f>
        <v>0</v>
      </c>
      <c r="F5209" t="str">
        <f>"001020"</f>
        <v>0</v>
      </c>
      <c r="G5209" t="s">
        <v>21</v>
      </c>
    </row>
    <row r="5210" spans="1:7">
      <c r="A5210">
        <v>5209</v>
      </c>
      <c r="B5210" t="str">
        <f>"007210"</f>
        <v>0</v>
      </c>
      <c r="C5210" t="s">
        <v>1979</v>
      </c>
      <c r="D5210" t="s">
        <v>8499</v>
      </c>
      <c r="E5210" t="str">
        <f>"3330900710456"</f>
        <v>0</v>
      </c>
      <c r="F5210" t="str">
        <f>"001020"</f>
        <v>0</v>
      </c>
      <c r="G5210" t="s">
        <v>21</v>
      </c>
    </row>
    <row r="5211" spans="1:7">
      <c r="A5211">
        <v>5210</v>
      </c>
      <c r="B5211" t="str">
        <f>"007273"</f>
        <v>0</v>
      </c>
      <c r="C5211" t="s">
        <v>4974</v>
      </c>
      <c r="D5211" t="s">
        <v>8500</v>
      </c>
      <c r="E5211" t="str">
        <f>"3310500116026"</f>
        <v>0</v>
      </c>
      <c r="F5211" t="str">
        <f>"001020"</f>
        <v>0</v>
      </c>
      <c r="G5211" t="s">
        <v>21</v>
      </c>
    </row>
    <row r="5212" spans="1:7">
      <c r="A5212">
        <v>5211</v>
      </c>
      <c r="B5212" t="str">
        <f>"007274"</f>
        <v>0</v>
      </c>
      <c r="C5212" t="s">
        <v>8501</v>
      </c>
      <c r="D5212" t="s">
        <v>8502</v>
      </c>
      <c r="E5212" t="str">
        <f>"3310200292937"</f>
        <v>0</v>
      </c>
      <c r="F5212" t="str">
        <f>"001020"</f>
        <v>0</v>
      </c>
      <c r="G5212" t="s">
        <v>21</v>
      </c>
    </row>
    <row r="5213" spans="1:7">
      <c r="A5213">
        <v>5212</v>
      </c>
      <c r="B5213" t="str">
        <f>"007406"</f>
        <v>0</v>
      </c>
      <c r="C5213" t="s">
        <v>837</v>
      </c>
      <c r="D5213" t="s">
        <v>8503</v>
      </c>
      <c r="E5213" t="str">
        <f>"3310700472811"</f>
        <v>0</v>
      </c>
      <c r="F5213" t="str">
        <f>"001020"</f>
        <v>0</v>
      </c>
      <c r="G5213" t="s">
        <v>21</v>
      </c>
    </row>
    <row r="5214" spans="1:7">
      <c r="A5214">
        <v>5213</v>
      </c>
      <c r="B5214" t="str">
        <f>"007639"</f>
        <v>0</v>
      </c>
      <c r="C5214" t="s">
        <v>8504</v>
      </c>
      <c r="D5214" t="s">
        <v>8505</v>
      </c>
      <c r="E5214" t="str">
        <f>"3310700064151"</f>
        <v>0</v>
      </c>
      <c r="F5214" t="str">
        <f>"001020"</f>
        <v>0</v>
      </c>
      <c r="G5214" t="s">
        <v>21</v>
      </c>
    </row>
    <row r="5215" spans="1:7">
      <c r="A5215">
        <v>5214</v>
      </c>
      <c r="B5215" t="str">
        <f>"007664"</f>
        <v>0</v>
      </c>
      <c r="C5215" t="s">
        <v>8506</v>
      </c>
      <c r="D5215" t="s">
        <v>8507</v>
      </c>
      <c r="E5215" t="str">
        <f>"3329900119144"</f>
        <v>0</v>
      </c>
      <c r="F5215" t="str">
        <f>"001020"</f>
        <v>0</v>
      </c>
      <c r="G5215" t="s">
        <v>21</v>
      </c>
    </row>
    <row r="5216" spans="1:7">
      <c r="A5216">
        <v>5215</v>
      </c>
      <c r="B5216" t="str">
        <f>"007733"</f>
        <v>0</v>
      </c>
      <c r="C5216" t="s">
        <v>8508</v>
      </c>
      <c r="D5216" t="s">
        <v>8509</v>
      </c>
      <c r="E5216" t="str">
        <f>"3310800236841"</f>
        <v>0</v>
      </c>
      <c r="F5216" t="str">
        <f>"001020"</f>
        <v>0</v>
      </c>
      <c r="G5216" t="s">
        <v>21</v>
      </c>
    </row>
    <row r="5217" spans="1:7">
      <c r="A5217">
        <v>5216</v>
      </c>
      <c r="B5217" t="str">
        <f>"008149"</f>
        <v>0</v>
      </c>
      <c r="C5217" t="s">
        <v>2607</v>
      </c>
      <c r="D5217" t="s">
        <v>8510</v>
      </c>
      <c r="E5217" t="str">
        <f>"5430790002164"</f>
        <v>0</v>
      </c>
      <c r="F5217" t="str">
        <f>"001020"</f>
        <v>0</v>
      </c>
      <c r="G5217" t="s">
        <v>21</v>
      </c>
    </row>
    <row r="5218" spans="1:7">
      <c r="A5218">
        <v>5217</v>
      </c>
      <c r="B5218" t="str">
        <f>"008482"</f>
        <v>0</v>
      </c>
      <c r="C5218" t="s">
        <v>555</v>
      </c>
      <c r="D5218" t="s">
        <v>8511</v>
      </c>
      <c r="E5218" t="str">
        <f>"3310101507005"</f>
        <v>0</v>
      </c>
      <c r="F5218" t="str">
        <f>"001020"</f>
        <v>0</v>
      </c>
      <c r="G5218" t="s">
        <v>21</v>
      </c>
    </row>
    <row r="5219" spans="1:7">
      <c r="A5219">
        <v>5218</v>
      </c>
      <c r="B5219" t="str">
        <f>"008484"</f>
        <v>0</v>
      </c>
      <c r="C5219" t="s">
        <v>8512</v>
      </c>
      <c r="D5219" t="s">
        <v>8513</v>
      </c>
      <c r="E5219" t="str">
        <f>"3311100002415"</f>
        <v>0</v>
      </c>
      <c r="F5219" t="str">
        <f>"001020"</f>
        <v>0</v>
      </c>
      <c r="G5219" t="s">
        <v>21</v>
      </c>
    </row>
    <row r="5220" spans="1:7">
      <c r="A5220">
        <v>5219</v>
      </c>
      <c r="B5220" t="str">
        <f>"008525"</f>
        <v>0</v>
      </c>
      <c r="C5220" t="s">
        <v>727</v>
      </c>
      <c r="D5220" t="s">
        <v>8472</v>
      </c>
      <c r="E5220" t="str">
        <f>"3490300007010"</f>
        <v>0</v>
      </c>
      <c r="F5220" t="str">
        <f>"001020"</f>
        <v>0</v>
      </c>
      <c r="G5220" t="s">
        <v>21</v>
      </c>
    </row>
    <row r="5221" spans="1:7">
      <c r="A5221">
        <v>5220</v>
      </c>
      <c r="B5221" t="str">
        <f>"008553"</f>
        <v>0</v>
      </c>
      <c r="C5221" t="s">
        <v>3070</v>
      </c>
      <c r="D5221" t="s">
        <v>2240</v>
      </c>
      <c r="E5221" t="str">
        <f>"3460500004031"</f>
        <v>0</v>
      </c>
      <c r="F5221" t="str">
        <f>"001020"</f>
        <v>0</v>
      </c>
      <c r="G5221" t="s">
        <v>21</v>
      </c>
    </row>
    <row r="5222" spans="1:7">
      <c r="A5222">
        <v>5221</v>
      </c>
      <c r="B5222" t="str">
        <f>"008598"</f>
        <v>0</v>
      </c>
      <c r="C5222" t="s">
        <v>4418</v>
      </c>
      <c r="D5222" t="s">
        <v>8514</v>
      </c>
      <c r="E5222" t="str">
        <f>"3310500001105"</f>
        <v>0</v>
      </c>
      <c r="F5222" t="str">
        <f>"001020"</f>
        <v>0</v>
      </c>
      <c r="G5222" t="s">
        <v>21</v>
      </c>
    </row>
    <row r="5223" spans="1:7">
      <c r="A5223">
        <v>5222</v>
      </c>
      <c r="B5223" t="str">
        <f>"009466"</f>
        <v>0</v>
      </c>
      <c r="C5223" t="s">
        <v>8515</v>
      </c>
      <c r="D5223" t="s">
        <v>8516</v>
      </c>
      <c r="E5223" t="str">
        <f>"3320700419405"</f>
        <v>0</v>
      </c>
      <c r="F5223" t="str">
        <f>"001020"</f>
        <v>0</v>
      </c>
      <c r="G5223" t="s">
        <v>21</v>
      </c>
    </row>
    <row r="5224" spans="1:7">
      <c r="A5224">
        <v>5223</v>
      </c>
      <c r="B5224" t="str">
        <f>"009968"</f>
        <v>0</v>
      </c>
      <c r="C5224" t="s">
        <v>5835</v>
      </c>
      <c r="D5224" t="s">
        <v>8517</v>
      </c>
      <c r="E5224" t="str">
        <f>"3310400101426"</f>
        <v>0</v>
      </c>
      <c r="F5224" t="str">
        <f>"001020"</f>
        <v>0</v>
      </c>
      <c r="G5224" t="s">
        <v>21</v>
      </c>
    </row>
    <row r="5225" spans="1:7">
      <c r="A5225">
        <v>5224</v>
      </c>
      <c r="B5225" t="str">
        <f>"009969"</f>
        <v>0</v>
      </c>
      <c r="C5225" t="s">
        <v>8518</v>
      </c>
      <c r="D5225" t="s">
        <v>8519</v>
      </c>
      <c r="E5225" t="str">
        <f>"3310400942196"</f>
        <v>0</v>
      </c>
      <c r="F5225" t="str">
        <f>"001020"</f>
        <v>0</v>
      </c>
      <c r="G5225" t="s">
        <v>21</v>
      </c>
    </row>
    <row r="5226" spans="1:7">
      <c r="A5226">
        <v>5225</v>
      </c>
      <c r="B5226" t="str">
        <f>"010143"</f>
        <v>0</v>
      </c>
      <c r="C5226" t="s">
        <v>8520</v>
      </c>
      <c r="D5226" t="s">
        <v>8521</v>
      </c>
      <c r="E5226" t="str">
        <f>"3319900038438"</f>
        <v>0</v>
      </c>
      <c r="F5226" t="str">
        <f>"001020"</f>
        <v>0</v>
      </c>
      <c r="G5226" t="s">
        <v>21</v>
      </c>
    </row>
    <row r="5227" spans="1:7">
      <c r="A5227">
        <v>5226</v>
      </c>
      <c r="B5227" t="str">
        <f>"010358"</f>
        <v>0</v>
      </c>
      <c r="C5227" t="s">
        <v>2024</v>
      </c>
      <c r="D5227" t="s">
        <v>8522</v>
      </c>
      <c r="E5227" t="str">
        <f>"3310800226706"</f>
        <v>0</v>
      </c>
      <c r="F5227" t="str">
        <f>"001020"</f>
        <v>0</v>
      </c>
      <c r="G5227" t="s">
        <v>21</v>
      </c>
    </row>
    <row r="5228" spans="1:7">
      <c r="A5228">
        <v>5227</v>
      </c>
      <c r="B5228" t="str">
        <f>"011826"</f>
        <v>0</v>
      </c>
      <c r="C5228" t="s">
        <v>6170</v>
      </c>
      <c r="D5228" t="s">
        <v>8523</v>
      </c>
      <c r="E5228" t="str">
        <f>"3310400214816"</f>
        <v>0</v>
      </c>
      <c r="F5228" t="str">
        <f>"001020"</f>
        <v>0</v>
      </c>
      <c r="G5228" t="s">
        <v>21</v>
      </c>
    </row>
    <row r="5229" spans="1:7">
      <c r="A5229">
        <v>5228</v>
      </c>
      <c r="B5229" t="str">
        <f>"011886"</f>
        <v>0</v>
      </c>
      <c r="C5229" t="s">
        <v>8524</v>
      </c>
      <c r="D5229" t="s">
        <v>8525</v>
      </c>
      <c r="E5229" t="str">
        <f>"3310900498988"</f>
        <v>0</v>
      </c>
      <c r="F5229" t="str">
        <f>"001020"</f>
        <v>0</v>
      </c>
      <c r="G5229" t="s">
        <v>21</v>
      </c>
    </row>
    <row r="5230" spans="1:7">
      <c r="A5230">
        <v>5229</v>
      </c>
      <c r="B5230" t="str">
        <f>"012158"</f>
        <v>0</v>
      </c>
      <c r="C5230" t="s">
        <v>6309</v>
      </c>
      <c r="D5230" t="s">
        <v>8526</v>
      </c>
      <c r="E5230" t="str">
        <f>"3319900042354"</f>
        <v>0</v>
      </c>
      <c r="F5230" t="str">
        <f>"001020"</f>
        <v>0</v>
      </c>
      <c r="G5230" t="s">
        <v>21</v>
      </c>
    </row>
    <row r="5231" spans="1:7">
      <c r="A5231">
        <v>5230</v>
      </c>
      <c r="B5231" t="str">
        <f>"013032"</f>
        <v>0</v>
      </c>
      <c r="C5231" t="s">
        <v>8527</v>
      </c>
      <c r="D5231" t="s">
        <v>8528</v>
      </c>
      <c r="E5231" t="str">
        <f>"3310700471202"</f>
        <v>0</v>
      </c>
      <c r="F5231" t="str">
        <f>"001020"</f>
        <v>0</v>
      </c>
      <c r="G5231" t="s">
        <v>21</v>
      </c>
    </row>
    <row r="5232" spans="1:7">
      <c r="A5232">
        <v>5231</v>
      </c>
      <c r="B5232" t="str">
        <f>"013035"</f>
        <v>0</v>
      </c>
      <c r="C5232" t="s">
        <v>4372</v>
      </c>
      <c r="D5232" t="s">
        <v>8529</v>
      </c>
      <c r="E5232" t="str">
        <f>"3310200095538"</f>
        <v>0</v>
      </c>
      <c r="F5232" t="str">
        <f>"001020"</f>
        <v>0</v>
      </c>
      <c r="G5232" t="s">
        <v>21</v>
      </c>
    </row>
    <row r="5233" spans="1:7">
      <c r="A5233">
        <v>5232</v>
      </c>
      <c r="B5233" t="str">
        <f>"013100"</f>
        <v>0</v>
      </c>
      <c r="C5233" t="s">
        <v>2428</v>
      </c>
      <c r="D5233" t="s">
        <v>8530</v>
      </c>
      <c r="E5233" t="str">
        <f>"3301300131308"</f>
        <v>0</v>
      </c>
      <c r="F5233" t="str">
        <f>"001020"</f>
        <v>0</v>
      </c>
      <c r="G5233" t="s">
        <v>21</v>
      </c>
    </row>
    <row r="5234" spans="1:7">
      <c r="A5234">
        <v>5233</v>
      </c>
      <c r="B5234" t="str">
        <f>"013438"</f>
        <v>0</v>
      </c>
      <c r="C5234" t="s">
        <v>8531</v>
      </c>
      <c r="D5234" t="s">
        <v>7107</v>
      </c>
      <c r="E5234" t="str">
        <f>"3319900041757"</f>
        <v>0</v>
      </c>
      <c r="F5234" t="str">
        <f>"001020"</f>
        <v>0</v>
      </c>
      <c r="G5234" t="s">
        <v>21</v>
      </c>
    </row>
    <row r="5235" spans="1:7">
      <c r="A5235">
        <v>5234</v>
      </c>
      <c r="B5235" t="str">
        <f>"013918"</f>
        <v>0</v>
      </c>
      <c r="C5235" t="s">
        <v>130</v>
      </c>
      <c r="D5235" t="s">
        <v>8532</v>
      </c>
      <c r="E5235" t="str">
        <f>"3319900043938"</f>
        <v>0</v>
      </c>
      <c r="F5235" t="str">
        <f>"001020"</f>
        <v>0</v>
      </c>
      <c r="G5235" t="s">
        <v>21</v>
      </c>
    </row>
    <row r="5236" spans="1:7">
      <c r="A5236">
        <v>5235</v>
      </c>
      <c r="B5236" t="str">
        <f>"015421"</f>
        <v>0</v>
      </c>
      <c r="C5236" t="s">
        <v>8533</v>
      </c>
      <c r="D5236" t="s">
        <v>8534</v>
      </c>
      <c r="E5236" t="str">
        <f>"3301401191861"</f>
        <v>0</v>
      </c>
      <c r="F5236" t="str">
        <f>"001020"</f>
        <v>0</v>
      </c>
      <c r="G5236" t="s">
        <v>21</v>
      </c>
    </row>
    <row r="5237" spans="1:7">
      <c r="A5237">
        <v>5236</v>
      </c>
      <c r="B5237" t="str">
        <f>"017888"</f>
        <v>0</v>
      </c>
      <c r="C5237" t="s">
        <v>8535</v>
      </c>
      <c r="D5237" t="s">
        <v>8536</v>
      </c>
      <c r="E5237" t="str">
        <f>"3319900086009"</f>
        <v>0</v>
      </c>
      <c r="F5237" t="str">
        <f>"001020"</f>
        <v>0</v>
      </c>
      <c r="G5237" t="s">
        <v>21</v>
      </c>
    </row>
    <row r="5238" spans="1:7">
      <c r="A5238">
        <v>5237</v>
      </c>
      <c r="B5238" t="str">
        <f>"017928"</f>
        <v>0</v>
      </c>
      <c r="C5238" t="s">
        <v>2331</v>
      </c>
      <c r="D5238" t="s">
        <v>8537</v>
      </c>
      <c r="E5238" t="str">
        <f>"3310700473027"</f>
        <v>0</v>
      </c>
      <c r="F5238" t="str">
        <f>"001020"</f>
        <v>0</v>
      </c>
      <c r="G5238" t="s">
        <v>21</v>
      </c>
    </row>
    <row r="5239" spans="1:7">
      <c r="A5239">
        <v>5238</v>
      </c>
      <c r="B5239" t="str">
        <f>"018016"</f>
        <v>0</v>
      </c>
      <c r="C5239" t="s">
        <v>7935</v>
      </c>
      <c r="D5239" t="s">
        <v>8538</v>
      </c>
      <c r="E5239" t="str">
        <f>"3311200033886"</f>
        <v>0</v>
      </c>
      <c r="F5239" t="str">
        <f>"001020"</f>
        <v>0</v>
      </c>
      <c r="G5239" t="s">
        <v>21</v>
      </c>
    </row>
    <row r="5240" spans="1:7">
      <c r="A5240">
        <v>5239</v>
      </c>
      <c r="B5240" t="str">
        <f>"018025"</f>
        <v>0</v>
      </c>
      <c r="C5240" t="s">
        <v>7743</v>
      </c>
      <c r="D5240" t="s">
        <v>8539</v>
      </c>
      <c r="E5240" t="str">
        <f>"3310400312737"</f>
        <v>0</v>
      </c>
      <c r="F5240" t="str">
        <f>"001020"</f>
        <v>0</v>
      </c>
      <c r="G5240" t="s">
        <v>21</v>
      </c>
    </row>
    <row r="5241" spans="1:7">
      <c r="A5241">
        <v>5240</v>
      </c>
      <c r="B5241" t="str">
        <f>"019506"</f>
        <v>0</v>
      </c>
      <c r="C5241" t="s">
        <v>6526</v>
      </c>
      <c r="D5241" t="s">
        <v>8540</v>
      </c>
      <c r="E5241" t="str">
        <f>"3311000158294"</f>
        <v>0</v>
      </c>
      <c r="F5241" t="str">
        <f>"001020"</f>
        <v>0</v>
      </c>
      <c r="G5241" t="s">
        <v>21</v>
      </c>
    </row>
    <row r="5242" spans="1:7">
      <c r="A5242">
        <v>5241</v>
      </c>
      <c r="B5242" t="str">
        <f>"020768"</f>
        <v>0</v>
      </c>
      <c r="C5242" t="s">
        <v>4214</v>
      </c>
      <c r="D5242" t="s">
        <v>8541</v>
      </c>
      <c r="E5242" t="str">
        <f>"3319900131411"</f>
        <v>0</v>
      </c>
      <c r="F5242" t="str">
        <f>"001020"</f>
        <v>0</v>
      </c>
      <c r="G5242" t="s">
        <v>21</v>
      </c>
    </row>
    <row r="5243" spans="1:7">
      <c r="A5243">
        <v>5242</v>
      </c>
      <c r="B5243" t="str">
        <f>"022401"</f>
        <v>0</v>
      </c>
      <c r="C5243" t="s">
        <v>8542</v>
      </c>
      <c r="D5243" t="s">
        <v>8543</v>
      </c>
      <c r="E5243" t="str">
        <f>"3319900112506"</f>
        <v>0</v>
      </c>
      <c r="F5243" t="str">
        <f>"001020"</f>
        <v>0</v>
      </c>
      <c r="G5243" t="s">
        <v>21</v>
      </c>
    </row>
    <row r="5244" spans="1:7">
      <c r="A5244">
        <v>5243</v>
      </c>
      <c r="B5244" t="str">
        <f>"027047"</f>
        <v>0</v>
      </c>
      <c r="C5244" t="s">
        <v>8544</v>
      </c>
      <c r="D5244" t="s">
        <v>8545</v>
      </c>
      <c r="E5244" t="str">
        <f>"3319900189207"</f>
        <v>0</v>
      </c>
      <c r="F5244" t="str">
        <f>"001020"</f>
        <v>0</v>
      </c>
      <c r="G5244" t="s">
        <v>21</v>
      </c>
    </row>
    <row r="5245" spans="1:7">
      <c r="A5245">
        <v>5244</v>
      </c>
      <c r="B5245" t="str">
        <f>"027272"</f>
        <v>0</v>
      </c>
      <c r="C5245" t="s">
        <v>126</v>
      </c>
      <c r="D5245" t="s">
        <v>8546</v>
      </c>
      <c r="E5245" t="str">
        <f>"3310200225181"</f>
        <v>0</v>
      </c>
      <c r="F5245" t="str">
        <f>"001020"</f>
        <v>0</v>
      </c>
      <c r="G5245" t="s">
        <v>21</v>
      </c>
    </row>
    <row r="5246" spans="1:7">
      <c r="A5246">
        <v>5245</v>
      </c>
      <c r="B5246" t="str">
        <f>"011987"</f>
        <v>0</v>
      </c>
      <c r="C5246" t="s">
        <v>5247</v>
      </c>
      <c r="D5246" t="s">
        <v>8547</v>
      </c>
      <c r="E5246" t="str">
        <f>"5310100038075"</f>
        <v>0</v>
      </c>
      <c r="F5246" t="str">
        <f>"001020"</f>
        <v>0</v>
      </c>
      <c r="G5246" t="s">
        <v>21</v>
      </c>
    </row>
    <row r="5247" spans="1:7">
      <c r="A5247">
        <v>5246</v>
      </c>
      <c r="B5247" t="str">
        <f>"016385"</f>
        <v>0</v>
      </c>
      <c r="C5247" t="s">
        <v>98</v>
      </c>
      <c r="D5247" t="s">
        <v>8548</v>
      </c>
      <c r="E5247" t="str">
        <f>"3310800049952"</f>
        <v>0</v>
      </c>
      <c r="F5247" t="str">
        <f>"001020"</f>
        <v>0</v>
      </c>
      <c r="G5247" t="s">
        <v>21</v>
      </c>
    </row>
    <row r="5248" spans="1:7">
      <c r="A5248">
        <v>5247</v>
      </c>
      <c r="B5248" t="str">
        <f>"018080"</f>
        <v>0</v>
      </c>
      <c r="C5248" t="s">
        <v>727</v>
      </c>
      <c r="D5248" t="s">
        <v>8549</v>
      </c>
      <c r="E5248" t="str">
        <f>"3329900160811"</f>
        <v>0</v>
      </c>
      <c r="F5248" t="str">
        <f>"001020"</f>
        <v>0</v>
      </c>
      <c r="G5248" t="s">
        <v>21</v>
      </c>
    </row>
    <row r="5249" spans="1:7">
      <c r="A5249">
        <v>5248</v>
      </c>
      <c r="B5249" t="str">
        <f>"023841"</f>
        <v>0</v>
      </c>
      <c r="C5249" t="s">
        <v>8550</v>
      </c>
      <c r="D5249" t="s">
        <v>8551</v>
      </c>
      <c r="E5249" t="str">
        <f>"3311000964703"</f>
        <v>0</v>
      </c>
      <c r="F5249" t="str">
        <f>"001020"</f>
        <v>0</v>
      </c>
      <c r="G5249" t="s">
        <v>21</v>
      </c>
    </row>
    <row r="5250" spans="1:7">
      <c r="A5250">
        <v>5249</v>
      </c>
      <c r="B5250" t="str">
        <f>"020341"</f>
        <v>0</v>
      </c>
      <c r="C5250" t="s">
        <v>5224</v>
      </c>
      <c r="D5250" t="s">
        <v>8552</v>
      </c>
      <c r="E5250" t="str">
        <f>"3320100059319"</f>
        <v>0</v>
      </c>
      <c r="F5250" t="str">
        <f>"001020"</f>
        <v>0</v>
      </c>
      <c r="G5250" t="s">
        <v>21</v>
      </c>
    </row>
    <row r="5251" spans="1:7">
      <c r="A5251">
        <v>5250</v>
      </c>
      <c r="B5251" t="str">
        <f>"027138"</f>
        <v>0</v>
      </c>
      <c r="C5251" t="s">
        <v>8553</v>
      </c>
      <c r="D5251" t="s">
        <v>8554</v>
      </c>
      <c r="E5251" t="str">
        <f>"1319800156441"</f>
        <v>0</v>
      </c>
      <c r="F5251" t="str">
        <f>"001020"</f>
        <v>0</v>
      </c>
      <c r="G5251" t="s">
        <v>21</v>
      </c>
    </row>
    <row r="5252" spans="1:7">
      <c r="A5252">
        <v>5251</v>
      </c>
      <c r="B5252" t="str">
        <f>"022579"</f>
        <v>0</v>
      </c>
      <c r="C5252" t="s">
        <v>8555</v>
      </c>
      <c r="D5252" t="s">
        <v>8556</v>
      </c>
      <c r="E5252" t="str">
        <f>"3260400429309"</f>
        <v>0</v>
      </c>
      <c r="F5252" t="str">
        <f>"001020"</f>
        <v>0</v>
      </c>
      <c r="G5252" t="s">
        <v>21</v>
      </c>
    </row>
    <row r="5253" spans="1:7">
      <c r="A5253">
        <v>5252</v>
      </c>
      <c r="B5253" t="str">
        <f>"020431"</f>
        <v>0</v>
      </c>
      <c r="C5253" t="s">
        <v>3823</v>
      </c>
      <c r="D5253" t="s">
        <v>8557</v>
      </c>
      <c r="E5253" t="str">
        <f>"3800800011047"</f>
        <v>0</v>
      </c>
      <c r="F5253" t="str">
        <f>"001020"</f>
        <v>0</v>
      </c>
      <c r="G5253" t="s">
        <v>21</v>
      </c>
    </row>
    <row r="5254" spans="1:7">
      <c r="A5254">
        <v>5253</v>
      </c>
      <c r="B5254" t="str">
        <f>"020576"</f>
        <v>0</v>
      </c>
      <c r="C5254" t="s">
        <v>8558</v>
      </c>
      <c r="D5254" t="s">
        <v>8559</v>
      </c>
      <c r="E5254" t="str">
        <f>"3301800014173"</f>
        <v>0</v>
      </c>
      <c r="F5254" t="str">
        <f>"001020"</f>
        <v>0</v>
      </c>
      <c r="G5254" t="s">
        <v>21</v>
      </c>
    </row>
    <row r="5255" spans="1:7">
      <c r="A5255">
        <v>5254</v>
      </c>
      <c r="B5255" t="str">
        <f>"023843"</f>
        <v>0</v>
      </c>
      <c r="C5255" t="s">
        <v>8560</v>
      </c>
      <c r="D5255" t="s">
        <v>8561</v>
      </c>
      <c r="E5255" t="str">
        <f>"3300700375025"</f>
        <v>0</v>
      </c>
      <c r="F5255" t="str">
        <f>"001020"</f>
        <v>0</v>
      </c>
      <c r="G5255" t="s">
        <v>21</v>
      </c>
    </row>
    <row r="5256" spans="1:7">
      <c r="A5256">
        <v>5255</v>
      </c>
      <c r="B5256" t="str">
        <f>"024353"</f>
        <v>0</v>
      </c>
      <c r="C5256" t="s">
        <v>8562</v>
      </c>
      <c r="D5256" t="s">
        <v>8563</v>
      </c>
      <c r="E5256" t="str">
        <f>"1309900593435"</f>
        <v>0</v>
      </c>
      <c r="F5256" t="str">
        <f>"001020"</f>
        <v>0</v>
      </c>
      <c r="G5256" t="s">
        <v>21</v>
      </c>
    </row>
    <row r="5257" spans="1:7">
      <c r="A5257">
        <v>5256</v>
      </c>
      <c r="B5257" t="str">
        <f>"024421"</f>
        <v>0</v>
      </c>
      <c r="C5257" t="s">
        <v>8564</v>
      </c>
      <c r="D5257" t="s">
        <v>8565</v>
      </c>
      <c r="E5257" t="str">
        <f>"1310400055037"</f>
        <v>0</v>
      </c>
      <c r="F5257" t="str">
        <f>"001020"</f>
        <v>0</v>
      </c>
      <c r="G5257" t="s">
        <v>21</v>
      </c>
    </row>
    <row r="5258" spans="1:7">
      <c r="A5258">
        <v>5257</v>
      </c>
      <c r="B5258" t="str">
        <f>"024439"</f>
        <v>0</v>
      </c>
      <c r="C5258" t="s">
        <v>5076</v>
      </c>
      <c r="D5258" t="s">
        <v>8566</v>
      </c>
      <c r="E5258" t="str">
        <f>"3301800282224"</f>
        <v>0</v>
      </c>
      <c r="F5258" t="str">
        <f>"001020"</f>
        <v>0</v>
      </c>
      <c r="G5258" t="s">
        <v>21</v>
      </c>
    </row>
    <row r="5259" spans="1:7">
      <c r="A5259">
        <v>5258</v>
      </c>
      <c r="B5259" t="str">
        <f>"024495"</f>
        <v>0</v>
      </c>
      <c r="C5259" t="s">
        <v>8567</v>
      </c>
      <c r="D5259" t="s">
        <v>8568</v>
      </c>
      <c r="E5259" t="str">
        <f>"3301500639135"</f>
        <v>0</v>
      </c>
      <c r="F5259" t="str">
        <f>"001020"</f>
        <v>0</v>
      </c>
      <c r="G5259" t="s">
        <v>21</v>
      </c>
    </row>
    <row r="5260" spans="1:7">
      <c r="A5260">
        <v>5259</v>
      </c>
      <c r="B5260" t="str">
        <f>"024496"</f>
        <v>0</v>
      </c>
      <c r="C5260" t="s">
        <v>8569</v>
      </c>
      <c r="D5260" t="s">
        <v>8570</v>
      </c>
      <c r="E5260" t="str">
        <f>"1300400028749"</f>
        <v>0</v>
      </c>
      <c r="F5260" t="str">
        <f>"001020"</f>
        <v>0</v>
      </c>
      <c r="G5260" t="s">
        <v>21</v>
      </c>
    </row>
    <row r="5261" spans="1:7">
      <c r="A5261">
        <v>5260</v>
      </c>
      <c r="B5261" t="str">
        <f>"025607"</f>
        <v>0</v>
      </c>
      <c r="C5261" t="s">
        <v>3599</v>
      </c>
      <c r="D5261" t="s">
        <v>8571</v>
      </c>
      <c r="E5261" t="str">
        <f>"1309900288616"</f>
        <v>0</v>
      </c>
      <c r="F5261" t="str">
        <f>"001020"</f>
        <v>0</v>
      </c>
      <c r="G5261" t="s">
        <v>21</v>
      </c>
    </row>
    <row r="5262" spans="1:7">
      <c r="A5262">
        <v>5261</v>
      </c>
      <c r="B5262" t="str">
        <f>"026148"</f>
        <v>0</v>
      </c>
      <c r="C5262" t="s">
        <v>8572</v>
      </c>
      <c r="D5262" t="s">
        <v>8573</v>
      </c>
      <c r="E5262" t="str">
        <f>"1311000137941"</f>
        <v>0</v>
      </c>
      <c r="F5262" t="str">
        <f>"001020"</f>
        <v>0</v>
      </c>
      <c r="G5262" t="s">
        <v>21</v>
      </c>
    </row>
    <row r="5263" spans="1:7">
      <c r="A5263">
        <v>5262</v>
      </c>
      <c r="B5263" t="str">
        <f>"026499"</f>
        <v>0</v>
      </c>
      <c r="C5263" t="s">
        <v>8574</v>
      </c>
      <c r="D5263" t="s">
        <v>8575</v>
      </c>
      <c r="E5263" t="str">
        <f>"1301500123337"</f>
        <v>0</v>
      </c>
      <c r="F5263" t="str">
        <f>"001020"</f>
        <v>0</v>
      </c>
      <c r="G5263" t="s">
        <v>21</v>
      </c>
    </row>
    <row r="5264" spans="1:7">
      <c r="A5264">
        <v>5263</v>
      </c>
      <c r="B5264" t="str">
        <f>"026726"</f>
        <v>0</v>
      </c>
      <c r="C5264" t="s">
        <v>8576</v>
      </c>
      <c r="D5264" t="s">
        <v>8577</v>
      </c>
      <c r="E5264" t="str">
        <f>"1309900783528"</f>
        <v>0</v>
      </c>
      <c r="F5264" t="str">
        <f>"001020"</f>
        <v>0</v>
      </c>
      <c r="G5264" t="s">
        <v>21</v>
      </c>
    </row>
    <row r="5265" spans="1:7">
      <c r="A5265">
        <v>5264</v>
      </c>
      <c r="B5265" t="str">
        <f>"026997"</f>
        <v>0</v>
      </c>
      <c r="C5265" t="s">
        <v>1506</v>
      </c>
      <c r="D5265" t="s">
        <v>8578</v>
      </c>
      <c r="E5265" t="str">
        <f>"1309900307335"</f>
        <v>0</v>
      </c>
      <c r="F5265" t="str">
        <f>"001020"</f>
        <v>0</v>
      </c>
      <c r="G5265" t="s">
        <v>21</v>
      </c>
    </row>
    <row r="5266" spans="1:7">
      <c r="A5266">
        <v>5265</v>
      </c>
      <c r="B5266" t="str">
        <f>"008268"</f>
        <v>0</v>
      </c>
      <c r="C5266" t="s">
        <v>8579</v>
      </c>
      <c r="D5266" t="s">
        <v>8580</v>
      </c>
      <c r="E5266" t="str">
        <f>"3319900131284"</f>
        <v>0</v>
      </c>
      <c r="F5266" t="str">
        <f>"001020"</f>
        <v>0</v>
      </c>
      <c r="G5266" t="s">
        <v>21</v>
      </c>
    </row>
    <row r="5267" spans="1:7">
      <c r="A5267">
        <v>5266</v>
      </c>
      <c r="B5267" t="str">
        <f>"008812"</f>
        <v>0</v>
      </c>
      <c r="C5267" t="s">
        <v>8581</v>
      </c>
      <c r="D5267" t="s">
        <v>8582</v>
      </c>
      <c r="E5267" t="str">
        <f>"3801600325251"</f>
        <v>0</v>
      </c>
      <c r="F5267" t="str">
        <f>"001020"</f>
        <v>0</v>
      </c>
      <c r="G5267" t="s">
        <v>21</v>
      </c>
    </row>
    <row r="5268" spans="1:7">
      <c r="A5268">
        <v>5267</v>
      </c>
      <c r="B5268" t="str">
        <f>"009971"</f>
        <v>0</v>
      </c>
      <c r="C5268" t="s">
        <v>2445</v>
      </c>
      <c r="D5268" t="s">
        <v>8583</v>
      </c>
      <c r="E5268" t="str">
        <f>"3910300175066"</f>
        <v>0</v>
      </c>
      <c r="F5268" t="str">
        <f>"001020"</f>
        <v>0</v>
      </c>
      <c r="G5268" t="s">
        <v>21</v>
      </c>
    </row>
    <row r="5269" spans="1:7">
      <c r="A5269">
        <v>5268</v>
      </c>
      <c r="B5269" t="str">
        <f>"010119"</f>
        <v>0</v>
      </c>
      <c r="C5269" t="s">
        <v>433</v>
      </c>
      <c r="D5269" t="s">
        <v>8584</v>
      </c>
      <c r="E5269" t="str">
        <f>"3909800925216"</f>
        <v>0</v>
      </c>
      <c r="F5269" t="str">
        <f>"001020"</f>
        <v>0</v>
      </c>
      <c r="G5269" t="s">
        <v>21</v>
      </c>
    </row>
    <row r="5270" spans="1:7">
      <c r="A5270">
        <v>5269</v>
      </c>
      <c r="B5270" t="str">
        <f>"010142"</f>
        <v>0</v>
      </c>
      <c r="C5270" t="s">
        <v>7308</v>
      </c>
      <c r="D5270" t="s">
        <v>8585</v>
      </c>
      <c r="E5270" t="str">
        <f>"3311101077273"</f>
        <v>0</v>
      </c>
      <c r="F5270" t="str">
        <f>"001020"</f>
        <v>0</v>
      </c>
      <c r="G5270" t="s">
        <v>21</v>
      </c>
    </row>
    <row r="5271" spans="1:7">
      <c r="A5271">
        <v>5270</v>
      </c>
      <c r="B5271" t="str">
        <f>"011982"</f>
        <v>0</v>
      </c>
      <c r="C5271" t="s">
        <v>8586</v>
      </c>
      <c r="D5271" t="s">
        <v>8587</v>
      </c>
      <c r="E5271" t="str">
        <f>"3320300672375"</f>
        <v>0</v>
      </c>
      <c r="F5271" t="str">
        <f>"001020"</f>
        <v>0</v>
      </c>
      <c r="G5271" t="s">
        <v>21</v>
      </c>
    </row>
    <row r="5272" spans="1:7">
      <c r="A5272">
        <v>5271</v>
      </c>
      <c r="B5272" t="str">
        <f>"011983"</f>
        <v>0</v>
      </c>
      <c r="C5272" t="s">
        <v>8588</v>
      </c>
      <c r="D5272" t="s">
        <v>8589</v>
      </c>
      <c r="E5272" t="str">
        <f>"3310401238964"</f>
        <v>0</v>
      </c>
      <c r="F5272" t="str">
        <f>"001020"</f>
        <v>0</v>
      </c>
      <c r="G5272" t="s">
        <v>21</v>
      </c>
    </row>
    <row r="5273" spans="1:7">
      <c r="A5273">
        <v>5272</v>
      </c>
      <c r="B5273" t="str">
        <f>"012131"</f>
        <v>0</v>
      </c>
      <c r="C5273" t="s">
        <v>659</v>
      </c>
      <c r="D5273" t="s">
        <v>8590</v>
      </c>
      <c r="E5273" t="str">
        <f>"5311490012018"</f>
        <v>0</v>
      </c>
      <c r="F5273" t="str">
        <f>"001020"</f>
        <v>0</v>
      </c>
      <c r="G5273" t="s">
        <v>21</v>
      </c>
    </row>
    <row r="5274" spans="1:7">
      <c r="A5274">
        <v>5273</v>
      </c>
      <c r="B5274" t="str">
        <f>"012288"</f>
        <v>0</v>
      </c>
      <c r="C5274" t="s">
        <v>8591</v>
      </c>
      <c r="D5274" t="s">
        <v>8592</v>
      </c>
      <c r="E5274" t="str">
        <f>"3310600124284"</f>
        <v>0</v>
      </c>
      <c r="F5274" t="str">
        <f>"001020"</f>
        <v>0</v>
      </c>
      <c r="G5274" t="s">
        <v>21</v>
      </c>
    </row>
    <row r="5275" spans="1:7">
      <c r="A5275">
        <v>5274</v>
      </c>
      <c r="B5275" t="str">
        <f>"012448"</f>
        <v>0</v>
      </c>
      <c r="C5275" t="s">
        <v>8593</v>
      </c>
      <c r="D5275" t="s">
        <v>8594</v>
      </c>
      <c r="E5275" t="str">
        <f>"3310900159393"</f>
        <v>0</v>
      </c>
      <c r="F5275" t="str">
        <f>"001020"</f>
        <v>0</v>
      </c>
      <c r="G5275" t="s">
        <v>21</v>
      </c>
    </row>
    <row r="5276" spans="1:7">
      <c r="A5276">
        <v>5275</v>
      </c>
      <c r="B5276" t="str">
        <f>"013031"</f>
        <v>0</v>
      </c>
      <c r="C5276" t="s">
        <v>32</v>
      </c>
      <c r="D5276" t="s">
        <v>8595</v>
      </c>
      <c r="E5276" t="str">
        <f>"3311100181123"</f>
        <v>0</v>
      </c>
      <c r="F5276" t="str">
        <f>"001020"</f>
        <v>0</v>
      </c>
      <c r="G5276" t="s">
        <v>21</v>
      </c>
    </row>
    <row r="5277" spans="1:7">
      <c r="A5277">
        <v>5276</v>
      </c>
      <c r="B5277" t="str">
        <f>"013265"</f>
        <v>0</v>
      </c>
      <c r="C5277" t="s">
        <v>221</v>
      </c>
      <c r="D5277" t="s">
        <v>8596</v>
      </c>
      <c r="E5277" t="str">
        <f>"3309900844604"</f>
        <v>0</v>
      </c>
      <c r="F5277" t="str">
        <f>"001020"</f>
        <v>0</v>
      </c>
      <c r="G5277" t="s">
        <v>21</v>
      </c>
    </row>
    <row r="5278" spans="1:7">
      <c r="A5278">
        <v>5277</v>
      </c>
      <c r="B5278" t="str">
        <f>"014137"</f>
        <v>0</v>
      </c>
      <c r="C5278" t="s">
        <v>8597</v>
      </c>
      <c r="D5278" t="s">
        <v>8598</v>
      </c>
      <c r="E5278" t="str">
        <f>"3310900233844"</f>
        <v>0</v>
      </c>
      <c r="F5278" t="str">
        <f>"001020"</f>
        <v>0</v>
      </c>
      <c r="G5278" t="s">
        <v>21</v>
      </c>
    </row>
    <row r="5279" spans="1:7">
      <c r="A5279">
        <v>5278</v>
      </c>
      <c r="B5279" t="str">
        <f>"014634"</f>
        <v>0</v>
      </c>
      <c r="C5279" t="s">
        <v>4851</v>
      </c>
      <c r="D5279" t="s">
        <v>8599</v>
      </c>
      <c r="E5279" t="str">
        <f>"3310900315549"</f>
        <v>0</v>
      </c>
      <c r="F5279" t="str">
        <f>"001020"</f>
        <v>0</v>
      </c>
      <c r="G5279" t="s">
        <v>21</v>
      </c>
    </row>
    <row r="5280" spans="1:7">
      <c r="A5280">
        <v>5279</v>
      </c>
      <c r="B5280" t="str">
        <f>"014878"</f>
        <v>0</v>
      </c>
      <c r="C5280" t="s">
        <v>311</v>
      </c>
      <c r="D5280" t="s">
        <v>8600</v>
      </c>
      <c r="E5280" t="str">
        <f>"3180400470717"</f>
        <v>0</v>
      </c>
      <c r="F5280" t="str">
        <f>"001020"</f>
        <v>0</v>
      </c>
      <c r="G5280" t="s">
        <v>21</v>
      </c>
    </row>
    <row r="5281" spans="1:7">
      <c r="A5281">
        <v>5280</v>
      </c>
      <c r="B5281" t="str">
        <f>"015113"</f>
        <v>0</v>
      </c>
      <c r="C5281" t="s">
        <v>6203</v>
      </c>
      <c r="D5281" t="s">
        <v>8601</v>
      </c>
      <c r="E5281" t="str">
        <f>"3310300763761"</f>
        <v>0</v>
      </c>
      <c r="F5281" t="str">
        <f>"001020"</f>
        <v>0</v>
      </c>
      <c r="G5281" t="s">
        <v>21</v>
      </c>
    </row>
    <row r="5282" spans="1:7">
      <c r="A5282">
        <v>5281</v>
      </c>
      <c r="B5282" t="str">
        <f>"015288"</f>
        <v>0</v>
      </c>
      <c r="C5282" t="s">
        <v>148</v>
      </c>
      <c r="D5282" t="s">
        <v>8602</v>
      </c>
      <c r="E5282" t="str">
        <f>"3301300544238"</f>
        <v>0</v>
      </c>
      <c r="F5282" t="str">
        <f>"001020"</f>
        <v>0</v>
      </c>
      <c r="G5282" t="s">
        <v>21</v>
      </c>
    </row>
    <row r="5283" spans="1:7">
      <c r="A5283">
        <v>5282</v>
      </c>
      <c r="B5283" t="str">
        <f>"015406"</f>
        <v>0</v>
      </c>
      <c r="C5283" t="s">
        <v>832</v>
      </c>
      <c r="D5283" t="s">
        <v>1294</v>
      </c>
      <c r="E5283" t="str">
        <f>"3319900071877"</f>
        <v>0</v>
      </c>
      <c r="F5283" t="str">
        <f>"001020"</f>
        <v>0</v>
      </c>
      <c r="G5283" t="s">
        <v>21</v>
      </c>
    </row>
    <row r="5284" spans="1:7">
      <c r="A5284">
        <v>5283</v>
      </c>
      <c r="B5284" t="str">
        <f>"015504"</f>
        <v>0</v>
      </c>
      <c r="C5284" t="s">
        <v>3812</v>
      </c>
      <c r="D5284" t="s">
        <v>8603</v>
      </c>
      <c r="E5284" t="str">
        <f>"3311400002640"</f>
        <v>0</v>
      </c>
      <c r="F5284" t="str">
        <f>"001020"</f>
        <v>0</v>
      </c>
      <c r="G5284" t="s">
        <v>21</v>
      </c>
    </row>
    <row r="5285" spans="1:7">
      <c r="A5285">
        <v>5284</v>
      </c>
      <c r="B5285" t="str">
        <f>"015551"</f>
        <v>0</v>
      </c>
      <c r="C5285" t="s">
        <v>4913</v>
      </c>
      <c r="D5285" t="s">
        <v>7956</v>
      </c>
      <c r="E5285" t="str">
        <f>"3301000004254"</f>
        <v>0</v>
      </c>
      <c r="F5285" t="str">
        <f>"001020"</f>
        <v>0</v>
      </c>
      <c r="G5285" t="s">
        <v>21</v>
      </c>
    </row>
    <row r="5286" spans="1:7">
      <c r="A5286">
        <v>5285</v>
      </c>
      <c r="B5286" t="str">
        <f>"015883"</f>
        <v>0</v>
      </c>
      <c r="C5286" t="s">
        <v>8604</v>
      </c>
      <c r="D5286" t="s">
        <v>8605</v>
      </c>
      <c r="E5286" t="str">
        <f>"3440800781253"</f>
        <v>0</v>
      </c>
      <c r="F5286" t="str">
        <f>"001020"</f>
        <v>0</v>
      </c>
      <c r="G5286" t="s">
        <v>21</v>
      </c>
    </row>
    <row r="5287" spans="1:7">
      <c r="A5287">
        <v>5286</v>
      </c>
      <c r="B5287" t="str">
        <f>"016125"</f>
        <v>0</v>
      </c>
      <c r="C5287" t="s">
        <v>8606</v>
      </c>
      <c r="D5287" t="s">
        <v>8607</v>
      </c>
      <c r="E5287" t="str">
        <f>"3311100830083"</f>
        <v>0</v>
      </c>
      <c r="F5287" t="str">
        <f>"001020"</f>
        <v>0</v>
      </c>
      <c r="G5287" t="s">
        <v>21</v>
      </c>
    </row>
    <row r="5288" spans="1:7">
      <c r="A5288">
        <v>5287</v>
      </c>
      <c r="B5288" t="str">
        <f>"016249"</f>
        <v>0</v>
      </c>
      <c r="C5288" t="s">
        <v>520</v>
      </c>
      <c r="D5288" t="s">
        <v>8608</v>
      </c>
      <c r="E5288" t="str">
        <f>"3311100089570"</f>
        <v>0</v>
      </c>
      <c r="F5288" t="str">
        <f>"001020"</f>
        <v>0</v>
      </c>
      <c r="G5288" t="s">
        <v>21</v>
      </c>
    </row>
    <row r="5289" spans="1:7">
      <c r="A5289">
        <v>5288</v>
      </c>
      <c r="B5289" t="str">
        <f>"016382"</f>
        <v>0</v>
      </c>
      <c r="C5289" t="s">
        <v>1151</v>
      </c>
      <c r="D5289" t="s">
        <v>8609</v>
      </c>
      <c r="E5289" t="str">
        <f>"3310900620406"</f>
        <v>0</v>
      </c>
      <c r="F5289" t="str">
        <f>"001020"</f>
        <v>0</v>
      </c>
      <c r="G5289" t="s">
        <v>21</v>
      </c>
    </row>
    <row r="5290" spans="1:7">
      <c r="A5290">
        <v>5289</v>
      </c>
      <c r="B5290" t="str">
        <f>"016386"</f>
        <v>0</v>
      </c>
      <c r="C5290" t="s">
        <v>8610</v>
      </c>
      <c r="D5290" t="s">
        <v>8611</v>
      </c>
      <c r="E5290" t="str">
        <f>"3310700876971"</f>
        <v>0</v>
      </c>
      <c r="F5290" t="str">
        <f>"001020"</f>
        <v>0</v>
      </c>
      <c r="G5290" t="s">
        <v>21</v>
      </c>
    </row>
    <row r="5291" spans="1:7">
      <c r="A5291">
        <v>5290</v>
      </c>
      <c r="B5291" t="str">
        <f>"016387"</f>
        <v>0</v>
      </c>
      <c r="C5291" t="s">
        <v>4059</v>
      </c>
      <c r="D5291" t="s">
        <v>8467</v>
      </c>
      <c r="E5291" t="str">
        <f>"3310400437122"</f>
        <v>0</v>
      </c>
      <c r="F5291" t="str">
        <f>"001020"</f>
        <v>0</v>
      </c>
      <c r="G5291" t="s">
        <v>21</v>
      </c>
    </row>
    <row r="5292" spans="1:7">
      <c r="A5292">
        <v>5291</v>
      </c>
      <c r="B5292" t="str">
        <f>"016388"</f>
        <v>0</v>
      </c>
      <c r="C5292" t="s">
        <v>2262</v>
      </c>
      <c r="D5292" t="s">
        <v>8612</v>
      </c>
      <c r="E5292" t="str">
        <f>"3310300064987"</f>
        <v>0</v>
      </c>
      <c r="F5292" t="str">
        <f>"001020"</f>
        <v>0</v>
      </c>
      <c r="G5292" t="s">
        <v>21</v>
      </c>
    </row>
    <row r="5293" spans="1:7">
      <c r="A5293">
        <v>5292</v>
      </c>
      <c r="B5293" t="str">
        <f>"016475"</f>
        <v>0</v>
      </c>
      <c r="C5293" t="s">
        <v>8613</v>
      </c>
      <c r="D5293" t="s">
        <v>8614</v>
      </c>
      <c r="E5293" t="str">
        <f>"3350100815849"</f>
        <v>0</v>
      </c>
      <c r="F5293" t="str">
        <f>"001020"</f>
        <v>0</v>
      </c>
      <c r="G5293" t="s">
        <v>21</v>
      </c>
    </row>
    <row r="5294" spans="1:7">
      <c r="A5294">
        <v>5293</v>
      </c>
      <c r="B5294" t="str">
        <f>"017024"</f>
        <v>0</v>
      </c>
      <c r="C5294" t="s">
        <v>8615</v>
      </c>
      <c r="D5294" t="s">
        <v>8616</v>
      </c>
      <c r="E5294" t="str">
        <f>"3311000258108"</f>
        <v>0</v>
      </c>
      <c r="F5294" t="str">
        <f>"001020"</f>
        <v>0</v>
      </c>
      <c r="G5294" t="s">
        <v>21</v>
      </c>
    </row>
    <row r="5295" spans="1:7">
      <c r="A5295">
        <v>5294</v>
      </c>
      <c r="B5295" t="str">
        <f>"017457"</f>
        <v>0</v>
      </c>
      <c r="C5295" t="s">
        <v>8617</v>
      </c>
      <c r="D5295" t="s">
        <v>8618</v>
      </c>
      <c r="E5295" t="str">
        <f>"3310600216413"</f>
        <v>0</v>
      </c>
      <c r="F5295" t="str">
        <f>"001020"</f>
        <v>0</v>
      </c>
      <c r="G5295" t="s">
        <v>21</v>
      </c>
    </row>
    <row r="5296" spans="1:7">
      <c r="A5296">
        <v>5295</v>
      </c>
      <c r="B5296" t="str">
        <f>"017573"</f>
        <v>0</v>
      </c>
      <c r="C5296" t="s">
        <v>8619</v>
      </c>
      <c r="D5296" t="s">
        <v>8620</v>
      </c>
      <c r="E5296" t="str">
        <f>"3449900307098"</f>
        <v>0</v>
      </c>
      <c r="F5296" t="str">
        <f>"001020"</f>
        <v>0</v>
      </c>
      <c r="G5296" t="s">
        <v>21</v>
      </c>
    </row>
    <row r="5297" spans="1:7">
      <c r="A5297">
        <v>5296</v>
      </c>
      <c r="B5297" t="str">
        <f>"017823"</f>
        <v>0</v>
      </c>
      <c r="C5297" t="s">
        <v>1356</v>
      </c>
      <c r="D5297" t="s">
        <v>8621</v>
      </c>
      <c r="E5297" t="str">
        <f>"3310100723201"</f>
        <v>0</v>
      </c>
      <c r="F5297" t="str">
        <f>"001020"</f>
        <v>0</v>
      </c>
      <c r="G5297" t="s">
        <v>21</v>
      </c>
    </row>
    <row r="5298" spans="1:7">
      <c r="A5298">
        <v>5297</v>
      </c>
      <c r="B5298" t="str">
        <f>"017852"</f>
        <v>0</v>
      </c>
      <c r="C5298" t="s">
        <v>8622</v>
      </c>
      <c r="D5298" t="s">
        <v>8623</v>
      </c>
      <c r="E5298" t="str">
        <f>"3429900004851"</f>
        <v>0</v>
      </c>
      <c r="F5298" t="str">
        <f>"001020"</f>
        <v>0</v>
      </c>
      <c r="G5298" t="s">
        <v>21</v>
      </c>
    </row>
    <row r="5299" spans="1:7">
      <c r="A5299">
        <v>5298</v>
      </c>
      <c r="B5299" t="str">
        <f>"017964"</f>
        <v>0</v>
      </c>
      <c r="C5299" t="s">
        <v>8624</v>
      </c>
      <c r="D5299" t="s">
        <v>8625</v>
      </c>
      <c r="E5299" t="str">
        <f>"3310400200106"</f>
        <v>0</v>
      </c>
      <c r="F5299" t="str">
        <f>"001020"</f>
        <v>0</v>
      </c>
      <c r="G5299" t="s">
        <v>21</v>
      </c>
    </row>
    <row r="5300" spans="1:7">
      <c r="A5300">
        <v>5299</v>
      </c>
      <c r="B5300" t="str">
        <f>"018226"</f>
        <v>0</v>
      </c>
      <c r="C5300" t="s">
        <v>8626</v>
      </c>
      <c r="D5300" t="s">
        <v>8627</v>
      </c>
      <c r="E5300" t="str">
        <f>"3310300452529"</f>
        <v>0</v>
      </c>
      <c r="F5300" t="str">
        <f>"001020"</f>
        <v>0</v>
      </c>
      <c r="G5300" t="s">
        <v>21</v>
      </c>
    </row>
    <row r="5301" spans="1:7">
      <c r="A5301">
        <v>5300</v>
      </c>
      <c r="B5301" t="str">
        <f>"018347"</f>
        <v>0</v>
      </c>
      <c r="C5301" t="s">
        <v>4622</v>
      </c>
      <c r="D5301" t="s">
        <v>8179</v>
      </c>
      <c r="E5301" t="str">
        <f>"3310800422327"</f>
        <v>0</v>
      </c>
      <c r="F5301" t="str">
        <f>"001020"</f>
        <v>0</v>
      </c>
      <c r="G5301" t="s">
        <v>21</v>
      </c>
    </row>
    <row r="5302" spans="1:7">
      <c r="A5302">
        <v>5301</v>
      </c>
      <c r="B5302" t="str">
        <f>"018361"</f>
        <v>0</v>
      </c>
      <c r="C5302" t="s">
        <v>3883</v>
      </c>
      <c r="D5302" t="s">
        <v>8628</v>
      </c>
      <c r="E5302" t="str">
        <f>"3310900324041"</f>
        <v>0</v>
      </c>
      <c r="F5302" t="str">
        <f>"001020"</f>
        <v>0</v>
      </c>
      <c r="G5302" t="s">
        <v>21</v>
      </c>
    </row>
    <row r="5303" spans="1:7">
      <c r="A5303">
        <v>5302</v>
      </c>
      <c r="B5303" t="str">
        <f>"018755"</f>
        <v>0</v>
      </c>
      <c r="C5303" t="s">
        <v>8629</v>
      </c>
      <c r="D5303" t="s">
        <v>8630</v>
      </c>
      <c r="E5303" t="str">
        <f>"3310300759705"</f>
        <v>0</v>
      </c>
      <c r="F5303" t="str">
        <f>"001020"</f>
        <v>0</v>
      </c>
      <c r="G5303" t="s">
        <v>21</v>
      </c>
    </row>
    <row r="5304" spans="1:7">
      <c r="A5304">
        <v>5303</v>
      </c>
      <c r="B5304" t="str">
        <f>"018761"</f>
        <v>0</v>
      </c>
      <c r="C5304" t="s">
        <v>2634</v>
      </c>
      <c r="D5304" t="s">
        <v>8541</v>
      </c>
      <c r="E5304" t="str">
        <f>"3319900192852"</f>
        <v>0</v>
      </c>
      <c r="F5304" t="str">
        <f>"001020"</f>
        <v>0</v>
      </c>
      <c r="G5304" t="s">
        <v>21</v>
      </c>
    </row>
    <row r="5305" spans="1:7">
      <c r="A5305">
        <v>5304</v>
      </c>
      <c r="B5305" t="str">
        <f>"019018"</f>
        <v>0</v>
      </c>
      <c r="C5305" t="s">
        <v>8631</v>
      </c>
      <c r="D5305" t="s">
        <v>8632</v>
      </c>
      <c r="E5305" t="str">
        <f>"3330800526602"</f>
        <v>0</v>
      </c>
      <c r="F5305" t="str">
        <f>"001020"</f>
        <v>0</v>
      </c>
      <c r="G5305" t="s">
        <v>21</v>
      </c>
    </row>
    <row r="5306" spans="1:7">
      <c r="A5306">
        <v>5305</v>
      </c>
      <c r="B5306" t="str">
        <f>"019019"</f>
        <v>0</v>
      </c>
      <c r="C5306" t="s">
        <v>8633</v>
      </c>
      <c r="D5306" t="s">
        <v>8634</v>
      </c>
      <c r="E5306" t="str">
        <f>"3310400637946"</f>
        <v>0</v>
      </c>
      <c r="F5306" t="str">
        <f>"001020"</f>
        <v>0</v>
      </c>
      <c r="G5306" t="s">
        <v>21</v>
      </c>
    </row>
    <row r="5307" spans="1:7">
      <c r="A5307">
        <v>5306</v>
      </c>
      <c r="B5307" t="str">
        <f>"019336"</f>
        <v>0</v>
      </c>
      <c r="C5307" t="s">
        <v>3841</v>
      </c>
      <c r="D5307" t="s">
        <v>8635</v>
      </c>
      <c r="E5307" t="str">
        <f>"3320900121205"</f>
        <v>0</v>
      </c>
      <c r="F5307" t="str">
        <f>"001020"</f>
        <v>0</v>
      </c>
      <c r="G5307" t="s">
        <v>21</v>
      </c>
    </row>
    <row r="5308" spans="1:7">
      <c r="A5308">
        <v>5307</v>
      </c>
      <c r="B5308" t="str">
        <f>"019387"</f>
        <v>0</v>
      </c>
      <c r="C5308" t="s">
        <v>520</v>
      </c>
      <c r="D5308" t="s">
        <v>8636</v>
      </c>
      <c r="E5308" t="str">
        <f>"3310800234661"</f>
        <v>0</v>
      </c>
      <c r="F5308" t="str">
        <f>"001020"</f>
        <v>0</v>
      </c>
      <c r="G5308" t="s">
        <v>21</v>
      </c>
    </row>
    <row r="5309" spans="1:7">
      <c r="A5309">
        <v>5308</v>
      </c>
      <c r="B5309" t="str">
        <f>"019577"</f>
        <v>0</v>
      </c>
      <c r="C5309" t="s">
        <v>8637</v>
      </c>
      <c r="D5309" t="s">
        <v>8638</v>
      </c>
      <c r="E5309" t="str">
        <f>"3301800452472"</f>
        <v>0</v>
      </c>
      <c r="F5309" t="str">
        <f>"001020"</f>
        <v>0</v>
      </c>
      <c r="G5309" t="s">
        <v>21</v>
      </c>
    </row>
    <row r="5310" spans="1:7">
      <c r="A5310">
        <v>5309</v>
      </c>
      <c r="B5310" t="str">
        <f>"019829"</f>
        <v>0</v>
      </c>
      <c r="C5310" t="s">
        <v>5347</v>
      </c>
      <c r="D5310" t="s">
        <v>8639</v>
      </c>
      <c r="E5310" t="str">
        <f>"3319900052473"</f>
        <v>0</v>
      </c>
      <c r="F5310" t="str">
        <f>"001020"</f>
        <v>0</v>
      </c>
      <c r="G5310" t="s">
        <v>21</v>
      </c>
    </row>
    <row r="5311" spans="1:7">
      <c r="A5311">
        <v>5310</v>
      </c>
      <c r="B5311" t="str">
        <f>"019841"</f>
        <v>0</v>
      </c>
      <c r="C5311" t="s">
        <v>8640</v>
      </c>
      <c r="D5311" t="s">
        <v>8641</v>
      </c>
      <c r="E5311" t="str">
        <f>"3349800070666"</f>
        <v>0</v>
      </c>
      <c r="F5311" t="str">
        <f>"001020"</f>
        <v>0</v>
      </c>
      <c r="G5311" t="s">
        <v>21</v>
      </c>
    </row>
    <row r="5312" spans="1:7">
      <c r="A5312">
        <v>5311</v>
      </c>
      <c r="B5312" t="str">
        <f>"019953"</f>
        <v>0</v>
      </c>
      <c r="C5312" t="s">
        <v>8642</v>
      </c>
      <c r="D5312" t="s">
        <v>8608</v>
      </c>
      <c r="E5312" t="str">
        <f>"3330900415403"</f>
        <v>0</v>
      </c>
      <c r="F5312" t="str">
        <f>"001020"</f>
        <v>0</v>
      </c>
      <c r="G5312" t="s">
        <v>21</v>
      </c>
    </row>
    <row r="5313" spans="1:7">
      <c r="A5313">
        <v>5312</v>
      </c>
      <c r="B5313" t="str">
        <f>"020125"</f>
        <v>0</v>
      </c>
      <c r="C5313" t="s">
        <v>8643</v>
      </c>
      <c r="D5313" t="s">
        <v>8644</v>
      </c>
      <c r="E5313" t="str">
        <f>"3310701161983"</f>
        <v>0</v>
      </c>
      <c r="F5313" t="str">
        <f>"001020"</f>
        <v>0</v>
      </c>
      <c r="G5313" t="s">
        <v>21</v>
      </c>
    </row>
    <row r="5314" spans="1:7">
      <c r="A5314">
        <v>5313</v>
      </c>
      <c r="B5314" t="str">
        <f>"020127"</f>
        <v>0</v>
      </c>
      <c r="C5314" t="s">
        <v>8645</v>
      </c>
      <c r="D5314" t="s">
        <v>8646</v>
      </c>
      <c r="E5314" t="str">
        <f>"3360100960733"</f>
        <v>0</v>
      </c>
      <c r="F5314" t="str">
        <f>"001020"</f>
        <v>0</v>
      </c>
      <c r="G5314" t="s">
        <v>21</v>
      </c>
    </row>
    <row r="5315" spans="1:7">
      <c r="A5315">
        <v>5314</v>
      </c>
      <c r="B5315" t="str">
        <f>"020523"</f>
        <v>0</v>
      </c>
      <c r="C5315" t="s">
        <v>8647</v>
      </c>
      <c r="D5315" t="s">
        <v>6914</v>
      </c>
      <c r="E5315" t="str">
        <f>"3310300766035"</f>
        <v>0</v>
      </c>
      <c r="F5315" t="str">
        <f>"001020"</f>
        <v>0</v>
      </c>
      <c r="G5315" t="s">
        <v>21</v>
      </c>
    </row>
    <row r="5316" spans="1:7">
      <c r="A5316">
        <v>5315</v>
      </c>
      <c r="B5316" t="str">
        <f>"020594"</f>
        <v>0</v>
      </c>
      <c r="C5316" t="s">
        <v>314</v>
      </c>
      <c r="D5316" t="s">
        <v>8648</v>
      </c>
      <c r="E5316" t="str">
        <f>"3730300872842"</f>
        <v>0</v>
      </c>
      <c r="F5316" t="str">
        <f>"001020"</f>
        <v>0</v>
      </c>
      <c r="G5316" t="s">
        <v>21</v>
      </c>
    </row>
    <row r="5317" spans="1:7">
      <c r="A5317">
        <v>5316</v>
      </c>
      <c r="B5317" t="str">
        <f>"020851"</f>
        <v>0</v>
      </c>
      <c r="C5317" t="s">
        <v>8649</v>
      </c>
      <c r="D5317" t="s">
        <v>8650</v>
      </c>
      <c r="E5317" t="str">
        <f>"3311100566165"</f>
        <v>0</v>
      </c>
      <c r="F5317" t="str">
        <f>"001020"</f>
        <v>0</v>
      </c>
      <c r="G5317" t="s">
        <v>21</v>
      </c>
    </row>
    <row r="5318" spans="1:7">
      <c r="A5318">
        <v>5317</v>
      </c>
      <c r="B5318" t="str">
        <f>"020859"</f>
        <v>0</v>
      </c>
      <c r="C5318" t="s">
        <v>8651</v>
      </c>
      <c r="D5318" t="s">
        <v>8652</v>
      </c>
      <c r="E5318" t="str">
        <f>"3310700071981"</f>
        <v>0</v>
      </c>
      <c r="F5318" t="str">
        <f>"001020"</f>
        <v>0</v>
      </c>
      <c r="G5318" t="s">
        <v>21</v>
      </c>
    </row>
    <row r="5319" spans="1:7">
      <c r="A5319">
        <v>5318</v>
      </c>
      <c r="B5319" t="str">
        <f>"020913"</f>
        <v>0</v>
      </c>
      <c r="C5319" t="s">
        <v>8653</v>
      </c>
      <c r="D5319" t="s">
        <v>8654</v>
      </c>
      <c r="E5319" t="str">
        <f>"3310700690443"</f>
        <v>0</v>
      </c>
      <c r="F5319" t="str">
        <f>"001020"</f>
        <v>0</v>
      </c>
      <c r="G5319" t="s">
        <v>21</v>
      </c>
    </row>
    <row r="5320" spans="1:7">
      <c r="A5320">
        <v>5319</v>
      </c>
      <c r="B5320" t="str">
        <f>"020930"</f>
        <v>0</v>
      </c>
      <c r="C5320" t="s">
        <v>8655</v>
      </c>
      <c r="D5320" t="s">
        <v>8656</v>
      </c>
      <c r="E5320" t="str">
        <f>"3310900036305"</f>
        <v>0</v>
      </c>
      <c r="F5320" t="str">
        <f>"001020"</f>
        <v>0</v>
      </c>
      <c r="G5320" t="s">
        <v>21</v>
      </c>
    </row>
    <row r="5321" spans="1:7">
      <c r="A5321">
        <v>5320</v>
      </c>
      <c r="B5321" t="str">
        <f>"020931"</f>
        <v>0</v>
      </c>
      <c r="C5321" t="s">
        <v>8657</v>
      </c>
      <c r="D5321" t="s">
        <v>8658</v>
      </c>
      <c r="E5321" t="str">
        <f>"3849800027740"</f>
        <v>0</v>
      </c>
      <c r="F5321" t="str">
        <f>"001020"</f>
        <v>0</v>
      </c>
      <c r="G5321" t="s">
        <v>21</v>
      </c>
    </row>
    <row r="5322" spans="1:7">
      <c r="A5322">
        <v>5321</v>
      </c>
      <c r="B5322" t="str">
        <f>"021251"</f>
        <v>0</v>
      </c>
      <c r="C5322" t="s">
        <v>1204</v>
      </c>
      <c r="D5322" t="s">
        <v>8659</v>
      </c>
      <c r="E5322" t="str">
        <f>"3319900025182"</f>
        <v>0</v>
      </c>
      <c r="F5322" t="str">
        <f>"001020"</f>
        <v>0</v>
      </c>
      <c r="G5322" t="s">
        <v>21</v>
      </c>
    </row>
    <row r="5323" spans="1:7">
      <c r="A5323">
        <v>5322</v>
      </c>
      <c r="B5323" t="str">
        <f>"021426"</f>
        <v>0</v>
      </c>
      <c r="C5323" t="s">
        <v>8660</v>
      </c>
      <c r="D5323" t="s">
        <v>8661</v>
      </c>
      <c r="E5323" t="str">
        <f>"3310401143181"</f>
        <v>0</v>
      </c>
      <c r="F5323" t="str">
        <f>"001020"</f>
        <v>0</v>
      </c>
      <c r="G5323" t="s">
        <v>21</v>
      </c>
    </row>
    <row r="5324" spans="1:7">
      <c r="A5324">
        <v>5323</v>
      </c>
      <c r="B5324" t="str">
        <f>"021592"</f>
        <v>0</v>
      </c>
      <c r="C5324" t="s">
        <v>3578</v>
      </c>
      <c r="D5324" t="s">
        <v>8662</v>
      </c>
      <c r="E5324" t="str">
        <f>"5311000057486"</f>
        <v>0</v>
      </c>
      <c r="F5324" t="str">
        <f>"001020"</f>
        <v>0</v>
      </c>
      <c r="G5324" t="s">
        <v>21</v>
      </c>
    </row>
    <row r="5325" spans="1:7">
      <c r="A5325">
        <v>5324</v>
      </c>
      <c r="B5325" t="str">
        <f>"021865"</f>
        <v>0</v>
      </c>
      <c r="C5325" t="s">
        <v>8663</v>
      </c>
      <c r="D5325" t="s">
        <v>8664</v>
      </c>
      <c r="E5325" t="str">
        <f>"3310700206509"</f>
        <v>0</v>
      </c>
      <c r="F5325" t="str">
        <f>"001020"</f>
        <v>0</v>
      </c>
      <c r="G5325" t="s">
        <v>21</v>
      </c>
    </row>
    <row r="5326" spans="1:7">
      <c r="A5326">
        <v>5325</v>
      </c>
      <c r="B5326" t="str">
        <f>"021871"</f>
        <v>0</v>
      </c>
      <c r="C5326" t="s">
        <v>8665</v>
      </c>
      <c r="D5326" t="s">
        <v>8666</v>
      </c>
      <c r="E5326" t="str">
        <f>"3301700804938"</f>
        <v>0</v>
      </c>
      <c r="F5326" t="str">
        <f>"001020"</f>
        <v>0</v>
      </c>
      <c r="G5326" t="s">
        <v>21</v>
      </c>
    </row>
    <row r="5327" spans="1:7">
      <c r="A5327">
        <v>5326</v>
      </c>
      <c r="B5327" t="str">
        <f>"022163"</f>
        <v>0</v>
      </c>
      <c r="C5327" t="s">
        <v>4746</v>
      </c>
      <c r="D5327" t="s">
        <v>8667</v>
      </c>
      <c r="E5327" t="str">
        <f>"1310190001947"</f>
        <v>0</v>
      </c>
      <c r="F5327" t="str">
        <f>"001020"</f>
        <v>0</v>
      </c>
      <c r="G5327" t="s">
        <v>21</v>
      </c>
    </row>
    <row r="5328" spans="1:7">
      <c r="A5328">
        <v>5327</v>
      </c>
      <c r="B5328" t="str">
        <f>"022168"</f>
        <v>0</v>
      </c>
      <c r="C5328" t="s">
        <v>6047</v>
      </c>
      <c r="D5328" t="s">
        <v>8668</v>
      </c>
      <c r="E5328" t="str">
        <f>"3311300291445"</f>
        <v>0</v>
      </c>
      <c r="F5328" t="str">
        <f>"001020"</f>
        <v>0</v>
      </c>
      <c r="G5328" t="s">
        <v>21</v>
      </c>
    </row>
    <row r="5329" spans="1:7">
      <c r="A5329">
        <v>5328</v>
      </c>
      <c r="B5329" t="str">
        <f>"022171"</f>
        <v>0</v>
      </c>
      <c r="C5329" t="s">
        <v>8669</v>
      </c>
      <c r="D5329" t="s">
        <v>1954</v>
      </c>
      <c r="E5329" t="str">
        <f>"3320101427281"</f>
        <v>0</v>
      </c>
      <c r="F5329" t="str">
        <f>"001020"</f>
        <v>0</v>
      </c>
      <c r="G5329" t="s">
        <v>21</v>
      </c>
    </row>
    <row r="5330" spans="1:7">
      <c r="A5330">
        <v>5329</v>
      </c>
      <c r="B5330" t="str">
        <f>"022656"</f>
        <v>0</v>
      </c>
      <c r="C5330" t="s">
        <v>3537</v>
      </c>
      <c r="D5330" t="s">
        <v>8670</v>
      </c>
      <c r="E5330" t="str">
        <f>"3310600121676"</f>
        <v>0</v>
      </c>
      <c r="F5330" t="str">
        <f>"001020"</f>
        <v>0</v>
      </c>
      <c r="G5330" t="s">
        <v>21</v>
      </c>
    </row>
    <row r="5331" spans="1:7">
      <c r="A5331">
        <v>5330</v>
      </c>
      <c r="B5331" t="str">
        <f>"022713"</f>
        <v>0</v>
      </c>
      <c r="C5331" t="s">
        <v>8671</v>
      </c>
      <c r="D5331" t="s">
        <v>8672</v>
      </c>
      <c r="E5331" t="str">
        <f>"3311000347143"</f>
        <v>0</v>
      </c>
      <c r="F5331" t="str">
        <f>"001020"</f>
        <v>0</v>
      </c>
      <c r="G5331" t="s">
        <v>21</v>
      </c>
    </row>
    <row r="5332" spans="1:7">
      <c r="A5332">
        <v>5331</v>
      </c>
      <c r="B5332" t="str">
        <f>"022715"</f>
        <v>0</v>
      </c>
      <c r="C5332" t="s">
        <v>8673</v>
      </c>
      <c r="D5332" t="s">
        <v>8674</v>
      </c>
      <c r="E5332" t="str">
        <f>"3310100812921"</f>
        <v>0</v>
      </c>
      <c r="F5332" t="str">
        <f>"001020"</f>
        <v>0</v>
      </c>
      <c r="G5332" t="s">
        <v>21</v>
      </c>
    </row>
    <row r="5333" spans="1:7">
      <c r="A5333">
        <v>5332</v>
      </c>
      <c r="B5333" t="str">
        <f>"023111"</f>
        <v>0</v>
      </c>
      <c r="C5333" t="s">
        <v>8675</v>
      </c>
      <c r="D5333" t="s">
        <v>8676</v>
      </c>
      <c r="E5333" t="str">
        <f>"3310101293455"</f>
        <v>0</v>
      </c>
      <c r="F5333" t="str">
        <f>"001020"</f>
        <v>0</v>
      </c>
      <c r="G5333" t="s">
        <v>21</v>
      </c>
    </row>
    <row r="5334" spans="1:7">
      <c r="A5334">
        <v>5333</v>
      </c>
      <c r="B5334" t="str">
        <f>"023350"</f>
        <v>0</v>
      </c>
      <c r="C5334" t="s">
        <v>8677</v>
      </c>
      <c r="D5334" t="s">
        <v>6094</v>
      </c>
      <c r="E5334" t="str">
        <f>"3310400015520"</f>
        <v>0</v>
      </c>
      <c r="F5334" t="str">
        <f>"001020"</f>
        <v>0</v>
      </c>
      <c r="G5334" t="s">
        <v>21</v>
      </c>
    </row>
    <row r="5335" spans="1:7">
      <c r="A5335">
        <v>5334</v>
      </c>
      <c r="B5335" t="str">
        <f>"023387"</f>
        <v>0</v>
      </c>
      <c r="C5335" t="s">
        <v>8678</v>
      </c>
      <c r="D5335" t="s">
        <v>8679</v>
      </c>
      <c r="E5335" t="str">
        <f>"3310100950592"</f>
        <v>0</v>
      </c>
      <c r="F5335" t="str">
        <f>"001020"</f>
        <v>0</v>
      </c>
      <c r="G5335" t="s">
        <v>21</v>
      </c>
    </row>
    <row r="5336" spans="1:7">
      <c r="A5336">
        <v>5335</v>
      </c>
      <c r="B5336" t="str">
        <f>"023390"</f>
        <v>0</v>
      </c>
      <c r="C5336" t="s">
        <v>8680</v>
      </c>
      <c r="D5336" t="s">
        <v>8681</v>
      </c>
      <c r="E5336" t="str">
        <f>"1310400071199"</f>
        <v>0</v>
      </c>
      <c r="F5336" t="str">
        <f>"001020"</f>
        <v>0</v>
      </c>
      <c r="G5336" t="s">
        <v>21</v>
      </c>
    </row>
    <row r="5337" spans="1:7">
      <c r="A5337">
        <v>5336</v>
      </c>
      <c r="B5337" t="str">
        <f>"023842"</f>
        <v>0</v>
      </c>
      <c r="C5337" t="s">
        <v>8682</v>
      </c>
      <c r="D5337" t="s">
        <v>8683</v>
      </c>
      <c r="E5337" t="str">
        <f>"1310200002355"</f>
        <v>0</v>
      </c>
      <c r="F5337" t="str">
        <f>"001020"</f>
        <v>0</v>
      </c>
      <c r="G5337" t="s">
        <v>21</v>
      </c>
    </row>
    <row r="5338" spans="1:7">
      <c r="A5338">
        <v>5337</v>
      </c>
      <c r="B5338" t="str">
        <f>"024036"</f>
        <v>0</v>
      </c>
      <c r="C5338" t="s">
        <v>5693</v>
      </c>
      <c r="D5338" t="s">
        <v>8684</v>
      </c>
      <c r="E5338" t="str">
        <f>"1310800018198"</f>
        <v>0</v>
      </c>
      <c r="F5338" t="str">
        <f>"001020"</f>
        <v>0</v>
      </c>
      <c r="G5338" t="s">
        <v>21</v>
      </c>
    </row>
    <row r="5339" spans="1:7">
      <c r="A5339">
        <v>5338</v>
      </c>
      <c r="B5339" t="str">
        <f>"024037"</f>
        <v>0</v>
      </c>
      <c r="C5339" t="s">
        <v>8685</v>
      </c>
      <c r="D5339" t="s">
        <v>8686</v>
      </c>
      <c r="E5339" t="str">
        <f>"1310700013453"</f>
        <v>0</v>
      </c>
      <c r="F5339" t="str">
        <f>"001020"</f>
        <v>0</v>
      </c>
      <c r="G5339" t="s">
        <v>21</v>
      </c>
    </row>
    <row r="5340" spans="1:7">
      <c r="A5340">
        <v>5339</v>
      </c>
      <c r="B5340" t="str">
        <f>"024378"</f>
        <v>0</v>
      </c>
      <c r="C5340" t="s">
        <v>6998</v>
      </c>
      <c r="D5340" t="s">
        <v>8687</v>
      </c>
      <c r="E5340" t="str">
        <f>"1319900025330"</f>
        <v>0</v>
      </c>
      <c r="F5340" t="str">
        <f>"001020"</f>
        <v>0</v>
      </c>
      <c r="G5340" t="s">
        <v>21</v>
      </c>
    </row>
    <row r="5341" spans="1:7">
      <c r="A5341">
        <v>5340</v>
      </c>
      <c r="B5341" t="str">
        <f>"024649"</f>
        <v>0</v>
      </c>
      <c r="C5341" t="s">
        <v>8688</v>
      </c>
      <c r="D5341" t="s">
        <v>8689</v>
      </c>
      <c r="E5341" t="str">
        <f>"1310700088551"</f>
        <v>0</v>
      </c>
      <c r="F5341" t="str">
        <f>"001020"</f>
        <v>0</v>
      </c>
      <c r="G5341" t="s">
        <v>21</v>
      </c>
    </row>
    <row r="5342" spans="1:7">
      <c r="A5342">
        <v>5341</v>
      </c>
      <c r="B5342" t="str">
        <f>"024790"</f>
        <v>0</v>
      </c>
      <c r="C5342" t="s">
        <v>8690</v>
      </c>
      <c r="D5342" t="s">
        <v>8691</v>
      </c>
      <c r="E5342" t="str">
        <f>"3311000327975"</f>
        <v>0</v>
      </c>
      <c r="F5342" t="str">
        <f>"001020"</f>
        <v>0</v>
      </c>
      <c r="G5342" t="s">
        <v>21</v>
      </c>
    </row>
    <row r="5343" spans="1:7">
      <c r="A5343">
        <v>5342</v>
      </c>
      <c r="B5343" t="str">
        <f>"024792"</f>
        <v>0</v>
      </c>
      <c r="C5343" t="s">
        <v>8692</v>
      </c>
      <c r="D5343" t="s">
        <v>8693</v>
      </c>
      <c r="E5343" t="str">
        <f>"3350500153592"</f>
        <v>0</v>
      </c>
      <c r="F5343" t="str">
        <f>"001020"</f>
        <v>0</v>
      </c>
      <c r="G5343" t="s">
        <v>21</v>
      </c>
    </row>
    <row r="5344" spans="1:7">
      <c r="A5344">
        <v>5343</v>
      </c>
      <c r="B5344" t="str">
        <f>"024805"</f>
        <v>0</v>
      </c>
      <c r="C5344" t="s">
        <v>8694</v>
      </c>
      <c r="D5344" t="s">
        <v>8695</v>
      </c>
      <c r="E5344" t="str">
        <f>"1319900022781"</f>
        <v>0</v>
      </c>
      <c r="F5344" t="str">
        <f>"001020"</f>
        <v>0</v>
      </c>
      <c r="G5344" t="s">
        <v>21</v>
      </c>
    </row>
    <row r="5345" spans="1:7">
      <c r="A5345">
        <v>5344</v>
      </c>
      <c r="B5345" t="str">
        <f>"024953"</f>
        <v>0</v>
      </c>
      <c r="C5345" t="s">
        <v>4547</v>
      </c>
      <c r="D5345" t="s">
        <v>8696</v>
      </c>
      <c r="E5345" t="str">
        <f>"3310700877268"</f>
        <v>0</v>
      </c>
      <c r="F5345" t="str">
        <f>"001020"</f>
        <v>0</v>
      </c>
      <c r="G5345" t="s">
        <v>21</v>
      </c>
    </row>
    <row r="5346" spans="1:7">
      <c r="A5346">
        <v>5345</v>
      </c>
      <c r="B5346" t="str">
        <f>"025281"</f>
        <v>0</v>
      </c>
      <c r="C5346" t="s">
        <v>8697</v>
      </c>
      <c r="D5346" t="s">
        <v>8698</v>
      </c>
      <c r="E5346" t="str">
        <f>"1311100139422"</f>
        <v>0</v>
      </c>
      <c r="F5346" t="str">
        <f>"001020"</f>
        <v>0</v>
      </c>
      <c r="G5346" t="s">
        <v>21</v>
      </c>
    </row>
    <row r="5347" spans="1:7">
      <c r="A5347">
        <v>5346</v>
      </c>
      <c r="B5347" t="str">
        <f>"025777"</f>
        <v>0</v>
      </c>
      <c r="C5347" t="s">
        <v>8699</v>
      </c>
      <c r="D5347" t="s">
        <v>8700</v>
      </c>
      <c r="E5347" t="str">
        <f>"1311100117640"</f>
        <v>0</v>
      </c>
      <c r="F5347" t="str">
        <f>"001020"</f>
        <v>0</v>
      </c>
      <c r="G5347" t="s">
        <v>21</v>
      </c>
    </row>
    <row r="5348" spans="1:7">
      <c r="A5348">
        <v>5347</v>
      </c>
      <c r="B5348" t="str">
        <f>"025811"</f>
        <v>0</v>
      </c>
      <c r="C5348" t="s">
        <v>3133</v>
      </c>
      <c r="D5348" t="s">
        <v>8701</v>
      </c>
      <c r="E5348" t="str">
        <f>"1310400101845"</f>
        <v>0</v>
      </c>
      <c r="F5348" t="str">
        <f>"001020"</f>
        <v>0</v>
      </c>
      <c r="G5348" t="s">
        <v>21</v>
      </c>
    </row>
    <row r="5349" spans="1:7">
      <c r="A5349">
        <v>5348</v>
      </c>
      <c r="B5349" t="str">
        <f>"025817"</f>
        <v>0</v>
      </c>
      <c r="C5349" t="s">
        <v>8702</v>
      </c>
      <c r="D5349" t="s">
        <v>8703</v>
      </c>
      <c r="E5349" t="str">
        <f>"1309900682977"</f>
        <v>0</v>
      </c>
      <c r="F5349" t="str">
        <f>"001020"</f>
        <v>0</v>
      </c>
      <c r="G5349" t="s">
        <v>21</v>
      </c>
    </row>
    <row r="5350" spans="1:7">
      <c r="A5350">
        <v>5349</v>
      </c>
      <c r="B5350" t="str">
        <f>"025985"</f>
        <v>0</v>
      </c>
      <c r="C5350" t="s">
        <v>8704</v>
      </c>
      <c r="D5350" t="s">
        <v>8705</v>
      </c>
      <c r="E5350" t="str">
        <f>"1319900119644"</f>
        <v>0</v>
      </c>
      <c r="F5350" t="str">
        <f>"001020"</f>
        <v>0</v>
      </c>
      <c r="G5350" t="s">
        <v>21</v>
      </c>
    </row>
    <row r="5351" spans="1:7">
      <c r="A5351">
        <v>5350</v>
      </c>
      <c r="B5351" t="str">
        <f>"026147"</f>
        <v>0</v>
      </c>
      <c r="C5351" t="s">
        <v>1315</v>
      </c>
      <c r="D5351" t="s">
        <v>8706</v>
      </c>
      <c r="E5351" t="str">
        <f>"3800800986960"</f>
        <v>0</v>
      </c>
      <c r="F5351" t="str">
        <f>"001020"</f>
        <v>0</v>
      </c>
      <c r="G5351" t="s">
        <v>21</v>
      </c>
    </row>
    <row r="5352" spans="1:7">
      <c r="A5352">
        <v>5351</v>
      </c>
      <c r="B5352" t="str">
        <f>"026356"</f>
        <v>0</v>
      </c>
      <c r="C5352" t="s">
        <v>8707</v>
      </c>
      <c r="D5352" t="s">
        <v>8708</v>
      </c>
      <c r="E5352" t="str">
        <f>"3310400200602"</f>
        <v>0</v>
      </c>
      <c r="F5352" t="str">
        <f>"001020"</f>
        <v>0</v>
      </c>
      <c r="G5352" t="s">
        <v>21</v>
      </c>
    </row>
    <row r="5353" spans="1:7">
      <c r="A5353">
        <v>5352</v>
      </c>
      <c r="B5353" t="str">
        <f>"026357"</f>
        <v>0</v>
      </c>
      <c r="C5353" t="s">
        <v>8709</v>
      </c>
      <c r="D5353" t="s">
        <v>2322</v>
      </c>
      <c r="E5353" t="str">
        <f>"1310700097614"</f>
        <v>0</v>
      </c>
      <c r="F5353" t="str">
        <f>"001020"</f>
        <v>0</v>
      </c>
      <c r="G5353" t="s">
        <v>21</v>
      </c>
    </row>
    <row r="5354" spans="1:7">
      <c r="A5354">
        <v>5353</v>
      </c>
      <c r="B5354" t="str">
        <f>"026359"</f>
        <v>0</v>
      </c>
      <c r="C5354" t="s">
        <v>8710</v>
      </c>
      <c r="D5354" t="s">
        <v>8711</v>
      </c>
      <c r="E5354" t="str">
        <f>"3310700058941"</f>
        <v>0</v>
      </c>
      <c r="F5354" t="str">
        <f>"001020"</f>
        <v>0</v>
      </c>
      <c r="G5354" t="s">
        <v>21</v>
      </c>
    </row>
    <row r="5355" spans="1:7">
      <c r="A5355">
        <v>5354</v>
      </c>
      <c r="B5355" t="str">
        <f>"026434"</f>
        <v>0</v>
      </c>
      <c r="C5355" t="s">
        <v>8655</v>
      </c>
      <c r="D5355" t="s">
        <v>8712</v>
      </c>
      <c r="E5355" t="str">
        <f>"1319900027588"</f>
        <v>0</v>
      </c>
      <c r="F5355" t="str">
        <f>"001020"</f>
        <v>0</v>
      </c>
      <c r="G5355" t="s">
        <v>21</v>
      </c>
    </row>
    <row r="5356" spans="1:7">
      <c r="A5356">
        <v>5355</v>
      </c>
      <c r="B5356" t="str">
        <f>"026609"</f>
        <v>0</v>
      </c>
      <c r="C5356" t="s">
        <v>963</v>
      </c>
      <c r="D5356" t="s">
        <v>8713</v>
      </c>
      <c r="E5356" t="str">
        <f>"1311100087821"</f>
        <v>0</v>
      </c>
      <c r="F5356" t="str">
        <f>"001020"</f>
        <v>0</v>
      </c>
      <c r="G5356" t="s">
        <v>21</v>
      </c>
    </row>
    <row r="5357" spans="1:7">
      <c r="A5357">
        <v>5356</v>
      </c>
      <c r="B5357" t="str">
        <f>"026722"</f>
        <v>0</v>
      </c>
      <c r="C5357" t="s">
        <v>606</v>
      </c>
      <c r="D5357" t="s">
        <v>8714</v>
      </c>
      <c r="E5357" t="str">
        <f>"1310200050317"</f>
        <v>0</v>
      </c>
      <c r="F5357" t="str">
        <f>"001020"</f>
        <v>0</v>
      </c>
      <c r="G5357" t="s">
        <v>21</v>
      </c>
    </row>
    <row r="5358" spans="1:7">
      <c r="A5358">
        <v>5357</v>
      </c>
      <c r="B5358" t="str">
        <f>"026725"</f>
        <v>0</v>
      </c>
      <c r="C5358" t="s">
        <v>8715</v>
      </c>
      <c r="D5358" t="s">
        <v>8716</v>
      </c>
      <c r="E5358" t="str">
        <f>"3310600292667"</f>
        <v>0</v>
      </c>
      <c r="F5358" t="str">
        <f>"001020"</f>
        <v>0</v>
      </c>
      <c r="G5358" t="s">
        <v>21</v>
      </c>
    </row>
    <row r="5359" spans="1:7">
      <c r="A5359">
        <v>5358</v>
      </c>
      <c r="B5359" t="str">
        <f>"026894"</f>
        <v>0</v>
      </c>
      <c r="C5359" t="s">
        <v>8717</v>
      </c>
      <c r="D5359" t="s">
        <v>8718</v>
      </c>
      <c r="E5359" t="str">
        <f>"3320500906949"</f>
        <v>0</v>
      </c>
      <c r="F5359" t="str">
        <f>"001020"</f>
        <v>0</v>
      </c>
      <c r="G5359" t="s">
        <v>21</v>
      </c>
    </row>
    <row r="5360" spans="1:7">
      <c r="A5360">
        <v>5359</v>
      </c>
      <c r="B5360" t="str">
        <f>"027370"</f>
        <v>0</v>
      </c>
      <c r="C5360" t="s">
        <v>5712</v>
      </c>
      <c r="D5360" t="s">
        <v>8719</v>
      </c>
      <c r="E5360" t="str">
        <f>"1310400062220"</f>
        <v>0</v>
      </c>
      <c r="F5360" t="str">
        <f>"001020"</f>
        <v>0</v>
      </c>
      <c r="G5360" t="s">
        <v>21</v>
      </c>
    </row>
    <row r="5361" spans="1:7">
      <c r="A5361">
        <v>5360</v>
      </c>
      <c r="B5361" t="str">
        <f>"027371"</f>
        <v>0</v>
      </c>
      <c r="C5361" t="s">
        <v>3620</v>
      </c>
      <c r="D5361" t="s">
        <v>8720</v>
      </c>
      <c r="E5361" t="str">
        <f>"1310700092442"</f>
        <v>0</v>
      </c>
      <c r="F5361" t="str">
        <f>"001020"</f>
        <v>0</v>
      </c>
      <c r="G5361" t="s">
        <v>21</v>
      </c>
    </row>
    <row r="5362" spans="1:7">
      <c r="A5362">
        <v>5361</v>
      </c>
      <c r="B5362" t="str">
        <f>"027372"</f>
        <v>0</v>
      </c>
      <c r="C5362" t="s">
        <v>8721</v>
      </c>
      <c r="D5362" t="s">
        <v>8722</v>
      </c>
      <c r="E5362" t="str">
        <f>"3320300859807"</f>
        <v>0</v>
      </c>
      <c r="F5362" t="str">
        <f>"001020"</f>
        <v>0</v>
      </c>
      <c r="G5362" t="s">
        <v>21</v>
      </c>
    </row>
    <row r="5363" spans="1:7">
      <c r="A5363">
        <v>5362</v>
      </c>
      <c r="B5363" t="str">
        <f>"016383"</f>
        <v>0</v>
      </c>
      <c r="C5363" t="s">
        <v>8723</v>
      </c>
      <c r="D5363" t="s">
        <v>8724</v>
      </c>
      <c r="E5363" t="str">
        <f>"3320101960541"</f>
        <v>0</v>
      </c>
      <c r="F5363" t="str">
        <f>"001020"</f>
        <v>0</v>
      </c>
      <c r="G5363" t="s">
        <v>21</v>
      </c>
    </row>
    <row r="5364" spans="1:7">
      <c r="A5364">
        <v>5363</v>
      </c>
      <c r="B5364" t="str">
        <f>"017222"</f>
        <v>0</v>
      </c>
      <c r="C5364" t="s">
        <v>774</v>
      </c>
      <c r="D5364" t="s">
        <v>8725</v>
      </c>
      <c r="E5364" t="str">
        <f>"3320101490277"</f>
        <v>0</v>
      </c>
      <c r="F5364" t="str">
        <f>"001020"</f>
        <v>0</v>
      </c>
      <c r="G5364" t="s">
        <v>21</v>
      </c>
    </row>
    <row r="5365" spans="1:7">
      <c r="A5365">
        <v>5364</v>
      </c>
      <c r="B5365" t="str">
        <f>"020864"</f>
        <v>0</v>
      </c>
      <c r="C5365" t="s">
        <v>8726</v>
      </c>
      <c r="D5365" t="s">
        <v>8727</v>
      </c>
      <c r="E5365" t="str">
        <f>"3329900044314"</f>
        <v>0</v>
      </c>
      <c r="F5365" t="str">
        <f>"001020"</f>
        <v>0</v>
      </c>
      <c r="G5365" t="s">
        <v>21</v>
      </c>
    </row>
    <row r="5366" spans="1:7">
      <c r="A5366">
        <v>5365</v>
      </c>
      <c r="B5366" t="str">
        <f>"021257"</f>
        <v>0</v>
      </c>
      <c r="C5366" t="s">
        <v>6203</v>
      </c>
      <c r="D5366" t="s">
        <v>8727</v>
      </c>
      <c r="E5366" t="str">
        <f>"3309900883022"</f>
        <v>0</v>
      </c>
      <c r="F5366" t="str">
        <f>"001020"</f>
        <v>0</v>
      </c>
      <c r="G5366" t="s">
        <v>21</v>
      </c>
    </row>
    <row r="5367" spans="1:7">
      <c r="A5367">
        <v>5366</v>
      </c>
      <c r="B5367" t="str">
        <f>"023466"</f>
        <v>0</v>
      </c>
      <c r="C5367" t="s">
        <v>1781</v>
      </c>
      <c r="D5367" t="s">
        <v>8728</v>
      </c>
      <c r="E5367" t="str">
        <f>"3320101195771"</f>
        <v>0</v>
      </c>
      <c r="F5367" t="str">
        <f>"001020"</f>
        <v>0</v>
      </c>
      <c r="G5367" t="s">
        <v>21</v>
      </c>
    </row>
    <row r="5368" spans="1:7">
      <c r="A5368">
        <v>5367</v>
      </c>
      <c r="B5368" t="str">
        <f>"024954"</f>
        <v>0</v>
      </c>
      <c r="C5368" t="s">
        <v>8729</v>
      </c>
      <c r="D5368" t="s">
        <v>8730</v>
      </c>
      <c r="E5368" t="str">
        <f>"3361200396334"</f>
        <v>0</v>
      </c>
      <c r="F5368" t="str">
        <f>"001020"</f>
        <v>0</v>
      </c>
      <c r="G5368" t="s">
        <v>21</v>
      </c>
    </row>
    <row r="5369" spans="1:7">
      <c r="A5369">
        <v>5368</v>
      </c>
      <c r="B5369" t="str">
        <f>"026145"</f>
        <v>0</v>
      </c>
      <c r="C5369" t="s">
        <v>8731</v>
      </c>
      <c r="D5369" t="s">
        <v>8732</v>
      </c>
      <c r="E5369" t="str">
        <f>"3320200272405"</f>
        <v>0</v>
      </c>
      <c r="F5369" t="str">
        <f>"001020"</f>
        <v>0</v>
      </c>
      <c r="G5369" t="s">
        <v>21</v>
      </c>
    </row>
    <row r="5370" spans="1:7">
      <c r="A5370">
        <v>5369</v>
      </c>
      <c r="B5370" t="str">
        <f>"019569"</f>
        <v>0</v>
      </c>
      <c r="C5370" t="s">
        <v>8733</v>
      </c>
      <c r="D5370" t="s">
        <v>8734</v>
      </c>
      <c r="E5370" t="str">
        <f>"3330100016784"</f>
        <v>0</v>
      </c>
      <c r="F5370" t="str">
        <f>"001020"</f>
        <v>0</v>
      </c>
      <c r="G5370" t="s">
        <v>21</v>
      </c>
    </row>
    <row r="5371" spans="1:7">
      <c r="A5371">
        <v>5370</v>
      </c>
      <c r="B5371" t="str">
        <f>"020296"</f>
        <v>0</v>
      </c>
      <c r="C5371" t="s">
        <v>5473</v>
      </c>
      <c r="D5371" t="s">
        <v>8735</v>
      </c>
      <c r="E5371" t="str">
        <f>"3330100469185"</f>
        <v>0</v>
      </c>
      <c r="F5371" t="str">
        <f>"001020"</f>
        <v>0</v>
      </c>
      <c r="G5371" t="s">
        <v>21</v>
      </c>
    </row>
    <row r="5372" spans="1:7">
      <c r="A5372">
        <v>5371</v>
      </c>
      <c r="B5372" t="str">
        <f>"026030"</f>
        <v>0</v>
      </c>
      <c r="C5372" t="s">
        <v>8736</v>
      </c>
      <c r="D5372" t="s">
        <v>8737</v>
      </c>
      <c r="E5372" t="str">
        <f>"3330400691908"</f>
        <v>0</v>
      </c>
      <c r="F5372" t="str">
        <f>"001020"</f>
        <v>0</v>
      </c>
      <c r="G5372" t="s">
        <v>21</v>
      </c>
    </row>
    <row r="5373" spans="1:7">
      <c r="A5373">
        <v>5372</v>
      </c>
      <c r="B5373" t="str">
        <f>"020544"</f>
        <v>0</v>
      </c>
      <c r="C5373" t="s">
        <v>508</v>
      </c>
      <c r="D5373" t="s">
        <v>8738</v>
      </c>
      <c r="E5373" t="str">
        <f>"3330400641641"</f>
        <v>0</v>
      </c>
      <c r="F5373" t="str">
        <f>"001020"</f>
        <v>0</v>
      </c>
      <c r="G5373" t="s">
        <v>21</v>
      </c>
    </row>
    <row r="5374" spans="1:7">
      <c r="A5374">
        <v>5373</v>
      </c>
      <c r="B5374" t="str">
        <f>"026996"</f>
        <v>0</v>
      </c>
      <c r="C5374" t="s">
        <v>8739</v>
      </c>
      <c r="D5374" t="s">
        <v>8740</v>
      </c>
      <c r="E5374" t="str">
        <f>"1349900863271"</f>
        <v>0</v>
      </c>
      <c r="F5374" t="str">
        <f>"001020"</f>
        <v>0</v>
      </c>
      <c r="G5374" t="s">
        <v>21</v>
      </c>
    </row>
    <row r="5375" spans="1:7">
      <c r="A5375">
        <v>5374</v>
      </c>
      <c r="B5375" t="str">
        <f>"015404"</f>
        <v>0</v>
      </c>
      <c r="C5375" t="s">
        <v>8741</v>
      </c>
      <c r="D5375" t="s">
        <v>8742</v>
      </c>
      <c r="E5375" t="str">
        <f>"3360200134231"</f>
        <v>0</v>
      </c>
      <c r="F5375" t="str">
        <f>"001020"</f>
        <v>0</v>
      </c>
      <c r="G5375" t="s">
        <v>21</v>
      </c>
    </row>
    <row r="5376" spans="1:7">
      <c r="A5376">
        <v>5375</v>
      </c>
      <c r="B5376" t="str">
        <f>"012018"</f>
        <v>0</v>
      </c>
      <c r="C5376" t="s">
        <v>8743</v>
      </c>
      <c r="D5376" t="s">
        <v>8744</v>
      </c>
      <c r="E5376" t="str">
        <f>"3400100571647"</f>
        <v>0</v>
      </c>
      <c r="F5376" t="str">
        <f>"001020"</f>
        <v>0</v>
      </c>
      <c r="G5376" t="s">
        <v>21</v>
      </c>
    </row>
    <row r="5377" spans="1:7">
      <c r="A5377">
        <v>5376</v>
      </c>
      <c r="B5377" t="str">
        <f>"021770"</f>
        <v>0</v>
      </c>
      <c r="C5377" t="s">
        <v>8745</v>
      </c>
      <c r="D5377" t="s">
        <v>8746</v>
      </c>
      <c r="E5377" t="str">
        <f>"3401500430286"</f>
        <v>0</v>
      </c>
      <c r="F5377" t="str">
        <f>"001020"</f>
        <v>0</v>
      </c>
      <c r="G5377" t="s">
        <v>21</v>
      </c>
    </row>
    <row r="5378" spans="1:7">
      <c r="A5378">
        <v>5377</v>
      </c>
      <c r="B5378" t="str">
        <f>"027369"</f>
        <v>0</v>
      </c>
      <c r="C5378" t="s">
        <v>8747</v>
      </c>
      <c r="D5378" t="s">
        <v>8748</v>
      </c>
      <c r="E5378" t="str">
        <f>"1450100034947"</f>
        <v>0</v>
      </c>
      <c r="F5378" t="str">
        <f>"001020"</f>
        <v>0</v>
      </c>
      <c r="G5378" t="s">
        <v>21</v>
      </c>
    </row>
    <row r="5379" spans="1:7">
      <c r="A5379">
        <v>5378</v>
      </c>
      <c r="B5379" t="str">
        <f>"023351"</f>
        <v>0</v>
      </c>
      <c r="C5379" t="s">
        <v>5029</v>
      </c>
      <c r="D5379" t="s">
        <v>8749</v>
      </c>
      <c r="E5379" t="str">
        <f>"3410102009075"</f>
        <v>0</v>
      </c>
      <c r="F5379" t="str">
        <f>"001020"</f>
        <v>0</v>
      </c>
      <c r="G5379" t="s">
        <v>21</v>
      </c>
    </row>
    <row r="5380" spans="1:7">
      <c r="A5380">
        <v>5379</v>
      </c>
      <c r="B5380" t="str">
        <f>"024613"</f>
        <v>0</v>
      </c>
      <c r="C5380" t="s">
        <v>8750</v>
      </c>
      <c r="D5380" t="s">
        <v>8751</v>
      </c>
      <c r="E5380" t="str">
        <f>"3440800033940"</f>
        <v>0</v>
      </c>
      <c r="F5380" t="str">
        <f>"001020"</f>
        <v>0</v>
      </c>
      <c r="G5380" t="s">
        <v>21</v>
      </c>
    </row>
    <row r="5381" spans="1:7">
      <c r="A5381">
        <v>5380</v>
      </c>
      <c r="B5381" t="str">
        <f>"025433"</f>
        <v>0</v>
      </c>
      <c r="C5381" t="s">
        <v>8752</v>
      </c>
      <c r="D5381" t="s">
        <v>8753</v>
      </c>
      <c r="E5381" t="str">
        <f>"1449900083614"</f>
        <v>0</v>
      </c>
      <c r="F5381" t="str">
        <f>"001020"</f>
        <v>0</v>
      </c>
      <c r="G5381" t="s">
        <v>21</v>
      </c>
    </row>
    <row r="5382" spans="1:7">
      <c r="A5382">
        <v>5381</v>
      </c>
      <c r="B5382" t="str">
        <f>"025914"</f>
        <v>0</v>
      </c>
      <c r="C5382" t="s">
        <v>1108</v>
      </c>
      <c r="D5382" t="s">
        <v>8754</v>
      </c>
      <c r="E5382" t="str">
        <f>"1459900219419"</f>
        <v>0</v>
      </c>
      <c r="F5382" t="str">
        <f>"001020"</f>
        <v>0</v>
      </c>
      <c r="G5382" t="s">
        <v>21</v>
      </c>
    </row>
    <row r="5383" spans="1:7">
      <c r="A5383">
        <v>5382</v>
      </c>
      <c r="B5383" t="str">
        <f>"023839"</f>
        <v>0</v>
      </c>
      <c r="C5383" t="s">
        <v>8755</v>
      </c>
      <c r="D5383" t="s">
        <v>8756</v>
      </c>
      <c r="E5383" t="str">
        <f>"3460700655035"</f>
        <v>0</v>
      </c>
      <c r="F5383" t="str">
        <f>"001020"</f>
        <v>0</v>
      </c>
      <c r="G5383" t="s">
        <v>21</v>
      </c>
    </row>
    <row r="5384" spans="1:7">
      <c r="A5384">
        <v>5383</v>
      </c>
      <c r="B5384" t="str">
        <f>"021476"</f>
        <v>0</v>
      </c>
      <c r="C5384" t="s">
        <v>8757</v>
      </c>
      <c r="D5384" t="s">
        <v>8758</v>
      </c>
      <c r="E5384" t="str">
        <f>"3529900165322"</f>
        <v>0</v>
      </c>
      <c r="F5384" t="str">
        <f>"001020"</f>
        <v>0</v>
      </c>
      <c r="G5384" t="s">
        <v>21</v>
      </c>
    </row>
    <row r="5385" spans="1:7">
      <c r="A5385">
        <v>5384</v>
      </c>
      <c r="B5385" t="str">
        <f>"026723"</f>
        <v>0</v>
      </c>
      <c r="C5385" t="s">
        <v>8759</v>
      </c>
      <c r="D5385" t="s">
        <v>8760</v>
      </c>
      <c r="E5385" t="str">
        <f>"1709900802537"</f>
        <v>0</v>
      </c>
      <c r="F5385" t="str">
        <f>"001020"</f>
        <v>0</v>
      </c>
      <c r="G5385" t="s">
        <v>21</v>
      </c>
    </row>
    <row r="5386" spans="1:7">
      <c r="A5386">
        <v>5385</v>
      </c>
      <c r="B5386" t="str">
        <f>"020863"</f>
        <v>0</v>
      </c>
      <c r="C5386" t="s">
        <v>3440</v>
      </c>
      <c r="D5386" t="s">
        <v>8761</v>
      </c>
      <c r="E5386" t="str">
        <f>"3310701083052"</f>
        <v>0</v>
      </c>
      <c r="F5386" t="str">
        <f>"001020"</f>
        <v>0</v>
      </c>
      <c r="G5386" t="s">
        <v>21</v>
      </c>
    </row>
    <row r="5387" spans="1:7">
      <c r="A5387">
        <v>5386</v>
      </c>
      <c r="B5387" t="str">
        <f>"013101"</f>
        <v>0</v>
      </c>
      <c r="C5387" t="s">
        <v>8762</v>
      </c>
      <c r="D5387" t="s">
        <v>1334</v>
      </c>
      <c r="E5387" t="str">
        <f>"3659900500490"</f>
        <v>0</v>
      </c>
      <c r="F5387" t="str">
        <f>"001020"</f>
        <v>0</v>
      </c>
      <c r="G5387" t="s">
        <v>21</v>
      </c>
    </row>
    <row r="5388" spans="1:7">
      <c r="A5388">
        <v>5387</v>
      </c>
      <c r="B5388" t="str">
        <f>"017726"</f>
        <v>0</v>
      </c>
      <c r="C5388" t="s">
        <v>8763</v>
      </c>
      <c r="D5388" t="s">
        <v>8764</v>
      </c>
      <c r="E5388" t="str">
        <f>"3310101628988"</f>
        <v>0</v>
      </c>
      <c r="F5388" t="str">
        <f>"001020"</f>
        <v>0</v>
      </c>
      <c r="G5388" t="s">
        <v>21</v>
      </c>
    </row>
    <row r="5389" spans="1:7">
      <c r="A5389">
        <v>5388</v>
      </c>
      <c r="B5389" t="str">
        <f>"019926"</f>
        <v>0</v>
      </c>
      <c r="C5389" t="s">
        <v>8765</v>
      </c>
      <c r="D5389" t="s">
        <v>8766</v>
      </c>
      <c r="E5389" t="str">
        <f>"5311000068437"</f>
        <v>0</v>
      </c>
      <c r="F5389" t="str">
        <f>"001020"</f>
        <v>0</v>
      </c>
      <c r="G5389" t="s">
        <v>21</v>
      </c>
    </row>
    <row r="5390" spans="1:7">
      <c r="A5390">
        <v>5389</v>
      </c>
      <c r="B5390" t="str">
        <f>"026132"</f>
        <v>0</v>
      </c>
      <c r="C5390" t="s">
        <v>1317</v>
      </c>
      <c r="D5390" t="s">
        <v>3024</v>
      </c>
      <c r="E5390" t="str">
        <f>"1409900834920"</f>
        <v>0</v>
      </c>
      <c r="F5390" t="str">
        <f>"001020"</f>
        <v>0</v>
      </c>
      <c r="G5390" t="s">
        <v>21</v>
      </c>
    </row>
    <row r="5391" spans="1:7">
      <c r="A5391">
        <v>5390</v>
      </c>
      <c r="B5391" t="str">
        <f>"027519"</f>
        <v>0</v>
      </c>
      <c r="C5391" t="s">
        <v>1502</v>
      </c>
      <c r="D5391" t="s">
        <v>8767</v>
      </c>
      <c r="E5391" t="str">
        <f>"1500900168211"</f>
        <v>0</v>
      </c>
      <c r="F5391" t="str">
        <f>"001020"</f>
        <v>0</v>
      </c>
      <c r="G5391" t="s">
        <v>21</v>
      </c>
    </row>
    <row r="5392" spans="1:7">
      <c r="A5392">
        <v>5391</v>
      </c>
      <c r="B5392" t="str">
        <f>"027520"</f>
        <v>0</v>
      </c>
      <c r="C5392" t="s">
        <v>8768</v>
      </c>
      <c r="D5392" t="s">
        <v>8769</v>
      </c>
      <c r="E5392" t="str">
        <f>"1659900454165"</f>
        <v>0</v>
      </c>
      <c r="F5392" t="str">
        <f>"001020"</f>
        <v>0</v>
      </c>
      <c r="G5392" t="s">
        <v>21</v>
      </c>
    </row>
    <row r="5393" spans="1:7">
      <c r="A5393">
        <v>5392</v>
      </c>
      <c r="B5393" t="str">
        <f>"027521"</f>
        <v>0</v>
      </c>
      <c r="C5393" t="s">
        <v>8770</v>
      </c>
      <c r="D5393" t="s">
        <v>8771</v>
      </c>
      <c r="E5393" t="str">
        <f>"1440900179664"</f>
        <v>0</v>
      </c>
      <c r="F5393" t="str">
        <f>"001020"</f>
        <v>0</v>
      </c>
      <c r="G5393" t="s">
        <v>21</v>
      </c>
    </row>
    <row r="5394" spans="1:7">
      <c r="A5394">
        <v>5393</v>
      </c>
      <c r="B5394" t="str">
        <f>"001314"</f>
        <v>0</v>
      </c>
      <c r="C5394" t="s">
        <v>8772</v>
      </c>
      <c r="D5394" t="s">
        <v>8773</v>
      </c>
      <c r="E5394" t="str">
        <f>"3430900516802"</f>
        <v>0</v>
      </c>
      <c r="F5394" t="str">
        <f>"001035"</f>
        <v>0</v>
      </c>
      <c r="G5394" t="s">
        <v>21</v>
      </c>
    </row>
    <row r="5395" spans="1:7">
      <c r="A5395">
        <v>5394</v>
      </c>
      <c r="B5395" t="str">
        <f>"007969"</f>
        <v>0</v>
      </c>
      <c r="C5395" t="s">
        <v>6203</v>
      </c>
      <c r="D5395" t="s">
        <v>8774</v>
      </c>
      <c r="E5395" t="str">
        <f>"3439900075391"</f>
        <v>0</v>
      </c>
      <c r="F5395" t="str">
        <f>"001035"</f>
        <v>0</v>
      </c>
      <c r="G5395" t="s">
        <v>21</v>
      </c>
    </row>
    <row r="5396" spans="1:7">
      <c r="A5396">
        <v>5395</v>
      </c>
      <c r="B5396" t="str">
        <f>"008708"</f>
        <v>0</v>
      </c>
      <c r="C5396" t="s">
        <v>8775</v>
      </c>
      <c r="D5396" t="s">
        <v>8776</v>
      </c>
      <c r="E5396" t="str">
        <f>"3430600102221"</f>
        <v>0</v>
      </c>
      <c r="F5396" t="str">
        <f>"001035"</f>
        <v>0</v>
      </c>
      <c r="G5396" t="s">
        <v>21</v>
      </c>
    </row>
    <row r="5397" spans="1:7">
      <c r="A5397">
        <v>5396</v>
      </c>
      <c r="B5397" t="str">
        <f>"009122"</f>
        <v>0</v>
      </c>
      <c r="C5397" t="s">
        <v>104</v>
      </c>
      <c r="D5397" t="s">
        <v>4837</v>
      </c>
      <c r="E5397" t="str">
        <f>"3430900590433"</f>
        <v>0</v>
      </c>
      <c r="F5397" t="str">
        <f>"001035"</f>
        <v>0</v>
      </c>
      <c r="G5397" t="s">
        <v>21</v>
      </c>
    </row>
    <row r="5398" spans="1:7">
      <c r="A5398">
        <v>5397</v>
      </c>
      <c r="B5398" t="str">
        <f>"010637"</f>
        <v>0</v>
      </c>
      <c r="C5398" t="s">
        <v>8777</v>
      </c>
      <c r="D5398" t="s">
        <v>8778</v>
      </c>
      <c r="E5398" t="str">
        <f>"3310101148641"</f>
        <v>0</v>
      </c>
      <c r="F5398" t="str">
        <f>"001035"</f>
        <v>0</v>
      </c>
      <c r="G5398" t="s">
        <v>21</v>
      </c>
    </row>
    <row r="5399" spans="1:7">
      <c r="A5399">
        <v>5398</v>
      </c>
      <c r="B5399" t="str">
        <f>"010640"</f>
        <v>0</v>
      </c>
      <c r="C5399" t="s">
        <v>2216</v>
      </c>
      <c r="D5399" t="s">
        <v>8779</v>
      </c>
      <c r="E5399" t="str">
        <f>"3430301070891"</f>
        <v>0</v>
      </c>
      <c r="F5399" t="str">
        <f>"001035"</f>
        <v>0</v>
      </c>
      <c r="G5399" t="s">
        <v>21</v>
      </c>
    </row>
    <row r="5400" spans="1:7">
      <c r="A5400">
        <v>5399</v>
      </c>
      <c r="B5400" t="str">
        <f>"011205"</f>
        <v>0</v>
      </c>
      <c r="C5400" t="s">
        <v>1926</v>
      </c>
      <c r="D5400" t="s">
        <v>2904</v>
      </c>
      <c r="E5400" t="str">
        <f>"3480800533632"</f>
        <v>0</v>
      </c>
      <c r="F5400" t="str">
        <f>"001035"</f>
        <v>0</v>
      </c>
      <c r="G5400" t="s">
        <v>21</v>
      </c>
    </row>
    <row r="5401" spans="1:7">
      <c r="A5401">
        <v>5400</v>
      </c>
      <c r="B5401" t="str">
        <f>"018622"</f>
        <v>0</v>
      </c>
      <c r="C5401" t="s">
        <v>4227</v>
      </c>
      <c r="D5401" t="s">
        <v>8780</v>
      </c>
      <c r="E5401" t="str">
        <f>"3101402090963"</f>
        <v>0</v>
      </c>
      <c r="F5401" t="str">
        <f>"001035"</f>
        <v>0</v>
      </c>
      <c r="G5401" t="s">
        <v>21</v>
      </c>
    </row>
    <row r="5402" spans="1:7">
      <c r="A5402">
        <v>5401</v>
      </c>
      <c r="B5402" t="str">
        <f>"027286"</f>
        <v>0</v>
      </c>
      <c r="C5402" t="s">
        <v>8781</v>
      </c>
      <c r="D5402" t="s">
        <v>8782</v>
      </c>
      <c r="E5402" t="str">
        <f>"1560600076435"</f>
        <v>0</v>
      </c>
      <c r="F5402" t="str">
        <f>"001035"</f>
        <v>0</v>
      </c>
      <c r="G5402" t="s">
        <v>21</v>
      </c>
    </row>
    <row r="5403" spans="1:7">
      <c r="A5403">
        <v>5402</v>
      </c>
      <c r="B5403" t="str">
        <f>"024997"</f>
        <v>0</v>
      </c>
      <c r="C5403" t="s">
        <v>8783</v>
      </c>
      <c r="D5403" t="s">
        <v>8784</v>
      </c>
      <c r="E5403" t="str">
        <f>"1509900542162"</f>
        <v>0</v>
      </c>
      <c r="F5403" t="str">
        <f>"001035"</f>
        <v>0</v>
      </c>
      <c r="G5403" t="s">
        <v>21</v>
      </c>
    </row>
    <row r="5404" spans="1:7">
      <c r="A5404">
        <v>5403</v>
      </c>
      <c r="B5404" t="str">
        <f>"024799"</f>
        <v>0</v>
      </c>
      <c r="C5404" t="s">
        <v>8785</v>
      </c>
      <c r="D5404" t="s">
        <v>8786</v>
      </c>
      <c r="E5404" t="str">
        <f>"3361000722645"</f>
        <v>0</v>
      </c>
      <c r="F5404" t="str">
        <f>"001035"</f>
        <v>0</v>
      </c>
      <c r="G5404" t="s">
        <v>21</v>
      </c>
    </row>
    <row r="5405" spans="1:7">
      <c r="A5405">
        <v>5404</v>
      </c>
      <c r="B5405" t="str">
        <f>"022722"</f>
        <v>0</v>
      </c>
      <c r="C5405" t="s">
        <v>1048</v>
      </c>
      <c r="D5405" t="s">
        <v>8787</v>
      </c>
      <c r="E5405" t="str">
        <f>"1411600015667"</f>
        <v>0</v>
      </c>
      <c r="F5405" t="str">
        <f>"001035"</f>
        <v>0</v>
      </c>
      <c r="G5405" t="s">
        <v>21</v>
      </c>
    </row>
    <row r="5406" spans="1:7">
      <c r="A5406">
        <v>5405</v>
      </c>
      <c r="B5406" t="str">
        <f>"011504"</f>
        <v>0</v>
      </c>
      <c r="C5406" t="s">
        <v>8788</v>
      </c>
      <c r="D5406" t="s">
        <v>7777</v>
      </c>
      <c r="E5406" t="str">
        <f>"3460300314117"</f>
        <v>0</v>
      </c>
      <c r="F5406" t="str">
        <f>"001035"</f>
        <v>0</v>
      </c>
      <c r="G5406" t="s">
        <v>21</v>
      </c>
    </row>
    <row r="5407" spans="1:7">
      <c r="A5407">
        <v>5406</v>
      </c>
      <c r="B5407" t="str">
        <f>"018575"</f>
        <v>0</v>
      </c>
      <c r="C5407" t="s">
        <v>8789</v>
      </c>
      <c r="D5407" t="s">
        <v>8790</v>
      </c>
      <c r="E5407" t="str">
        <f>"3400400153077"</f>
        <v>0</v>
      </c>
      <c r="F5407" t="str">
        <f>"001035"</f>
        <v>0</v>
      </c>
      <c r="G5407" t="s">
        <v>21</v>
      </c>
    </row>
    <row r="5408" spans="1:7">
      <c r="A5408">
        <v>5407</v>
      </c>
      <c r="B5408" t="str">
        <f>"021880"</f>
        <v>0</v>
      </c>
      <c r="C5408" t="s">
        <v>8791</v>
      </c>
      <c r="D5408" t="s">
        <v>8792</v>
      </c>
      <c r="E5408" t="str">
        <f>"3400101512962"</f>
        <v>0</v>
      </c>
      <c r="F5408" t="str">
        <f>"001035"</f>
        <v>0</v>
      </c>
      <c r="G5408" t="s">
        <v>21</v>
      </c>
    </row>
    <row r="5409" spans="1:7">
      <c r="A5409">
        <v>5408</v>
      </c>
      <c r="B5409" t="str">
        <f>"024135"</f>
        <v>0</v>
      </c>
      <c r="C5409" t="s">
        <v>1160</v>
      </c>
      <c r="D5409" t="s">
        <v>8793</v>
      </c>
      <c r="E5409" t="str">
        <f>"1439900081077"</f>
        <v>0</v>
      </c>
      <c r="F5409" t="str">
        <f>"001035"</f>
        <v>0</v>
      </c>
      <c r="G5409" t="s">
        <v>21</v>
      </c>
    </row>
    <row r="5410" spans="1:7">
      <c r="A5410">
        <v>5409</v>
      </c>
      <c r="B5410" t="str">
        <f>"025776"</f>
        <v>0</v>
      </c>
      <c r="C5410" t="s">
        <v>8794</v>
      </c>
      <c r="D5410" t="s">
        <v>8795</v>
      </c>
      <c r="E5410" t="str">
        <f>"3430700025805"</f>
        <v>0</v>
      </c>
      <c r="F5410" t="str">
        <f>"001035"</f>
        <v>0</v>
      </c>
      <c r="G5410" t="s">
        <v>21</v>
      </c>
    </row>
    <row r="5411" spans="1:7">
      <c r="A5411">
        <v>5410</v>
      </c>
      <c r="B5411" t="str">
        <f>"026727"</f>
        <v>0</v>
      </c>
      <c r="C5411" t="s">
        <v>8796</v>
      </c>
      <c r="D5411" t="s">
        <v>8797</v>
      </c>
      <c r="E5411" t="str">
        <f>"1430500083481"</f>
        <v>0</v>
      </c>
      <c r="F5411" t="str">
        <f>"001035"</f>
        <v>0</v>
      </c>
      <c r="G5411" t="s">
        <v>21</v>
      </c>
    </row>
    <row r="5412" spans="1:7">
      <c r="A5412">
        <v>5411</v>
      </c>
      <c r="B5412" t="str">
        <f>"024311"</f>
        <v>0</v>
      </c>
      <c r="C5412" t="s">
        <v>8798</v>
      </c>
      <c r="D5412" t="s">
        <v>8799</v>
      </c>
      <c r="E5412" t="str">
        <f>"1440100107154"</f>
        <v>0</v>
      </c>
      <c r="F5412" t="str">
        <f>"001035"</f>
        <v>0</v>
      </c>
      <c r="G5412" t="s">
        <v>21</v>
      </c>
    </row>
    <row r="5413" spans="1:7">
      <c r="A5413">
        <v>5412</v>
      </c>
      <c r="B5413" t="str">
        <f>"012139"</f>
        <v>0</v>
      </c>
      <c r="C5413" t="s">
        <v>2262</v>
      </c>
      <c r="D5413" t="s">
        <v>8800</v>
      </c>
      <c r="E5413" t="str">
        <f>"5400500056614"</f>
        <v>0</v>
      </c>
      <c r="F5413" t="str">
        <f>"001035"</f>
        <v>0</v>
      </c>
      <c r="G5413" t="s">
        <v>21</v>
      </c>
    </row>
    <row r="5414" spans="1:7">
      <c r="A5414">
        <v>5413</v>
      </c>
      <c r="B5414" t="str">
        <f>"012004"</f>
        <v>0</v>
      </c>
      <c r="C5414" t="s">
        <v>7266</v>
      </c>
      <c r="D5414" t="s">
        <v>8801</v>
      </c>
      <c r="E5414" t="str">
        <f>"3470101494051"</f>
        <v>0</v>
      </c>
      <c r="F5414" t="str">
        <f>"001035"</f>
        <v>0</v>
      </c>
      <c r="G5414" t="s">
        <v>21</v>
      </c>
    </row>
    <row r="5415" spans="1:7">
      <c r="A5415">
        <v>5414</v>
      </c>
      <c r="B5415" t="str">
        <f>"022825"</f>
        <v>0</v>
      </c>
      <c r="C5415" t="s">
        <v>8527</v>
      </c>
      <c r="D5415" t="s">
        <v>8802</v>
      </c>
      <c r="E5415" t="str">
        <f>"3470900037947"</f>
        <v>0</v>
      </c>
      <c r="F5415" t="str">
        <f>"001035"</f>
        <v>0</v>
      </c>
      <c r="G5415" t="s">
        <v>21</v>
      </c>
    </row>
    <row r="5416" spans="1:7">
      <c r="A5416">
        <v>5415</v>
      </c>
      <c r="B5416" t="str">
        <f>"023408"</f>
        <v>0</v>
      </c>
      <c r="C5416" t="s">
        <v>8677</v>
      </c>
      <c r="D5416" t="s">
        <v>8803</v>
      </c>
      <c r="E5416" t="str">
        <f>"1479900020019"</f>
        <v>0</v>
      </c>
      <c r="F5416" t="str">
        <f>"001035"</f>
        <v>0</v>
      </c>
      <c r="G5416" t="s">
        <v>21</v>
      </c>
    </row>
    <row r="5417" spans="1:7">
      <c r="A5417">
        <v>5416</v>
      </c>
      <c r="B5417" t="str">
        <f>"027139"</f>
        <v>0</v>
      </c>
      <c r="C5417" t="s">
        <v>8804</v>
      </c>
      <c r="D5417" t="s">
        <v>8805</v>
      </c>
      <c r="E5417" t="str">
        <f>"1480400070761"</f>
        <v>0</v>
      </c>
      <c r="F5417" t="str">
        <f>"001035"</f>
        <v>0</v>
      </c>
      <c r="G5417" t="s">
        <v>21</v>
      </c>
    </row>
    <row r="5418" spans="1:7">
      <c r="A5418">
        <v>5417</v>
      </c>
      <c r="B5418" t="str">
        <f>"025282"</f>
        <v>0</v>
      </c>
      <c r="C5418" t="s">
        <v>8806</v>
      </c>
      <c r="D5418" t="s">
        <v>8807</v>
      </c>
      <c r="E5418" t="str">
        <f>"1509900425301"</f>
        <v>0</v>
      </c>
      <c r="F5418" t="str">
        <f>"001035"</f>
        <v>0</v>
      </c>
      <c r="G5418" t="s">
        <v>21</v>
      </c>
    </row>
    <row r="5419" spans="1:7">
      <c r="A5419">
        <v>5418</v>
      </c>
      <c r="B5419" t="str">
        <f>"026149"</f>
        <v>0</v>
      </c>
      <c r="C5419" t="s">
        <v>8808</v>
      </c>
      <c r="D5419" t="s">
        <v>7960</v>
      </c>
      <c r="E5419" t="str">
        <f>"1509901262431"</f>
        <v>0</v>
      </c>
      <c r="F5419" t="str">
        <f>"001035"</f>
        <v>0</v>
      </c>
      <c r="G5419" t="s">
        <v>21</v>
      </c>
    </row>
    <row r="5420" spans="1:7">
      <c r="A5420">
        <v>5419</v>
      </c>
      <c r="B5420" t="str">
        <f>"027142"</f>
        <v>0</v>
      </c>
      <c r="C5420" t="s">
        <v>8809</v>
      </c>
      <c r="D5420" t="s">
        <v>8810</v>
      </c>
      <c r="E5420" t="str">
        <f>"1549900320135"</f>
        <v>0</v>
      </c>
      <c r="F5420" t="str">
        <f>"001035"</f>
        <v>0</v>
      </c>
      <c r="G5420" t="s">
        <v>21</v>
      </c>
    </row>
    <row r="5421" spans="1:7">
      <c r="A5421">
        <v>5420</v>
      </c>
      <c r="B5421" t="str">
        <f>"027145"</f>
        <v>0</v>
      </c>
      <c r="C5421" t="s">
        <v>3256</v>
      </c>
      <c r="D5421" t="s">
        <v>8811</v>
      </c>
      <c r="E5421" t="str">
        <f>"1620300075874"</f>
        <v>0</v>
      </c>
      <c r="F5421" t="str">
        <f>"001035"</f>
        <v>0</v>
      </c>
      <c r="G5421" t="s">
        <v>21</v>
      </c>
    </row>
    <row r="5422" spans="1:7">
      <c r="A5422">
        <v>5421</v>
      </c>
      <c r="B5422" t="str">
        <f>"026897"</f>
        <v>0</v>
      </c>
      <c r="C5422" t="s">
        <v>8812</v>
      </c>
      <c r="D5422" t="s">
        <v>8813</v>
      </c>
      <c r="E5422" t="str">
        <f>"3720500046407"</f>
        <v>0</v>
      </c>
      <c r="F5422" t="str">
        <f>"001035"</f>
        <v>0</v>
      </c>
      <c r="G5422" t="s">
        <v>21</v>
      </c>
    </row>
    <row r="5423" spans="1:7">
      <c r="A5423">
        <v>5422</v>
      </c>
      <c r="B5423" t="str">
        <f>"011458"</f>
        <v>0</v>
      </c>
      <c r="C5423" t="s">
        <v>8814</v>
      </c>
      <c r="D5423" t="s">
        <v>6605</v>
      </c>
      <c r="E5423" t="str">
        <f>"3750100505820"</f>
        <v>0</v>
      </c>
      <c r="F5423" t="str">
        <f>"001035"</f>
        <v>0</v>
      </c>
      <c r="G5423" t="s">
        <v>21</v>
      </c>
    </row>
    <row r="5424" spans="1:7">
      <c r="A5424">
        <v>5423</v>
      </c>
      <c r="B5424" t="str">
        <f>"015660"</f>
        <v>0</v>
      </c>
      <c r="C5424" t="s">
        <v>2216</v>
      </c>
      <c r="D5424" t="s">
        <v>8815</v>
      </c>
      <c r="E5424" t="str">
        <f>"3220300386713"</f>
        <v>0</v>
      </c>
      <c r="F5424" t="str">
        <f>"001035"</f>
        <v>0</v>
      </c>
      <c r="G5424" t="s">
        <v>21</v>
      </c>
    </row>
    <row r="5425" spans="1:7">
      <c r="A5425">
        <v>5424</v>
      </c>
      <c r="B5425" t="str">
        <f>"016295"</f>
        <v>0</v>
      </c>
      <c r="C5425" t="s">
        <v>684</v>
      </c>
      <c r="D5425" t="s">
        <v>8816</v>
      </c>
      <c r="E5425" t="str">
        <f>"3430900516853"</f>
        <v>0</v>
      </c>
      <c r="F5425" t="str">
        <f>"001035"</f>
        <v>0</v>
      </c>
      <c r="G5425" t="s">
        <v>21</v>
      </c>
    </row>
    <row r="5426" spans="1:7">
      <c r="A5426">
        <v>5425</v>
      </c>
      <c r="B5426" t="str">
        <f>"016914"</f>
        <v>0</v>
      </c>
      <c r="C5426" t="s">
        <v>559</v>
      </c>
      <c r="D5426" t="s">
        <v>8817</v>
      </c>
      <c r="E5426" t="str">
        <f>"3430300311011"</f>
        <v>0</v>
      </c>
      <c r="F5426" t="str">
        <f>"001035"</f>
        <v>0</v>
      </c>
      <c r="G5426" t="s">
        <v>21</v>
      </c>
    </row>
    <row r="5427" spans="1:7">
      <c r="A5427">
        <v>5426</v>
      </c>
      <c r="B5427" t="str">
        <f>"018141"</f>
        <v>0</v>
      </c>
      <c r="C5427" t="s">
        <v>8818</v>
      </c>
      <c r="D5427" t="s">
        <v>8819</v>
      </c>
      <c r="E5427" t="str">
        <f>"3420100702156"</f>
        <v>0</v>
      </c>
      <c r="F5427" t="str">
        <f>"001035"</f>
        <v>0</v>
      </c>
      <c r="G5427" t="s">
        <v>21</v>
      </c>
    </row>
    <row r="5428" spans="1:7">
      <c r="A5428">
        <v>5427</v>
      </c>
      <c r="B5428" t="str">
        <f>"019604"</f>
        <v>0</v>
      </c>
      <c r="C5428" t="s">
        <v>767</v>
      </c>
      <c r="D5428" t="s">
        <v>8820</v>
      </c>
      <c r="E5428" t="str">
        <f>"3479900051981"</f>
        <v>0</v>
      </c>
      <c r="F5428" t="str">
        <f>"001035"</f>
        <v>0</v>
      </c>
      <c r="G5428" t="s">
        <v>21</v>
      </c>
    </row>
    <row r="5429" spans="1:7">
      <c r="A5429">
        <v>5428</v>
      </c>
      <c r="B5429" t="str">
        <f>"019701"</f>
        <v>0</v>
      </c>
      <c r="C5429" t="s">
        <v>3828</v>
      </c>
      <c r="D5429" t="s">
        <v>4077</v>
      </c>
      <c r="E5429" t="str">
        <f>"3480100137360"</f>
        <v>0</v>
      </c>
      <c r="F5429" t="str">
        <f>"001035"</f>
        <v>0</v>
      </c>
      <c r="G5429" t="s">
        <v>21</v>
      </c>
    </row>
    <row r="5430" spans="1:7">
      <c r="A5430">
        <v>5429</v>
      </c>
      <c r="B5430" t="str">
        <f>"020481"</f>
        <v>0</v>
      </c>
      <c r="C5430" t="s">
        <v>8821</v>
      </c>
      <c r="D5430" t="s">
        <v>8822</v>
      </c>
      <c r="E5430" t="str">
        <f>"3930200052841"</f>
        <v>0</v>
      </c>
      <c r="F5430" t="str">
        <f>"001035"</f>
        <v>0</v>
      </c>
      <c r="G5430" t="s">
        <v>21</v>
      </c>
    </row>
    <row r="5431" spans="1:7">
      <c r="A5431">
        <v>5430</v>
      </c>
      <c r="B5431" t="str">
        <f>"020521"</f>
        <v>0</v>
      </c>
      <c r="C5431" t="s">
        <v>7606</v>
      </c>
      <c r="D5431" t="s">
        <v>8823</v>
      </c>
      <c r="E5431" t="str">
        <f>"3340700001575"</f>
        <v>0</v>
      </c>
      <c r="F5431" t="str">
        <f>"001035"</f>
        <v>0</v>
      </c>
      <c r="G5431" t="s">
        <v>21</v>
      </c>
    </row>
    <row r="5432" spans="1:7">
      <c r="A5432">
        <v>5431</v>
      </c>
      <c r="B5432" t="str">
        <f>"020767"</f>
        <v>0</v>
      </c>
      <c r="C5432" t="s">
        <v>5258</v>
      </c>
      <c r="D5432" t="s">
        <v>8824</v>
      </c>
      <c r="E5432" t="str">
        <f>"3430301079197"</f>
        <v>0</v>
      </c>
      <c r="F5432" t="str">
        <f>"001035"</f>
        <v>0</v>
      </c>
      <c r="G5432" t="s">
        <v>21</v>
      </c>
    </row>
    <row r="5433" spans="1:7">
      <c r="A5433">
        <v>5432</v>
      </c>
      <c r="B5433" t="str">
        <f>"021136"</f>
        <v>0</v>
      </c>
      <c r="C5433" t="s">
        <v>8825</v>
      </c>
      <c r="D5433" t="s">
        <v>8826</v>
      </c>
      <c r="E5433" t="str">
        <f>"3430900831783"</f>
        <v>0</v>
      </c>
      <c r="F5433" t="str">
        <f>"001035"</f>
        <v>0</v>
      </c>
      <c r="G5433" t="s">
        <v>21</v>
      </c>
    </row>
    <row r="5434" spans="1:7">
      <c r="A5434">
        <v>5433</v>
      </c>
      <c r="B5434" t="str">
        <f>"021684"</f>
        <v>0</v>
      </c>
      <c r="C5434" t="s">
        <v>789</v>
      </c>
      <c r="D5434" t="s">
        <v>8827</v>
      </c>
      <c r="E5434" t="str">
        <f>"3400100658815"</f>
        <v>0</v>
      </c>
      <c r="F5434" t="str">
        <f>"001035"</f>
        <v>0</v>
      </c>
      <c r="G5434" t="s">
        <v>21</v>
      </c>
    </row>
    <row r="5435" spans="1:7">
      <c r="A5435">
        <v>5434</v>
      </c>
      <c r="B5435" t="str">
        <f>"023257"</f>
        <v>0</v>
      </c>
      <c r="C5435" t="s">
        <v>8828</v>
      </c>
      <c r="D5435" t="s">
        <v>8829</v>
      </c>
      <c r="E5435" t="str">
        <f>"1430600095864"</f>
        <v>0</v>
      </c>
      <c r="F5435" t="str">
        <f>"001035"</f>
        <v>0</v>
      </c>
      <c r="G5435" t="s">
        <v>21</v>
      </c>
    </row>
    <row r="5436" spans="1:7">
      <c r="A5436">
        <v>5435</v>
      </c>
      <c r="B5436" t="str">
        <f>"023687"</f>
        <v>0</v>
      </c>
      <c r="C5436" t="s">
        <v>102</v>
      </c>
      <c r="D5436" t="s">
        <v>8830</v>
      </c>
      <c r="E5436" t="str">
        <f>"3430300742704"</f>
        <v>0</v>
      </c>
      <c r="F5436" t="str">
        <f>"001035"</f>
        <v>0</v>
      </c>
      <c r="G5436" t="s">
        <v>21</v>
      </c>
    </row>
    <row r="5437" spans="1:7">
      <c r="A5437">
        <v>5436</v>
      </c>
      <c r="B5437" t="str">
        <f>"024794"</f>
        <v>0</v>
      </c>
      <c r="C5437" t="s">
        <v>8831</v>
      </c>
      <c r="D5437" t="s">
        <v>8832</v>
      </c>
      <c r="E5437" t="str">
        <f>"5430400035127"</f>
        <v>0</v>
      </c>
      <c r="F5437" t="str">
        <f>"001035"</f>
        <v>0</v>
      </c>
      <c r="G5437" t="s">
        <v>21</v>
      </c>
    </row>
    <row r="5438" spans="1:7">
      <c r="A5438">
        <v>5437</v>
      </c>
      <c r="B5438" t="str">
        <f>"025283"</f>
        <v>0</v>
      </c>
      <c r="C5438" t="s">
        <v>8833</v>
      </c>
      <c r="D5438" t="s">
        <v>8834</v>
      </c>
      <c r="E5438" t="str">
        <f>"3430600351557"</f>
        <v>0</v>
      </c>
      <c r="F5438" t="str">
        <f>"001035"</f>
        <v>0</v>
      </c>
      <c r="G5438" t="s">
        <v>21</v>
      </c>
    </row>
    <row r="5439" spans="1:7">
      <c r="A5439">
        <v>5438</v>
      </c>
      <c r="B5439" t="str">
        <f>"026610"</f>
        <v>0</v>
      </c>
      <c r="C5439" t="s">
        <v>8835</v>
      </c>
      <c r="D5439" t="s">
        <v>8836</v>
      </c>
      <c r="E5439" t="str">
        <f>"3430600410502"</f>
        <v>0</v>
      </c>
      <c r="F5439" t="str">
        <f>"001035"</f>
        <v>0</v>
      </c>
      <c r="G5439" t="s">
        <v>21</v>
      </c>
    </row>
    <row r="5440" spans="1:7">
      <c r="A5440">
        <v>5439</v>
      </c>
      <c r="B5440" t="str">
        <f>"026895"</f>
        <v>0</v>
      </c>
      <c r="C5440" t="s">
        <v>1380</v>
      </c>
      <c r="D5440" t="s">
        <v>8837</v>
      </c>
      <c r="E5440" t="str">
        <f>"1430300088862"</f>
        <v>0</v>
      </c>
      <c r="F5440" t="str">
        <f>"001035"</f>
        <v>0</v>
      </c>
      <c r="G5440" t="s">
        <v>21</v>
      </c>
    </row>
    <row r="5441" spans="1:7">
      <c r="A5441">
        <v>5440</v>
      </c>
      <c r="B5441" t="str">
        <f>"027140"</f>
        <v>0</v>
      </c>
      <c r="C5441" t="s">
        <v>8838</v>
      </c>
      <c r="D5441" t="s">
        <v>8839</v>
      </c>
      <c r="E5441" t="str">
        <f>"1900900024623"</f>
        <v>0</v>
      </c>
      <c r="F5441" t="str">
        <f>"001035"</f>
        <v>0</v>
      </c>
      <c r="G5441" t="s">
        <v>21</v>
      </c>
    </row>
    <row r="5442" spans="1:7">
      <c r="A5442">
        <v>5441</v>
      </c>
      <c r="B5442" t="str">
        <f>"027512"</f>
        <v>0</v>
      </c>
      <c r="C5442" t="s">
        <v>8840</v>
      </c>
      <c r="D5442" t="s">
        <v>8841</v>
      </c>
      <c r="E5442" t="str">
        <f>"3430900135876"</f>
        <v>0</v>
      </c>
      <c r="F5442" t="str">
        <f>"001035"</f>
        <v>0</v>
      </c>
      <c r="G5442" t="s">
        <v>21</v>
      </c>
    </row>
    <row r="5443" spans="1:7">
      <c r="A5443">
        <v>5442</v>
      </c>
      <c r="B5443" t="str">
        <f>"000782"</f>
        <v>0</v>
      </c>
      <c r="C5443" t="s">
        <v>6636</v>
      </c>
      <c r="D5443" t="s">
        <v>8842</v>
      </c>
      <c r="E5443" t="str">
        <f>"3130100126964"</f>
        <v>0</v>
      </c>
      <c r="F5443" t="str">
        <f>"001040"</f>
        <v>0</v>
      </c>
      <c r="G5443" t="s">
        <v>21</v>
      </c>
    </row>
    <row r="5444" spans="1:7">
      <c r="A5444">
        <v>5443</v>
      </c>
      <c r="B5444" t="str">
        <f>"001023"</f>
        <v>0</v>
      </c>
      <c r="C5444" t="s">
        <v>7140</v>
      </c>
      <c r="D5444" t="s">
        <v>8843</v>
      </c>
      <c r="E5444" t="str">
        <f>"3940100300258"</f>
        <v>0</v>
      </c>
      <c r="F5444" t="str">
        <f>"001040"</f>
        <v>0</v>
      </c>
      <c r="G5444" t="s">
        <v>21</v>
      </c>
    </row>
    <row r="5445" spans="1:7">
      <c r="A5445">
        <v>5444</v>
      </c>
      <c r="B5445" t="str">
        <f>"001025"</f>
        <v>0</v>
      </c>
      <c r="C5445" t="s">
        <v>5091</v>
      </c>
      <c r="D5445" t="s">
        <v>8843</v>
      </c>
      <c r="E5445" t="str">
        <f>"3940100300266"</f>
        <v>0</v>
      </c>
      <c r="F5445" t="str">
        <f>"001040"</f>
        <v>0</v>
      </c>
      <c r="G5445" t="s">
        <v>21</v>
      </c>
    </row>
    <row r="5446" spans="1:7">
      <c r="A5446">
        <v>5445</v>
      </c>
      <c r="B5446" t="str">
        <f>"001490"</f>
        <v>0</v>
      </c>
      <c r="C5446" t="s">
        <v>3841</v>
      </c>
      <c r="D5446" t="s">
        <v>8844</v>
      </c>
      <c r="E5446" t="str">
        <f>"3130200333686"</f>
        <v>0</v>
      </c>
      <c r="F5446" t="str">
        <f>"001040"</f>
        <v>0</v>
      </c>
      <c r="G5446" t="s">
        <v>21</v>
      </c>
    </row>
    <row r="5447" spans="1:7">
      <c r="A5447">
        <v>5446</v>
      </c>
      <c r="B5447" t="str">
        <f>"001764"</f>
        <v>0</v>
      </c>
      <c r="C5447" t="s">
        <v>727</v>
      </c>
      <c r="D5447" t="s">
        <v>8845</v>
      </c>
      <c r="E5447" t="str">
        <f>"3459900019131"</f>
        <v>0</v>
      </c>
      <c r="F5447" t="str">
        <f>"001040"</f>
        <v>0</v>
      </c>
      <c r="G5447" t="s">
        <v>21</v>
      </c>
    </row>
    <row r="5448" spans="1:7">
      <c r="A5448">
        <v>5447</v>
      </c>
      <c r="B5448" t="str">
        <f>"001777"</f>
        <v>0</v>
      </c>
      <c r="C5448" t="s">
        <v>8846</v>
      </c>
      <c r="D5448" t="s">
        <v>147</v>
      </c>
      <c r="E5448" t="str">
        <f>"3669900125346"</f>
        <v>0</v>
      </c>
      <c r="F5448" t="str">
        <f>"001040"</f>
        <v>0</v>
      </c>
      <c r="G5448" t="s">
        <v>21</v>
      </c>
    </row>
    <row r="5449" spans="1:7">
      <c r="A5449">
        <v>5448</v>
      </c>
      <c r="B5449" t="str">
        <f>"001975"</f>
        <v>0</v>
      </c>
      <c r="C5449" t="s">
        <v>4928</v>
      </c>
      <c r="D5449" t="s">
        <v>8847</v>
      </c>
      <c r="E5449" t="str">
        <f>"3130100138873"</f>
        <v>0</v>
      </c>
      <c r="F5449" t="str">
        <f>"001040"</f>
        <v>0</v>
      </c>
      <c r="G5449" t="s">
        <v>21</v>
      </c>
    </row>
    <row r="5450" spans="1:7">
      <c r="A5450">
        <v>5449</v>
      </c>
      <c r="B5450" t="str">
        <f>"002105"</f>
        <v>0</v>
      </c>
      <c r="C5450" t="s">
        <v>8848</v>
      </c>
      <c r="D5450" t="s">
        <v>8849</v>
      </c>
      <c r="E5450" t="str">
        <f>"3120100207891"</f>
        <v>0</v>
      </c>
      <c r="F5450" t="str">
        <f>"001040"</f>
        <v>0</v>
      </c>
      <c r="G5450" t="s">
        <v>21</v>
      </c>
    </row>
    <row r="5451" spans="1:7">
      <c r="A5451">
        <v>5450</v>
      </c>
      <c r="B5451" t="str">
        <f>"002342"</f>
        <v>0</v>
      </c>
      <c r="C5451" t="s">
        <v>2239</v>
      </c>
      <c r="D5451" t="s">
        <v>8850</v>
      </c>
      <c r="E5451" t="str">
        <f>"3139900062675"</f>
        <v>0</v>
      </c>
      <c r="F5451" t="str">
        <f>"001040"</f>
        <v>0</v>
      </c>
      <c r="G5451" t="s">
        <v>21</v>
      </c>
    </row>
    <row r="5452" spans="1:7">
      <c r="A5452">
        <v>5451</v>
      </c>
      <c r="B5452" t="str">
        <f>"002798"</f>
        <v>0</v>
      </c>
      <c r="C5452" t="s">
        <v>2312</v>
      </c>
      <c r="D5452" t="s">
        <v>8851</v>
      </c>
      <c r="E5452" t="str">
        <f>"3130300596956"</f>
        <v>0</v>
      </c>
      <c r="F5452" t="str">
        <f>"001040"</f>
        <v>0</v>
      </c>
      <c r="G5452" t="s">
        <v>21</v>
      </c>
    </row>
    <row r="5453" spans="1:7">
      <c r="A5453">
        <v>5452</v>
      </c>
      <c r="B5453" t="str">
        <f>"002927"</f>
        <v>0</v>
      </c>
      <c r="C5453" t="s">
        <v>1820</v>
      </c>
      <c r="D5453" t="s">
        <v>8852</v>
      </c>
      <c r="E5453" t="str">
        <f>"4100600035311"</f>
        <v>0</v>
      </c>
      <c r="F5453" t="str">
        <f>"001040"</f>
        <v>0</v>
      </c>
      <c r="G5453" t="s">
        <v>21</v>
      </c>
    </row>
    <row r="5454" spans="1:7">
      <c r="A5454">
        <v>5453</v>
      </c>
      <c r="B5454" t="str">
        <f>"003094"</f>
        <v>0</v>
      </c>
      <c r="C5454" t="s">
        <v>431</v>
      </c>
      <c r="D5454" t="s">
        <v>8853</v>
      </c>
      <c r="E5454" t="str">
        <f>"3120100435371"</f>
        <v>0</v>
      </c>
      <c r="F5454" t="str">
        <f>"001040"</f>
        <v>0</v>
      </c>
      <c r="G5454" t="s">
        <v>21</v>
      </c>
    </row>
    <row r="5455" spans="1:7">
      <c r="A5455">
        <v>5454</v>
      </c>
      <c r="B5455" t="str">
        <f>"003527"</f>
        <v>0</v>
      </c>
      <c r="C5455" t="s">
        <v>8854</v>
      </c>
      <c r="D5455" t="s">
        <v>8855</v>
      </c>
      <c r="E5455" t="str">
        <f>"3429900048602"</f>
        <v>0</v>
      </c>
      <c r="F5455" t="str">
        <f>"001040"</f>
        <v>0</v>
      </c>
      <c r="G5455" t="s">
        <v>21</v>
      </c>
    </row>
    <row r="5456" spans="1:7">
      <c r="A5456">
        <v>5455</v>
      </c>
      <c r="B5456" t="str">
        <f>"003843"</f>
        <v>0</v>
      </c>
      <c r="C5456" t="s">
        <v>2371</v>
      </c>
      <c r="D5456" t="s">
        <v>8856</v>
      </c>
      <c r="E5456" t="str">
        <f>"3130100400543"</f>
        <v>0</v>
      </c>
      <c r="F5456" t="str">
        <f>"001040"</f>
        <v>0</v>
      </c>
      <c r="G5456" t="s">
        <v>21</v>
      </c>
    </row>
    <row r="5457" spans="1:7">
      <c r="A5457">
        <v>5456</v>
      </c>
      <c r="B5457" t="str">
        <f>"004104"</f>
        <v>0</v>
      </c>
      <c r="C5457" t="s">
        <v>8857</v>
      </c>
      <c r="D5457" t="s">
        <v>8858</v>
      </c>
      <c r="E5457" t="str">
        <f>"3420300168421"</f>
        <v>0</v>
      </c>
      <c r="F5457" t="str">
        <f>"001040"</f>
        <v>0</v>
      </c>
      <c r="G5457" t="s">
        <v>21</v>
      </c>
    </row>
    <row r="5458" spans="1:7">
      <c r="A5458">
        <v>5457</v>
      </c>
      <c r="B5458" t="str">
        <f>"004351"</f>
        <v>0</v>
      </c>
      <c r="C5458" t="s">
        <v>5737</v>
      </c>
      <c r="D5458" t="s">
        <v>8859</v>
      </c>
      <c r="E5458" t="str">
        <f>"3302000608282"</f>
        <v>0</v>
      </c>
      <c r="F5458" t="str">
        <f>"001040"</f>
        <v>0</v>
      </c>
      <c r="G5458" t="s">
        <v>21</v>
      </c>
    </row>
    <row r="5459" spans="1:7">
      <c r="A5459">
        <v>5458</v>
      </c>
      <c r="B5459" t="str">
        <f>"004402"</f>
        <v>0</v>
      </c>
      <c r="C5459" t="s">
        <v>2424</v>
      </c>
      <c r="D5459" t="s">
        <v>8860</v>
      </c>
      <c r="E5459" t="str">
        <f>"3140100405324"</f>
        <v>0</v>
      </c>
      <c r="F5459" t="str">
        <f>"001040"</f>
        <v>0</v>
      </c>
      <c r="G5459" t="s">
        <v>21</v>
      </c>
    </row>
    <row r="5460" spans="1:7">
      <c r="A5460">
        <v>5459</v>
      </c>
      <c r="B5460" t="str">
        <f>"004806"</f>
        <v>0</v>
      </c>
      <c r="C5460" t="s">
        <v>8861</v>
      </c>
      <c r="D5460" t="s">
        <v>8862</v>
      </c>
      <c r="E5460" t="str">
        <f>"3580400121450"</f>
        <v>0</v>
      </c>
      <c r="F5460" t="str">
        <f>"001040"</f>
        <v>0</v>
      </c>
      <c r="G5460" t="s">
        <v>21</v>
      </c>
    </row>
    <row r="5461" spans="1:7">
      <c r="A5461">
        <v>5460</v>
      </c>
      <c r="B5461" t="str">
        <f>"005053"</f>
        <v>0</v>
      </c>
      <c r="C5461" t="s">
        <v>2360</v>
      </c>
      <c r="D5461" t="s">
        <v>8863</v>
      </c>
      <c r="E5461" t="str">
        <f>"3100203724520"</f>
        <v>0</v>
      </c>
      <c r="F5461" t="str">
        <f>"001040"</f>
        <v>0</v>
      </c>
      <c r="G5461" t="s">
        <v>21</v>
      </c>
    </row>
    <row r="5462" spans="1:7">
      <c r="A5462">
        <v>5461</v>
      </c>
      <c r="B5462" t="str">
        <f>"005359"</f>
        <v>0</v>
      </c>
      <c r="C5462" t="s">
        <v>8864</v>
      </c>
      <c r="D5462" t="s">
        <v>8865</v>
      </c>
      <c r="E5462" t="str">
        <f>"3100905754151"</f>
        <v>0</v>
      </c>
      <c r="F5462" t="str">
        <f>"001040"</f>
        <v>0</v>
      </c>
      <c r="G5462" t="s">
        <v>21</v>
      </c>
    </row>
    <row r="5463" spans="1:7">
      <c r="A5463">
        <v>5462</v>
      </c>
      <c r="B5463" t="str">
        <f>"005674"</f>
        <v>0</v>
      </c>
      <c r="C5463" t="s">
        <v>62</v>
      </c>
      <c r="D5463" t="s">
        <v>8866</v>
      </c>
      <c r="E5463" t="str">
        <f>"3540500144877"</f>
        <v>0</v>
      </c>
      <c r="F5463" t="str">
        <f>"001040"</f>
        <v>0</v>
      </c>
      <c r="G5463" t="s">
        <v>21</v>
      </c>
    </row>
    <row r="5464" spans="1:7">
      <c r="A5464">
        <v>5463</v>
      </c>
      <c r="B5464" t="str">
        <f>"006151"</f>
        <v>0</v>
      </c>
      <c r="C5464" t="s">
        <v>8624</v>
      </c>
      <c r="D5464" t="s">
        <v>8867</v>
      </c>
      <c r="E5464" t="str">
        <f>"3100602641415"</f>
        <v>0</v>
      </c>
      <c r="F5464" t="str">
        <f>"001040"</f>
        <v>0</v>
      </c>
      <c r="G5464" t="s">
        <v>21</v>
      </c>
    </row>
    <row r="5465" spans="1:7">
      <c r="A5465">
        <v>5464</v>
      </c>
      <c r="B5465" t="str">
        <f>"006837"</f>
        <v>0</v>
      </c>
      <c r="C5465" t="s">
        <v>8868</v>
      </c>
      <c r="D5465" t="s">
        <v>8869</v>
      </c>
      <c r="E5465" t="str">
        <f>"3130400030989"</f>
        <v>0</v>
      </c>
      <c r="F5465" t="str">
        <f>"001040"</f>
        <v>0</v>
      </c>
      <c r="G5465" t="s">
        <v>21</v>
      </c>
    </row>
    <row r="5466" spans="1:7">
      <c r="A5466">
        <v>5465</v>
      </c>
      <c r="B5466" t="str">
        <f>"007087"</f>
        <v>0</v>
      </c>
      <c r="C5466" t="s">
        <v>4225</v>
      </c>
      <c r="D5466" t="s">
        <v>8870</v>
      </c>
      <c r="E5466" t="str">
        <f>"3560100344666"</f>
        <v>0</v>
      </c>
      <c r="F5466" t="str">
        <f>"001040"</f>
        <v>0</v>
      </c>
      <c r="G5466" t="s">
        <v>21</v>
      </c>
    </row>
    <row r="5467" spans="1:7">
      <c r="A5467">
        <v>5466</v>
      </c>
      <c r="B5467" t="str">
        <f>"007478"</f>
        <v>0</v>
      </c>
      <c r="C5467" t="s">
        <v>8871</v>
      </c>
      <c r="D5467" t="s">
        <v>8872</v>
      </c>
      <c r="E5467" t="str">
        <f>"3130600014618"</f>
        <v>0</v>
      </c>
      <c r="F5467" t="str">
        <f>"001040"</f>
        <v>0</v>
      </c>
      <c r="G5467" t="s">
        <v>21</v>
      </c>
    </row>
    <row r="5468" spans="1:7">
      <c r="A5468">
        <v>5467</v>
      </c>
      <c r="B5468" t="str">
        <f>"007575"</f>
        <v>0</v>
      </c>
      <c r="C5468" t="s">
        <v>8873</v>
      </c>
      <c r="D5468" t="s">
        <v>8874</v>
      </c>
      <c r="E5468" t="str">
        <f>"3130500129316"</f>
        <v>0</v>
      </c>
      <c r="F5468" t="str">
        <f>"001040"</f>
        <v>0</v>
      </c>
      <c r="G5468" t="s">
        <v>21</v>
      </c>
    </row>
    <row r="5469" spans="1:7">
      <c r="A5469">
        <v>5468</v>
      </c>
      <c r="B5469" t="str">
        <f>"007577"</f>
        <v>0</v>
      </c>
      <c r="C5469" t="s">
        <v>8875</v>
      </c>
      <c r="D5469" t="s">
        <v>8876</v>
      </c>
      <c r="E5469" t="str">
        <f>"3110102521887"</f>
        <v>0</v>
      </c>
      <c r="F5469" t="str">
        <f>"001040"</f>
        <v>0</v>
      </c>
      <c r="G5469" t="s">
        <v>21</v>
      </c>
    </row>
    <row r="5470" spans="1:7">
      <c r="A5470">
        <v>5469</v>
      </c>
      <c r="B5470" t="str">
        <f>"008551"</f>
        <v>0</v>
      </c>
      <c r="C5470" t="s">
        <v>8877</v>
      </c>
      <c r="D5470" t="s">
        <v>8878</v>
      </c>
      <c r="E5470" t="str">
        <f>"4100900010098"</f>
        <v>0</v>
      </c>
      <c r="F5470" t="str">
        <f>"001040"</f>
        <v>0</v>
      </c>
      <c r="G5470" t="s">
        <v>21</v>
      </c>
    </row>
    <row r="5471" spans="1:7">
      <c r="A5471">
        <v>5470</v>
      </c>
      <c r="B5471" t="str">
        <f>"008846"</f>
        <v>0</v>
      </c>
      <c r="C5471" t="s">
        <v>2360</v>
      </c>
      <c r="D5471" t="s">
        <v>8879</v>
      </c>
      <c r="E5471" t="str">
        <f>"3519900012127"</f>
        <v>0</v>
      </c>
      <c r="F5471" t="str">
        <f>"001040"</f>
        <v>0</v>
      </c>
      <c r="G5471" t="s">
        <v>21</v>
      </c>
    </row>
    <row r="5472" spans="1:7">
      <c r="A5472">
        <v>5471</v>
      </c>
      <c r="B5472" t="str">
        <f>"010423"</f>
        <v>0</v>
      </c>
      <c r="C5472" t="s">
        <v>8880</v>
      </c>
      <c r="D5472" t="s">
        <v>2825</v>
      </c>
      <c r="E5472" t="str">
        <f>"3130600378105"</f>
        <v>0</v>
      </c>
      <c r="F5472" t="str">
        <f>"001040"</f>
        <v>0</v>
      </c>
      <c r="G5472" t="s">
        <v>21</v>
      </c>
    </row>
    <row r="5473" spans="1:7">
      <c r="A5473">
        <v>5472</v>
      </c>
      <c r="B5473" t="str">
        <f>"010524"</f>
        <v>0</v>
      </c>
      <c r="C5473" t="s">
        <v>2241</v>
      </c>
      <c r="D5473" t="s">
        <v>8881</v>
      </c>
      <c r="E5473" t="str">
        <f>"3130400032451"</f>
        <v>0</v>
      </c>
      <c r="F5473" t="str">
        <f>"001040"</f>
        <v>0</v>
      </c>
      <c r="G5473" t="s">
        <v>21</v>
      </c>
    </row>
    <row r="5474" spans="1:7">
      <c r="A5474">
        <v>5473</v>
      </c>
      <c r="B5474" t="str">
        <f>"010991"</f>
        <v>0</v>
      </c>
      <c r="C5474" t="s">
        <v>8882</v>
      </c>
      <c r="D5474" t="s">
        <v>8883</v>
      </c>
      <c r="E5474" t="str">
        <f>"3710200063993"</f>
        <v>0</v>
      </c>
      <c r="F5474" t="str">
        <f>"001040"</f>
        <v>0</v>
      </c>
      <c r="G5474" t="s">
        <v>21</v>
      </c>
    </row>
    <row r="5475" spans="1:7">
      <c r="A5475">
        <v>5474</v>
      </c>
      <c r="B5475" t="str">
        <f>"011067"</f>
        <v>0</v>
      </c>
      <c r="C5475" t="s">
        <v>832</v>
      </c>
      <c r="D5475" t="s">
        <v>8884</v>
      </c>
      <c r="E5475" t="str">
        <f>"3101601060932"</f>
        <v>0</v>
      </c>
      <c r="F5475" t="str">
        <f>"001040"</f>
        <v>0</v>
      </c>
      <c r="G5475" t="s">
        <v>21</v>
      </c>
    </row>
    <row r="5476" spans="1:7">
      <c r="A5476">
        <v>5475</v>
      </c>
      <c r="B5476" t="str">
        <f>"011313"</f>
        <v>0</v>
      </c>
      <c r="C5476" t="s">
        <v>344</v>
      </c>
      <c r="D5476" t="s">
        <v>8885</v>
      </c>
      <c r="E5476" t="str">
        <f>"3101800344027"</f>
        <v>0</v>
      </c>
      <c r="F5476" t="str">
        <f>"001040"</f>
        <v>0</v>
      </c>
      <c r="G5476" t="s">
        <v>21</v>
      </c>
    </row>
    <row r="5477" spans="1:7">
      <c r="A5477">
        <v>5476</v>
      </c>
      <c r="B5477" t="str">
        <f>"011364"</f>
        <v>0</v>
      </c>
      <c r="C5477" t="s">
        <v>5073</v>
      </c>
      <c r="D5477" t="s">
        <v>8886</v>
      </c>
      <c r="E5477" t="str">
        <f>"3139900003482"</f>
        <v>0</v>
      </c>
      <c r="F5477" t="str">
        <f>"001040"</f>
        <v>0</v>
      </c>
      <c r="G5477" t="s">
        <v>21</v>
      </c>
    </row>
    <row r="5478" spans="1:7">
      <c r="A5478">
        <v>5477</v>
      </c>
      <c r="B5478" t="str">
        <f>"012272"</f>
        <v>0</v>
      </c>
      <c r="C5478" t="s">
        <v>8887</v>
      </c>
      <c r="D5478" t="s">
        <v>8888</v>
      </c>
      <c r="E5478" t="str">
        <f>"5100200082442"</f>
        <v>0</v>
      </c>
      <c r="F5478" t="str">
        <f>"001040"</f>
        <v>0</v>
      </c>
      <c r="G5478" t="s">
        <v>21</v>
      </c>
    </row>
    <row r="5479" spans="1:7">
      <c r="A5479">
        <v>5478</v>
      </c>
      <c r="B5479" t="str">
        <f>"012777"</f>
        <v>0</v>
      </c>
      <c r="C5479" t="s">
        <v>370</v>
      </c>
      <c r="D5479" t="s">
        <v>8889</v>
      </c>
      <c r="E5479" t="str">
        <f>"3500500595020"</f>
        <v>0</v>
      </c>
      <c r="F5479" t="str">
        <f>"001040"</f>
        <v>0</v>
      </c>
      <c r="G5479" t="s">
        <v>21</v>
      </c>
    </row>
    <row r="5480" spans="1:7">
      <c r="A5480">
        <v>5479</v>
      </c>
      <c r="B5480" t="str">
        <f>"013082"</f>
        <v>0</v>
      </c>
      <c r="C5480" t="s">
        <v>8890</v>
      </c>
      <c r="D5480" t="s">
        <v>8891</v>
      </c>
      <c r="E5480" t="str">
        <f>"3130200037009"</f>
        <v>0</v>
      </c>
      <c r="F5480" t="str">
        <f>"001040"</f>
        <v>0</v>
      </c>
      <c r="G5480" t="s">
        <v>21</v>
      </c>
    </row>
    <row r="5481" spans="1:7">
      <c r="A5481">
        <v>5480</v>
      </c>
      <c r="B5481" t="str">
        <f>"013105"</f>
        <v>0</v>
      </c>
      <c r="C5481" t="s">
        <v>1926</v>
      </c>
      <c r="D5481" t="s">
        <v>8892</v>
      </c>
      <c r="E5481" t="str">
        <f>"3720300056565"</f>
        <v>0</v>
      </c>
      <c r="F5481" t="str">
        <f>"001040"</f>
        <v>0</v>
      </c>
      <c r="G5481" t="s">
        <v>21</v>
      </c>
    </row>
    <row r="5482" spans="1:7">
      <c r="A5482">
        <v>5481</v>
      </c>
      <c r="B5482" t="str">
        <f>"013330"</f>
        <v>0</v>
      </c>
      <c r="C5482" t="s">
        <v>8893</v>
      </c>
      <c r="D5482" t="s">
        <v>8894</v>
      </c>
      <c r="E5482" t="str">
        <f>"3130600391349"</f>
        <v>0</v>
      </c>
      <c r="F5482" t="str">
        <f>"001040"</f>
        <v>0</v>
      </c>
      <c r="G5482" t="s">
        <v>21</v>
      </c>
    </row>
    <row r="5483" spans="1:7">
      <c r="A5483">
        <v>5482</v>
      </c>
      <c r="B5483" t="str">
        <f>"014662"</f>
        <v>0</v>
      </c>
      <c r="C5483" t="s">
        <v>239</v>
      </c>
      <c r="D5483" t="s">
        <v>8895</v>
      </c>
      <c r="E5483" t="str">
        <f>"3102201471251"</f>
        <v>0</v>
      </c>
      <c r="F5483" t="str">
        <f>"001040"</f>
        <v>0</v>
      </c>
      <c r="G5483" t="s">
        <v>21</v>
      </c>
    </row>
    <row r="5484" spans="1:7">
      <c r="A5484">
        <v>5483</v>
      </c>
      <c r="B5484" t="str">
        <f>"015616"</f>
        <v>0</v>
      </c>
      <c r="C5484" t="s">
        <v>5347</v>
      </c>
      <c r="D5484" t="s">
        <v>8896</v>
      </c>
      <c r="E5484" t="str">
        <f>"3100500901761"</f>
        <v>0</v>
      </c>
      <c r="F5484" t="str">
        <f>"001040"</f>
        <v>0</v>
      </c>
      <c r="G5484" t="s">
        <v>21</v>
      </c>
    </row>
    <row r="5485" spans="1:7">
      <c r="A5485">
        <v>5484</v>
      </c>
      <c r="B5485" t="str">
        <f>"016137"</f>
        <v>0</v>
      </c>
      <c r="C5485" t="s">
        <v>8897</v>
      </c>
      <c r="D5485" t="s">
        <v>8898</v>
      </c>
      <c r="E5485" t="str">
        <f>"5130600027821"</f>
        <v>0</v>
      </c>
      <c r="F5485" t="str">
        <f>"001040"</f>
        <v>0</v>
      </c>
      <c r="G5485" t="s">
        <v>21</v>
      </c>
    </row>
    <row r="5486" spans="1:7">
      <c r="A5486">
        <v>5485</v>
      </c>
      <c r="B5486" t="str">
        <f>"016457"</f>
        <v>0</v>
      </c>
      <c r="C5486" t="s">
        <v>2811</v>
      </c>
      <c r="D5486" t="s">
        <v>8899</v>
      </c>
      <c r="E5486" t="str">
        <f>"3160400033678"</f>
        <v>0</v>
      </c>
      <c r="F5486" t="str">
        <f>"001040"</f>
        <v>0</v>
      </c>
      <c r="G5486" t="s">
        <v>21</v>
      </c>
    </row>
    <row r="5487" spans="1:7">
      <c r="A5487">
        <v>5486</v>
      </c>
      <c r="B5487" t="str">
        <f>"017109"</f>
        <v>0</v>
      </c>
      <c r="C5487" t="s">
        <v>8900</v>
      </c>
      <c r="D5487" t="s">
        <v>8901</v>
      </c>
      <c r="E5487" t="str">
        <f>"3770400412185"</f>
        <v>0</v>
      </c>
      <c r="F5487" t="str">
        <f>"001040"</f>
        <v>0</v>
      </c>
      <c r="G5487" t="s">
        <v>21</v>
      </c>
    </row>
    <row r="5488" spans="1:7">
      <c r="A5488">
        <v>5487</v>
      </c>
      <c r="B5488" t="str">
        <f>"018064"</f>
        <v>0</v>
      </c>
      <c r="C5488" t="s">
        <v>8902</v>
      </c>
      <c r="D5488" t="s">
        <v>8903</v>
      </c>
      <c r="E5488" t="str">
        <f>"3130600157958"</f>
        <v>0</v>
      </c>
      <c r="F5488" t="str">
        <f>"001040"</f>
        <v>0</v>
      </c>
      <c r="G5488" t="s">
        <v>21</v>
      </c>
    </row>
    <row r="5489" spans="1:7">
      <c r="A5489">
        <v>5488</v>
      </c>
      <c r="B5489" t="str">
        <f>"018264"</f>
        <v>0</v>
      </c>
      <c r="C5489" t="s">
        <v>7561</v>
      </c>
      <c r="D5489" t="s">
        <v>8904</v>
      </c>
      <c r="E5489" t="str">
        <f>"3130500019731"</f>
        <v>0</v>
      </c>
      <c r="F5489" t="str">
        <f>"001040"</f>
        <v>0</v>
      </c>
      <c r="G5489" t="s">
        <v>21</v>
      </c>
    </row>
    <row r="5490" spans="1:7">
      <c r="A5490">
        <v>5489</v>
      </c>
      <c r="B5490" t="str">
        <f>"018551"</f>
        <v>0</v>
      </c>
      <c r="C5490" t="s">
        <v>8857</v>
      </c>
      <c r="D5490" t="s">
        <v>683</v>
      </c>
      <c r="E5490" t="str">
        <f>"3130700042834"</f>
        <v>0</v>
      </c>
      <c r="F5490" t="str">
        <f>"001040"</f>
        <v>0</v>
      </c>
      <c r="G5490" t="s">
        <v>21</v>
      </c>
    </row>
    <row r="5491" spans="1:7">
      <c r="A5491">
        <v>5490</v>
      </c>
      <c r="B5491" t="str">
        <f>"018767"</f>
        <v>0</v>
      </c>
      <c r="C5491" t="s">
        <v>1023</v>
      </c>
      <c r="D5491" t="s">
        <v>8905</v>
      </c>
      <c r="E5491" t="str">
        <f>"3100500916962"</f>
        <v>0</v>
      </c>
      <c r="F5491" t="str">
        <f>"001040"</f>
        <v>0</v>
      </c>
      <c r="G5491" t="s">
        <v>21</v>
      </c>
    </row>
    <row r="5492" spans="1:7">
      <c r="A5492">
        <v>5491</v>
      </c>
      <c r="B5492" t="str">
        <f>"019165"</f>
        <v>0</v>
      </c>
      <c r="C5492" t="s">
        <v>8906</v>
      </c>
      <c r="D5492" t="s">
        <v>8907</v>
      </c>
      <c r="E5492" t="str">
        <f>"3100200465191"</f>
        <v>0</v>
      </c>
      <c r="F5492" t="str">
        <f>"001040"</f>
        <v>0</v>
      </c>
      <c r="G5492" t="s">
        <v>21</v>
      </c>
    </row>
    <row r="5493" spans="1:7">
      <c r="A5493">
        <v>5492</v>
      </c>
      <c r="B5493" t="str">
        <f>"019640"</f>
        <v>0</v>
      </c>
      <c r="C5493" t="s">
        <v>8908</v>
      </c>
      <c r="D5493" t="s">
        <v>8909</v>
      </c>
      <c r="E5493" t="str">
        <f>"3100504027640"</f>
        <v>0</v>
      </c>
      <c r="F5493" t="str">
        <f>"001040"</f>
        <v>0</v>
      </c>
      <c r="G5493" t="s">
        <v>21</v>
      </c>
    </row>
    <row r="5494" spans="1:7">
      <c r="A5494">
        <v>5493</v>
      </c>
      <c r="B5494" t="str">
        <f>"019907"</f>
        <v>0</v>
      </c>
      <c r="C5494" t="s">
        <v>1864</v>
      </c>
      <c r="D5494" t="s">
        <v>8910</v>
      </c>
      <c r="E5494" t="str">
        <f>"3160600422538"</f>
        <v>0</v>
      </c>
      <c r="F5494" t="str">
        <f>"001040"</f>
        <v>0</v>
      </c>
      <c r="G5494" t="s">
        <v>21</v>
      </c>
    </row>
    <row r="5495" spans="1:7">
      <c r="A5495">
        <v>5494</v>
      </c>
      <c r="B5495" t="str">
        <f>"020153"</f>
        <v>0</v>
      </c>
      <c r="C5495" t="s">
        <v>86</v>
      </c>
      <c r="D5495" t="s">
        <v>8911</v>
      </c>
      <c r="E5495" t="str">
        <f>"3100600205383"</f>
        <v>0</v>
      </c>
      <c r="F5495" t="str">
        <f>"001040"</f>
        <v>0</v>
      </c>
      <c r="G5495" t="s">
        <v>21</v>
      </c>
    </row>
    <row r="5496" spans="1:7">
      <c r="A5496">
        <v>5495</v>
      </c>
      <c r="B5496" t="str">
        <f>"020155"</f>
        <v>0</v>
      </c>
      <c r="C5496" t="s">
        <v>2216</v>
      </c>
      <c r="D5496" t="s">
        <v>8912</v>
      </c>
      <c r="E5496" t="str">
        <f>"3100203283485"</f>
        <v>0</v>
      </c>
      <c r="F5496" t="str">
        <f>"001040"</f>
        <v>0</v>
      </c>
      <c r="G5496" t="s">
        <v>21</v>
      </c>
    </row>
    <row r="5497" spans="1:7">
      <c r="A5497">
        <v>5496</v>
      </c>
      <c r="B5497" t="str">
        <f>"020184"</f>
        <v>0</v>
      </c>
      <c r="C5497" t="s">
        <v>8913</v>
      </c>
      <c r="D5497" t="s">
        <v>8911</v>
      </c>
      <c r="E5497" t="str">
        <f>"3100903907449"</f>
        <v>0</v>
      </c>
      <c r="F5497" t="str">
        <f>"001040"</f>
        <v>0</v>
      </c>
      <c r="G5497" t="s">
        <v>21</v>
      </c>
    </row>
    <row r="5498" spans="1:7">
      <c r="A5498">
        <v>5497</v>
      </c>
      <c r="B5498" t="str">
        <f>"020367"</f>
        <v>0</v>
      </c>
      <c r="C5498" t="s">
        <v>3552</v>
      </c>
      <c r="D5498" t="s">
        <v>1059</v>
      </c>
      <c r="E5498" t="str">
        <f>"3580400153904"</f>
        <v>0</v>
      </c>
      <c r="F5498" t="str">
        <f>"001040"</f>
        <v>0</v>
      </c>
      <c r="G5498" t="s">
        <v>21</v>
      </c>
    </row>
    <row r="5499" spans="1:7">
      <c r="A5499">
        <v>5498</v>
      </c>
      <c r="B5499" t="str">
        <f>"021046"</f>
        <v>0</v>
      </c>
      <c r="C5499" t="s">
        <v>8914</v>
      </c>
      <c r="D5499" t="s">
        <v>4608</v>
      </c>
      <c r="E5499" t="str">
        <f>"3120101819637"</f>
        <v>0</v>
      </c>
      <c r="F5499" t="str">
        <f>"001040"</f>
        <v>0</v>
      </c>
      <c r="G5499" t="s">
        <v>21</v>
      </c>
    </row>
    <row r="5500" spans="1:7">
      <c r="A5500">
        <v>5499</v>
      </c>
      <c r="B5500" t="str">
        <f>"021346"</f>
        <v>0</v>
      </c>
      <c r="C5500" t="s">
        <v>8915</v>
      </c>
      <c r="D5500" t="s">
        <v>3923</v>
      </c>
      <c r="E5500" t="str">
        <f>"3100503744062"</f>
        <v>0</v>
      </c>
      <c r="F5500" t="str">
        <f>"001040"</f>
        <v>0</v>
      </c>
      <c r="G5500" t="s">
        <v>21</v>
      </c>
    </row>
    <row r="5501" spans="1:7">
      <c r="A5501">
        <v>5500</v>
      </c>
      <c r="B5501" t="str">
        <f>"021423"</f>
        <v>0</v>
      </c>
      <c r="C5501" t="s">
        <v>8916</v>
      </c>
      <c r="D5501" t="s">
        <v>8917</v>
      </c>
      <c r="E5501" t="str">
        <f>"3130100148666"</f>
        <v>0</v>
      </c>
      <c r="F5501" t="str">
        <f>"001040"</f>
        <v>0</v>
      </c>
      <c r="G5501" t="s">
        <v>21</v>
      </c>
    </row>
    <row r="5502" spans="1:7">
      <c r="A5502">
        <v>5501</v>
      </c>
      <c r="B5502" t="str">
        <f>"022145"</f>
        <v>0</v>
      </c>
      <c r="C5502" t="s">
        <v>8918</v>
      </c>
      <c r="D5502" t="s">
        <v>8919</v>
      </c>
      <c r="E5502" t="str">
        <f>"3139900055504"</f>
        <v>0</v>
      </c>
      <c r="F5502" t="str">
        <f>"001040"</f>
        <v>0</v>
      </c>
      <c r="G5502" t="s">
        <v>21</v>
      </c>
    </row>
    <row r="5503" spans="1:7">
      <c r="A5503">
        <v>5502</v>
      </c>
      <c r="B5503" t="str">
        <f>"022678"</f>
        <v>0</v>
      </c>
      <c r="C5503" t="s">
        <v>126</v>
      </c>
      <c r="D5503" t="s">
        <v>8920</v>
      </c>
      <c r="E5503" t="str">
        <f>"3909800930953"</f>
        <v>0</v>
      </c>
      <c r="F5503" t="str">
        <f>"001040"</f>
        <v>0</v>
      </c>
      <c r="G5503" t="s">
        <v>21</v>
      </c>
    </row>
    <row r="5504" spans="1:7">
      <c r="A5504">
        <v>5503</v>
      </c>
      <c r="B5504" t="str">
        <f>"023940"</f>
        <v>0</v>
      </c>
      <c r="C5504" t="s">
        <v>8921</v>
      </c>
      <c r="D5504" t="s">
        <v>8917</v>
      </c>
      <c r="E5504" t="str">
        <f>"3130100148739"</f>
        <v>0</v>
      </c>
      <c r="F5504" t="str">
        <f>"001040"</f>
        <v>0</v>
      </c>
      <c r="G5504" t="s">
        <v>21</v>
      </c>
    </row>
    <row r="5505" spans="1:7">
      <c r="A5505">
        <v>5504</v>
      </c>
      <c r="B5505" t="str">
        <f>"024183"</f>
        <v>0</v>
      </c>
      <c r="C5505" t="s">
        <v>8922</v>
      </c>
      <c r="D5505" t="s">
        <v>8923</v>
      </c>
      <c r="E5505" t="str">
        <f>"3130300237158"</f>
        <v>0</v>
      </c>
      <c r="F5505" t="str">
        <f>"001040"</f>
        <v>0</v>
      </c>
      <c r="G5505" t="s">
        <v>21</v>
      </c>
    </row>
    <row r="5506" spans="1:7">
      <c r="A5506">
        <v>5505</v>
      </c>
      <c r="B5506" t="str">
        <f>"027035"</f>
        <v>0</v>
      </c>
      <c r="C5506" t="s">
        <v>36</v>
      </c>
      <c r="D5506" t="s">
        <v>8924</v>
      </c>
      <c r="E5506" t="str">
        <f>"3100500260455"</f>
        <v>0</v>
      </c>
      <c r="F5506" t="str">
        <f>"001040"</f>
        <v>0</v>
      </c>
      <c r="G5506" t="s">
        <v>21</v>
      </c>
    </row>
    <row r="5507" spans="1:7">
      <c r="A5507">
        <v>5506</v>
      </c>
      <c r="B5507" t="str">
        <f>"003840"</f>
        <v>0</v>
      </c>
      <c r="C5507" t="s">
        <v>160</v>
      </c>
      <c r="D5507" t="s">
        <v>8925</v>
      </c>
      <c r="E5507" t="str">
        <f>"3130600042395"</f>
        <v>0</v>
      </c>
      <c r="F5507" t="str">
        <f>"001040"</f>
        <v>0</v>
      </c>
      <c r="G5507" t="s">
        <v>21</v>
      </c>
    </row>
    <row r="5508" spans="1:7">
      <c r="A5508">
        <v>5507</v>
      </c>
      <c r="B5508" t="str">
        <f>"005586"</f>
        <v>0</v>
      </c>
      <c r="C5508" t="s">
        <v>8926</v>
      </c>
      <c r="D5508" t="s">
        <v>8927</v>
      </c>
      <c r="E5508" t="str">
        <f>"3160500385762"</f>
        <v>0</v>
      </c>
      <c r="F5508" t="str">
        <f>"001040"</f>
        <v>0</v>
      </c>
      <c r="G5508" t="s">
        <v>21</v>
      </c>
    </row>
    <row r="5509" spans="1:7">
      <c r="A5509">
        <v>5508</v>
      </c>
      <c r="B5509" t="str">
        <f>"007485"</f>
        <v>0</v>
      </c>
      <c r="C5509" t="s">
        <v>8928</v>
      </c>
      <c r="D5509" t="s">
        <v>8929</v>
      </c>
      <c r="E5509" t="str">
        <f>"3130600044673"</f>
        <v>0</v>
      </c>
      <c r="F5509" t="str">
        <f>"001040"</f>
        <v>0</v>
      </c>
      <c r="G5509" t="s">
        <v>21</v>
      </c>
    </row>
    <row r="5510" spans="1:7">
      <c r="A5510">
        <v>5509</v>
      </c>
      <c r="B5510" t="str">
        <f>"009959"</f>
        <v>0</v>
      </c>
      <c r="C5510" t="s">
        <v>8930</v>
      </c>
      <c r="D5510" t="s">
        <v>8931</v>
      </c>
      <c r="E5510" t="str">
        <f>"3120100667736"</f>
        <v>0</v>
      </c>
      <c r="F5510" t="str">
        <f>"001040"</f>
        <v>0</v>
      </c>
      <c r="G5510" t="s">
        <v>21</v>
      </c>
    </row>
    <row r="5511" spans="1:7">
      <c r="A5511">
        <v>5510</v>
      </c>
      <c r="B5511" t="str">
        <f>"011128"</f>
        <v>0</v>
      </c>
      <c r="C5511" t="s">
        <v>1645</v>
      </c>
      <c r="D5511" t="s">
        <v>8932</v>
      </c>
      <c r="E5511" t="str">
        <f>"3120101771839"</f>
        <v>0</v>
      </c>
      <c r="F5511" t="str">
        <f>"001040"</f>
        <v>0</v>
      </c>
      <c r="G5511" t="s">
        <v>21</v>
      </c>
    </row>
    <row r="5512" spans="1:7">
      <c r="A5512">
        <v>5511</v>
      </c>
      <c r="B5512" t="str">
        <f>"012321"</f>
        <v>0</v>
      </c>
      <c r="C5512" t="s">
        <v>6842</v>
      </c>
      <c r="D5512" t="s">
        <v>922</v>
      </c>
      <c r="E5512" t="str">
        <f>"3180500450106"</f>
        <v>0</v>
      </c>
      <c r="F5512" t="str">
        <f>"001040"</f>
        <v>0</v>
      </c>
      <c r="G5512" t="s">
        <v>21</v>
      </c>
    </row>
    <row r="5513" spans="1:7">
      <c r="A5513">
        <v>5512</v>
      </c>
      <c r="B5513" t="str">
        <f>"014124"</f>
        <v>0</v>
      </c>
      <c r="C5513" t="s">
        <v>4355</v>
      </c>
      <c r="D5513" t="s">
        <v>8933</v>
      </c>
      <c r="E5513" t="str">
        <f>"3110400301672"</f>
        <v>0</v>
      </c>
      <c r="F5513" t="str">
        <f>"001040"</f>
        <v>0</v>
      </c>
      <c r="G5513" t="s">
        <v>21</v>
      </c>
    </row>
    <row r="5514" spans="1:7">
      <c r="A5514">
        <v>5513</v>
      </c>
      <c r="B5514" t="str">
        <f>"014236"</f>
        <v>0</v>
      </c>
      <c r="C5514" t="s">
        <v>8934</v>
      </c>
      <c r="D5514" t="s">
        <v>8935</v>
      </c>
      <c r="E5514" t="str">
        <f>"3102101434290"</f>
        <v>0</v>
      </c>
      <c r="F5514" t="str">
        <f>"001040"</f>
        <v>0</v>
      </c>
      <c r="G5514" t="s">
        <v>21</v>
      </c>
    </row>
    <row r="5515" spans="1:7">
      <c r="A5515">
        <v>5514</v>
      </c>
      <c r="B5515" t="str">
        <f>"022990"</f>
        <v>0</v>
      </c>
      <c r="C5515" t="s">
        <v>5647</v>
      </c>
      <c r="D5515" t="s">
        <v>8936</v>
      </c>
      <c r="E5515" t="str">
        <f>"3350100168096"</f>
        <v>0</v>
      </c>
      <c r="F5515" t="str">
        <f>"001040"</f>
        <v>0</v>
      </c>
      <c r="G5515" t="s">
        <v>21</v>
      </c>
    </row>
    <row r="5516" spans="1:7">
      <c r="A5516">
        <v>5515</v>
      </c>
      <c r="B5516" t="str">
        <f>"006485"</f>
        <v>0</v>
      </c>
      <c r="C5516" t="s">
        <v>6840</v>
      </c>
      <c r="D5516" t="s">
        <v>8847</v>
      </c>
      <c r="E5516" t="str">
        <f>"3130100138865"</f>
        <v>0</v>
      </c>
      <c r="F5516" t="str">
        <f>"001040"</f>
        <v>0</v>
      </c>
      <c r="G5516" t="s">
        <v>21</v>
      </c>
    </row>
    <row r="5517" spans="1:7">
      <c r="A5517">
        <v>5516</v>
      </c>
      <c r="B5517" t="str">
        <f>"008819"</f>
        <v>0</v>
      </c>
      <c r="C5517" t="s">
        <v>8937</v>
      </c>
      <c r="D5517" t="s">
        <v>8938</v>
      </c>
      <c r="E5517" t="str">
        <f>"3100201146634"</f>
        <v>0</v>
      </c>
      <c r="F5517" t="str">
        <f>"001040"</f>
        <v>0</v>
      </c>
      <c r="G5517" t="s">
        <v>21</v>
      </c>
    </row>
    <row r="5518" spans="1:7">
      <c r="A5518">
        <v>5517</v>
      </c>
      <c r="B5518" t="str">
        <f>"016409"</f>
        <v>0</v>
      </c>
      <c r="C5518" t="s">
        <v>8939</v>
      </c>
      <c r="D5518" t="s">
        <v>8940</v>
      </c>
      <c r="E5518" t="str">
        <f>"3120101303509"</f>
        <v>0</v>
      </c>
      <c r="F5518" t="str">
        <f>"001040"</f>
        <v>0</v>
      </c>
      <c r="G5518" t="s">
        <v>21</v>
      </c>
    </row>
    <row r="5519" spans="1:7">
      <c r="A5519">
        <v>5518</v>
      </c>
      <c r="B5519" t="str">
        <f>"017430"</f>
        <v>0</v>
      </c>
      <c r="C5519" t="s">
        <v>837</v>
      </c>
      <c r="D5519" t="s">
        <v>8941</v>
      </c>
      <c r="E5519" t="str">
        <f>"3130300646201"</f>
        <v>0</v>
      </c>
      <c r="F5519" t="str">
        <f>"001040"</f>
        <v>0</v>
      </c>
      <c r="G5519" t="s">
        <v>21</v>
      </c>
    </row>
    <row r="5520" spans="1:7">
      <c r="A5520">
        <v>5519</v>
      </c>
      <c r="B5520" t="str">
        <f>"018282"</f>
        <v>0</v>
      </c>
      <c r="C5520" t="s">
        <v>8942</v>
      </c>
      <c r="D5520" t="s">
        <v>8943</v>
      </c>
      <c r="E5520" t="str">
        <f>"3479900203039"</f>
        <v>0</v>
      </c>
      <c r="F5520" t="str">
        <f>"001040"</f>
        <v>0</v>
      </c>
      <c r="G5520" t="s">
        <v>21</v>
      </c>
    </row>
    <row r="5521" spans="1:7">
      <c r="A5521">
        <v>5520</v>
      </c>
      <c r="B5521" t="str">
        <f>"021198"</f>
        <v>0</v>
      </c>
      <c r="C5521" t="s">
        <v>8944</v>
      </c>
      <c r="D5521" t="s">
        <v>8945</v>
      </c>
      <c r="E5521" t="str">
        <f>"3801600239720"</f>
        <v>0</v>
      </c>
      <c r="F5521" t="str">
        <f>"001040"</f>
        <v>0</v>
      </c>
      <c r="G5521" t="s">
        <v>21</v>
      </c>
    </row>
    <row r="5522" spans="1:7">
      <c r="A5522">
        <v>5521</v>
      </c>
      <c r="B5522" t="str">
        <f>"006493"</f>
        <v>0</v>
      </c>
      <c r="C5522" t="s">
        <v>160</v>
      </c>
      <c r="D5522" t="s">
        <v>8946</v>
      </c>
      <c r="E5522" t="str">
        <f>"3120100675526"</f>
        <v>0</v>
      </c>
      <c r="F5522" t="str">
        <f>"001040"</f>
        <v>0</v>
      </c>
      <c r="G5522" t="s">
        <v>21</v>
      </c>
    </row>
    <row r="5523" spans="1:7">
      <c r="A5523">
        <v>5522</v>
      </c>
      <c r="B5523" t="str">
        <f>"015599"</f>
        <v>0</v>
      </c>
      <c r="C5523" t="s">
        <v>8947</v>
      </c>
      <c r="D5523" t="s">
        <v>8948</v>
      </c>
      <c r="E5523" t="str">
        <f>"3130600040422"</f>
        <v>0</v>
      </c>
      <c r="F5523" t="str">
        <f>"001040"</f>
        <v>0</v>
      </c>
      <c r="G5523" t="s">
        <v>21</v>
      </c>
    </row>
    <row r="5524" spans="1:7">
      <c r="A5524">
        <v>5523</v>
      </c>
      <c r="B5524" t="str">
        <f>"018566"</f>
        <v>0</v>
      </c>
      <c r="C5524" t="s">
        <v>8949</v>
      </c>
      <c r="D5524" t="s">
        <v>8950</v>
      </c>
      <c r="E5524" t="str">
        <f>"3110100153066"</f>
        <v>0</v>
      </c>
      <c r="F5524" t="str">
        <f>"001040"</f>
        <v>0</v>
      </c>
      <c r="G5524" t="s">
        <v>21</v>
      </c>
    </row>
    <row r="5525" spans="1:7">
      <c r="A5525">
        <v>5524</v>
      </c>
      <c r="B5525" t="str">
        <f>"019856"</f>
        <v>0</v>
      </c>
      <c r="C5525" t="s">
        <v>56</v>
      </c>
      <c r="D5525" t="s">
        <v>8951</v>
      </c>
      <c r="E5525" t="str">
        <f>"3130300532338"</f>
        <v>0</v>
      </c>
      <c r="F5525" t="str">
        <f>"001040"</f>
        <v>0</v>
      </c>
      <c r="G5525" t="s">
        <v>21</v>
      </c>
    </row>
    <row r="5526" spans="1:7">
      <c r="A5526">
        <v>5525</v>
      </c>
      <c r="B5526" t="str">
        <f>"020598"</f>
        <v>0</v>
      </c>
      <c r="C5526" t="s">
        <v>8952</v>
      </c>
      <c r="D5526" t="s">
        <v>8953</v>
      </c>
      <c r="E5526" t="str">
        <f>"3199900212537"</f>
        <v>0</v>
      </c>
      <c r="F5526" t="str">
        <f>"001040"</f>
        <v>0</v>
      </c>
      <c r="G5526" t="s">
        <v>21</v>
      </c>
    </row>
    <row r="5527" spans="1:7">
      <c r="A5527">
        <v>5526</v>
      </c>
      <c r="B5527" t="str">
        <f>"022087"</f>
        <v>0</v>
      </c>
      <c r="C5527" t="s">
        <v>8954</v>
      </c>
      <c r="D5527" t="s">
        <v>6076</v>
      </c>
      <c r="E5527" t="str">
        <f>"3550800063279"</f>
        <v>0</v>
      </c>
      <c r="F5527" t="str">
        <f>"001040"</f>
        <v>0</v>
      </c>
      <c r="G5527" t="s">
        <v>21</v>
      </c>
    </row>
    <row r="5528" spans="1:7">
      <c r="A5528">
        <v>5527</v>
      </c>
      <c r="B5528" t="str">
        <f>"023021"</f>
        <v>0</v>
      </c>
      <c r="C5528" t="s">
        <v>8955</v>
      </c>
      <c r="D5528" t="s">
        <v>8956</v>
      </c>
      <c r="E5528" t="str">
        <f>"3140500202111"</f>
        <v>0</v>
      </c>
      <c r="F5528" t="str">
        <f>"001040"</f>
        <v>0</v>
      </c>
      <c r="G5528" t="s">
        <v>21</v>
      </c>
    </row>
    <row r="5529" spans="1:7">
      <c r="A5529">
        <v>5528</v>
      </c>
      <c r="B5529" t="str">
        <f>"004570"</f>
        <v>0</v>
      </c>
      <c r="C5529" t="s">
        <v>7724</v>
      </c>
      <c r="D5529" t="s">
        <v>244</v>
      </c>
      <c r="E5529" t="str">
        <f>"3101700279908"</f>
        <v>0</v>
      </c>
      <c r="F5529" t="str">
        <f>"001040"</f>
        <v>0</v>
      </c>
      <c r="G5529" t="s">
        <v>21</v>
      </c>
    </row>
    <row r="5530" spans="1:7">
      <c r="A5530">
        <v>5529</v>
      </c>
      <c r="B5530" t="str">
        <f>"011314"</f>
        <v>0</v>
      </c>
      <c r="C5530" t="s">
        <v>3518</v>
      </c>
      <c r="D5530" t="s">
        <v>300</v>
      </c>
      <c r="E5530" t="str">
        <f>"3130300286736"</f>
        <v>0</v>
      </c>
      <c r="F5530" t="str">
        <f>"001040"</f>
        <v>0</v>
      </c>
      <c r="G5530" t="s">
        <v>21</v>
      </c>
    </row>
    <row r="5531" spans="1:7">
      <c r="A5531">
        <v>5530</v>
      </c>
      <c r="B5531" t="str">
        <f>"024133"</f>
        <v>0</v>
      </c>
      <c r="C5531" t="s">
        <v>8957</v>
      </c>
      <c r="D5531" t="s">
        <v>8958</v>
      </c>
      <c r="E5531" t="str">
        <f>"3100503941992"</f>
        <v>0</v>
      </c>
      <c r="F5531" t="str">
        <f>"001040"</f>
        <v>0</v>
      </c>
      <c r="G5531" t="s">
        <v>21</v>
      </c>
    </row>
    <row r="5532" spans="1:7">
      <c r="A5532">
        <v>5531</v>
      </c>
      <c r="B5532" t="str">
        <f>"026505"</f>
        <v>0</v>
      </c>
      <c r="C5532" t="s">
        <v>8959</v>
      </c>
      <c r="D5532" t="s">
        <v>8960</v>
      </c>
      <c r="E5532" t="str">
        <f>"1103700948589"</f>
        <v>0</v>
      </c>
      <c r="F5532" t="str">
        <f>"001040"</f>
        <v>0</v>
      </c>
      <c r="G5532" t="s">
        <v>21</v>
      </c>
    </row>
    <row r="5533" spans="1:7">
      <c r="A5533">
        <v>5532</v>
      </c>
      <c r="B5533" t="str">
        <f>"011329"</f>
        <v>0</v>
      </c>
      <c r="C5533" t="s">
        <v>4039</v>
      </c>
      <c r="D5533" t="s">
        <v>2660</v>
      </c>
      <c r="E5533" t="str">
        <f>"3170100124422"</f>
        <v>0</v>
      </c>
      <c r="F5533" t="str">
        <f>"001040"</f>
        <v>0</v>
      </c>
      <c r="G5533" t="s">
        <v>21</v>
      </c>
    </row>
    <row r="5534" spans="1:7">
      <c r="A5534">
        <v>5533</v>
      </c>
      <c r="B5534" t="str">
        <f>"024499"</f>
        <v>0</v>
      </c>
      <c r="C5534" t="s">
        <v>8961</v>
      </c>
      <c r="D5534" t="s">
        <v>8962</v>
      </c>
      <c r="E5534" t="str">
        <f>"3101600136668"</f>
        <v>0</v>
      </c>
      <c r="F5534" t="str">
        <f>"001040"</f>
        <v>0</v>
      </c>
      <c r="G5534" t="s">
        <v>21</v>
      </c>
    </row>
    <row r="5535" spans="1:7">
      <c r="A5535">
        <v>5534</v>
      </c>
      <c r="B5535" t="str">
        <f>"010325"</f>
        <v>0</v>
      </c>
      <c r="C5535" t="s">
        <v>5236</v>
      </c>
      <c r="D5535" t="s">
        <v>8963</v>
      </c>
      <c r="E5535" t="str">
        <f>"3130200353962"</f>
        <v>0</v>
      </c>
      <c r="F5535" t="str">
        <f>"001040"</f>
        <v>0</v>
      </c>
      <c r="G5535" t="s">
        <v>21</v>
      </c>
    </row>
    <row r="5536" spans="1:7">
      <c r="A5536">
        <v>5535</v>
      </c>
      <c r="B5536" t="str">
        <f>"011377"</f>
        <v>0</v>
      </c>
      <c r="C5536" t="s">
        <v>8964</v>
      </c>
      <c r="D5536" t="s">
        <v>8965</v>
      </c>
      <c r="E5536" t="str">
        <f>"3140200288265"</f>
        <v>0</v>
      </c>
      <c r="F5536" t="str">
        <f>"001040"</f>
        <v>0</v>
      </c>
      <c r="G5536" t="s">
        <v>21</v>
      </c>
    </row>
    <row r="5537" spans="1:7">
      <c r="A5537">
        <v>5536</v>
      </c>
      <c r="B5537" t="str">
        <f>"012919"</f>
        <v>0</v>
      </c>
      <c r="C5537" t="s">
        <v>2232</v>
      </c>
      <c r="D5537" t="s">
        <v>8966</v>
      </c>
      <c r="E5537" t="str">
        <f>"3550100776370"</f>
        <v>0</v>
      </c>
      <c r="F5537" t="str">
        <f>"001040"</f>
        <v>0</v>
      </c>
      <c r="G5537" t="s">
        <v>21</v>
      </c>
    </row>
    <row r="5538" spans="1:7">
      <c r="A5538">
        <v>5537</v>
      </c>
      <c r="B5538" t="str">
        <f>"013833"</f>
        <v>0</v>
      </c>
      <c r="C5538" t="s">
        <v>6375</v>
      </c>
      <c r="D5538" t="s">
        <v>4098</v>
      </c>
      <c r="E5538" t="str">
        <f>"3102000270682"</f>
        <v>0</v>
      </c>
      <c r="F5538" t="str">
        <f>"001040"</f>
        <v>0</v>
      </c>
      <c r="G5538" t="s">
        <v>21</v>
      </c>
    </row>
    <row r="5539" spans="1:7">
      <c r="A5539">
        <v>5538</v>
      </c>
      <c r="B5539" t="str">
        <f>"014088"</f>
        <v>0</v>
      </c>
      <c r="C5539" t="s">
        <v>8967</v>
      </c>
      <c r="D5539" t="s">
        <v>4848</v>
      </c>
      <c r="E5539" t="str">
        <f>"3180500605380"</f>
        <v>0</v>
      </c>
      <c r="F5539" t="str">
        <f>"001040"</f>
        <v>0</v>
      </c>
      <c r="G5539" t="s">
        <v>21</v>
      </c>
    </row>
    <row r="5540" spans="1:7">
      <c r="A5540">
        <v>5539</v>
      </c>
      <c r="B5540" t="str">
        <f>"019609"</f>
        <v>0</v>
      </c>
      <c r="C5540" t="s">
        <v>3894</v>
      </c>
      <c r="D5540" t="s">
        <v>8968</v>
      </c>
      <c r="E5540" t="str">
        <f>"3900700642796"</f>
        <v>0</v>
      </c>
      <c r="F5540" t="str">
        <f>"001040"</f>
        <v>0</v>
      </c>
      <c r="G5540" t="s">
        <v>21</v>
      </c>
    </row>
    <row r="5541" spans="1:7">
      <c r="A5541">
        <v>5540</v>
      </c>
      <c r="B5541" t="str">
        <f>"020301"</f>
        <v>0</v>
      </c>
      <c r="C5541" t="s">
        <v>8969</v>
      </c>
      <c r="D5541" t="s">
        <v>8970</v>
      </c>
      <c r="E5541" t="str">
        <f>"3130200356708"</f>
        <v>0</v>
      </c>
      <c r="F5541" t="str">
        <f>"001040"</f>
        <v>0</v>
      </c>
      <c r="G5541" t="s">
        <v>21</v>
      </c>
    </row>
    <row r="5542" spans="1:7">
      <c r="A5542">
        <v>5541</v>
      </c>
      <c r="B5542" t="str">
        <f>"020319"</f>
        <v>0</v>
      </c>
      <c r="C5542" t="s">
        <v>8971</v>
      </c>
      <c r="D5542" t="s">
        <v>8972</v>
      </c>
      <c r="E5542" t="str">
        <f>"3860100300381"</f>
        <v>0</v>
      </c>
      <c r="F5542" t="str">
        <f>"001040"</f>
        <v>0</v>
      </c>
      <c r="G5542" t="s">
        <v>21</v>
      </c>
    </row>
    <row r="5543" spans="1:7">
      <c r="A5543">
        <v>5542</v>
      </c>
      <c r="B5543" t="str">
        <f>"020902"</f>
        <v>0</v>
      </c>
      <c r="C5543" t="s">
        <v>8973</v>
      </c>
      <c r="D5543" t="s">
        <v>8974</v>
      </c>
      <c r="E5543" t="str">
        <f>"3130500097449"</f>
        <v>0</v>
      </c>
      <c r="F5543" t="str">
        <f>"001040"</f>
        <v>0</v>
      </c>
      <c r="G5543" t="s">
        <v>21</v>
      </c>
    </row>
    <row r="5544" spans="1:7">
      <c r="A5544">
        <v>5543</v>
      </c>
      <c r="B5544" t="str">
        <f>"021117"</f>
        <v>0</v>
      </c>
      <c r="C5544" t="s">
        <v>8975</v>
      </c>
      <c r="D5544" t="s">
        <v>8976</v>
      </c>
      <c r="E5544" t="str">
        <f>"5101799029018"</f>
        <v>0</v>
      </c>
      <c r="F5544" t="str">
        <f>"001040"</f>
        <v>0</v>
      </c>
      <c r="G5544" t="s">
        <v>21</v>
      </c>
    </row>
    <row r="5545" spans="1:7">
      <c r="A5545">
        <v>5544</v>
      </c>
      <c r="B5545" t="str">
        <f>"021760"</f>
        <v>0</v>
      </c>
      <c r="C5545" t="s">
        <v>8977</v>
      </c>
      <c r="D5545" t="s">
        <v>8978</v>
      </c>
      <c r="E5545" t="str">
        <f>"3341500182828"</f>
        <v>0</v>
      </c>
      <c r="F5545" t="str">
        <f>"001040"</f>
        <v>0</v>
      </c>
      <c r="G5545" t="s">
        <v>21</v>
      </c>
    </row>
    <row r="5546" spans="1:7">
      <c r="A5546">
        <v>5545</v>
      </c>
      <c r="B5546" t="str">
        <f>"022488"</f>
        <v>0</v>
      </c>
      <c r="C5546" t="s">
        <v>8979</v>
      </c>
      <c r="D5546" t="s">
        <v>8980</v>
      </c>
      <c r="E5546" t="str">
        <f>"5340700009939"</f>
        <v>0</v>
      </c>
      <c r="F5546" t="str">
        <f>"001040"</f>
        <v>0</v>
      </c>
      <c r="G5546" t="s">
        <v>21</v>
      </c>
    </row>
    <row r="5547" spans="1:7">
      <c r="A5547">
        <v>5546</v>
      </c>
      <c r="B5547" t="str">
        <f>"022534"</f>
        <v>0</v>
      </c>
      <c r="C5547" t="s">
        <v>8981</v>
      </c>
      <c r="D5547" t="s">
        <v>8982</v>
      </c>
      <c r="E5547" t="str">
        <f>"3770500054574"</f>
        <v>0</v>
      </c>
      <c r="F5547" t="str">
        <f>"001040"</f>
        <v>0</v>
      </c>
      <c r="G5547" t="s">
        <v>21</v>
      </c>
    </row>
    <row r="5548" spans="1:7">
      <c r="A5548">
        <v>5547</v>
      </c>
      <c r="B5548" t="str">
        <f>"022646"</f>
        <v>0</v>
      </c>
      <c r="C5548" t="s">
        <v>8983</v>
      </c>
      <c r="D5548" t="s">
        <v>8984</v>
      </c>
      <c r="E5548" t="str">
        <f>"1100500105429"</f>
        <v>0</v>
      </c>
      <c r="F5548" t="str">
        <f>"001040"</f>
        <v>0</v>
      </c>
      <c r="G5548" t="s">
        <v>21</v>
      </c>
    </row>
    <row r="5549" spans="1:7">
      <c r="A5549">
        <v>5548</v>
      </c>
      <c r="B5549" t="str">
        <f>"022663"</f>
        <v>0</v>
      </c>
      <c r="C5549" t="s">
        <v>5643</v>
      </c>
      <c r="D5549" t="s">
        <v>8985</v>
      </c>
      <c r="E5549" t="str">
        <f>"3130300150982"</f>
        <v>0</v>
      </c>
      <c r="F5549" t="str">
        <f>"001040"</f>
        <v>0</v>
      </c>
      <c r="G5549" t="s">
        <v>21</v>
      </c>
    </row>
    <row r="5550" spans="1:7">
      <c r="A5550">
        <v>5549</v>
      </c>
      <c r="B5550" t="str">
        <f>"023298"</f>
        <v>0</v>
      </c>
      <c r="C5550" t="s">
        <v>6559</v>
      </c>
      <c r="D5550" t="s">
        <v>8986</v>
      </c>
      <c r="E5550" t="str">
        <f>"3130500272976"</f>
        <v>0</v>
      </c>
      <c r="F5550" t="str">
        <f>"001040"</f>
        <v>0</v>
      </c>
      <c r="G5550" t="s">
        <v>21</v>
      </c>
    </row>
    <row r="5551" spans="1:7">
      <c r="A5551">
        <v>5550</v>
      </c>
      <c r="B5551" t="str">
        <f>"023407"</f>
        <v>0</v>
      </c>
      <c r="C5551" t="s">
        <v>8987</v>
      </c>
      <c r="D5551" t="s">
        <v>8988</v>
      </c>
      <c r="E5551" t="str">
        <f>"3170400058697"</f>
        <v>0</v>
      </c>
      <c r="F5551" t="str">
        <f>"001040"</f>
        <v>0</v>
      </c>
      <c r="G5551" t="s">
        <v>21</v>
      </c>
    </row>
    <row r="5552" spans="1:7">
      <c r="A5552">
        <v>5551</v>
      </c>
      <c r="B5552" t="str">
        <f>"024100"</f>
        <v>0</v>
      </c>
      <c r="C5552" t="s">
        <v>8989</v>
      </c>
      <c r="D5552" t="s">
        <v>8990</v>
      </c>
      <c r="E5552" t="str">
        <f>"1101500192349"</f>
        <v>0</v>
      </c>
      <c r="F5552" t="str">
        <f>"001040"</f>
        <v>0</v>
      </c>
      <c r="G5552" t="s">
        <v>21</v>
      </c>
    </row>
    <row r="5553" spans="1:7">
      <c r="A5553">
        <v>5552</v>
      </c>
      <c r="B5553" t="str">
        <f>"024500"</f>
        <v>0</v>
      </c>
      <c r="C5553" t="s">
        <v>8991</v>
      </c>
      <c r="D5553" t="s">
        <v>8992</v>
      </c>
      <c r="E5553" t="str">
        <f>"3130200515814"</f>
        <v>0</v>
      </c>
      <c r="F5553" t="str">
        <f>"001040"</f>
        <v>0</v>
      </c>
      <c r="G5553" t="s">
        <v>21</v>
      </c>
    </row>
    <row r="5554" spans="1:7">
      <c r="A5554">
        <v>5553</v>
      </c>
      <c r="B5554" t="str">
        <f>"024800"</f>
        <v>0</v>
      </c>
      <c r="C5554" t="s">
        <v>606</v>
      </c>
      <c r="D5554" t="s">
        <v>8993</v>
      </c>
      <c r="E5554" t="str">
        <f>"3130400070620"</f>
        <v>0</v>
      </c>
      <c r="F5554" t="str">
        <f>"001040"</f>
        <v>0</v>
      </c>
      <c r="G5554" t="s">
        <v>21</v>
      </c>
    </row>
    <row r="5555" spans="1:7">
      <c r="A5555">
        <v>5554</v>
      </c>
      <c r="B5555" t="str">
        <f>"024812"</f>
        <v>0</v>
      </c>
      <c r="C5555" t="s">
        <v>8994</v>
      </c>
      <c r="D5555" t="s">
        <v>8995</v>
      </c>
      <c r="E5555" t="str">
        <f>"1120600032024"</f>
        <v>0</v>
      </c>
      <c r="F5555" t="str">
        <f>"001040"</f>
        <v>0</v>
      </c>
      <c r="G5555" t="s">
        <v>21</v>
      </c>
    </row>
    <row r="5556" spans="1:7">
      <c r="A5556">
        <v>5555</v>
      </c>
      <c r="B5556" t="str">
        <f>"025616"</f>
        <v>0</v>
      </c>
      <c r="C5556" t="s">
        <v>8996</v>
      </c>
      <c r="D5556" t="s">
        <v>8997</v>
      </c>
      <c r="E5556" t="str">
        <f>"2510100001302"</f>
        <v>0</v>
      </c>
      <c r="F5556" t="str">
        <f>"001040"</f>
        <v>0</v>
      </c>
      <c r="G5556" t="s">
        <v>21</v>
      </c>
    </row>
    <row r="5557" spans="1:7">
      <c r="A5557">
        <v>5556</v>
      </c>
      <c r="B5557" t="str">
        <f>"026005"</f>
        <v>0</v>
      </c>
      <c r="C5557" t="s">
        <v>8281</v>
      </c>
      <c r="D5557" t="s">
        <v>8998</v>
      </c>
      <c r="E5557" t="str">
        <f>"1199900043976"</f>
        <v>0</v>
      </c>
      <c r="F5557" t="str">
        <f>"001040"</f>
        <v>0</v>
      </c>
      <c r="G5557" t="s">
        <v>21</v>
      </c>
    </row>
    <row r="5558" spans="1:7">
      <c r="A5558">
        <v>5557</v>
      </c>
      <c r="B5558" t="str">
        <f>"012344"</f>
        <v>0</v>
      </c>
      <c r="C5558" t="s">
        <v>8999</v>
      </c>
      <c r="D5558" t="s">
        <v>9000</v>
      </c>
      <c r="E5558" t="str">
        <f>"3141200004152"</f>
        <v>0</v>
      </c>
      <c r="F5558" t="str">
        <f>"001040"</f>
        <v>0</v>
      </c>
      <c r="G5558" t="s">
        <v>21</v>
      </c>
    </row>
    <row r="5559" spans="1:7">
      <c r="A5559">
        <v>5558</v>
      </c>
      <c r="B5559" t="str">
        <f>"022981"</f>
        <v>0</v>
      </c>
      <c r="C5559" t="s">
        <v>9001</v>
      </c>
      <c r="D5559" t="s">
        <v>5668</v>
      </c>
      <c r="E5559" t="str">
        <f>"1159900026095"</f>
        <v>0</v>
      </c>
      <c r="F5559" t="str">
        <f>"001040"</f>
        <v>0</v>
      </c>
      <c r="G5559" t="s">
        <v>21</v>
      </c>
    </row>
    <row r="5560" spans="1:7">
      <c r="A5560">
        <v>5559</v>
      </c>
      <c r="B5560" t="str">
        <f>"017246"</f>
        <v>0</v>
      </c>
      <c r="C5560" t="s">
        <v>2331</v>
      </c>
      <c r="D5560" t="s">
        <v>9002</v>
      </c>
      <c r="E5560" t="str">
        <f>"3800100148457"</f>
        <v>0</v>
      </c>
      <c r="F5560" t="str">
        <f>"001040"</f>
        <v>0</v>
      </c>
      <c r="G5560" t="s">
        <v>21</v>
      </c>
    </row>
    <row r="5561" spans="1:7">
      <c r="A5561">
        <v>5560</v>
      </c>
      <c r="B5561" t="str">
        <f>"027478"</f>
        <v>0</v>
      </c>
      <c r="C5561" t="s">
        <v>8809</v>
      </c>
      <c r="D5561" t="s">
        <v>9003</v>
      </c>
      <c r="E5561" t="str">
        <f>"3730100731153"</f>
        <v>0</v>
      </c>
      <c r="F5561" t="str">
        <f>"001040"</f>
        <v>0</v>
      </c>
      <c r="G5561" t="s">
        <v>21</v>
      </c>
    </row>
    <row r="5562" spans="1:7">
      <c r="A5562">
        <v>5561</v>
      </c>
      <c r="B5562" t="str">
        <f>"024240"</f>
        <v>0</v>
      </c>
      <c r="C5562" t="s">
        <v>9004</v>
      </c>
      <c r="D5562" t="s">
        <v>9005</v>
      </c>
      <c r="E5562" t="str">
        <f>"1309800103479"</f>
        <v>0</v>
      </c>
      <c r="F5562" t="str">
        <f>"001040"</f>
        <v>0</v>
      </c>
      <c r="G5562" t="s">
        <v>21</v>
      </c>
    </row>
    <row r="5563" spans="1:7">
      <c r="A5563">
        <v>5562</v>
      </c>
      <c r="B5563" t="str">
        <f>"023846"</f>
        <v>0</v>
      </c>
      <c r="C5563" t="s">
        <v>9006</v>
      </c>
      <c r="D5563" t="s">
        <v>9007</v>
      </c>
      <c r="E5563" t="str">
        <f>"1529900075190"</f>
        <v>0</v>
      </c>
      <c r="F5563" t="str">
        <f>"001040"</f>
        <v>0</v>
      </c>
      <c r="G5563" t="s">
        <v>21</v>
      </c>
    </row>
    <row r="5564" spans="1:7">
      <c r="A5564">
        <v>5563</v>
      </c>
      <c r="B5564" t="str">
        <f>"023566"</f>
        <v>0</v>
      </c>
      <c r="C5564" t="s">
        <v>9008</v>
      </c>
      <c r="D5564" t="s">
        <v>9009</v>
      </c>
      <c r="E5564" t="str">
        <f>"1539900157668"</f>
        <v>0</v>
      </c>
      <c r="F5564" t="str">
        <f>"001040"</f>
        <v>0</v>
      </c>
      <c r="G5564" t="s">
        <v>21</v>
      </c>
    </row>
    <row r="5565" spans="1:7">
      <c r="A5565">
        <v>5564</v>
      </c>
      <c r="B5565" t="str">
        <f>"018919"</f>
        <v>0</v>
      </c>
      <c r="C5565" t="s">
        <v>6463</v>
      </c>
      <c r="D5565" t="s">
        <v>9010</v>
      </c>
      <c r="E5565" t="str">
        <f>"3620100443426"</f>
        <v>0</v>
      </c>
      <c r="F5565" t="str">
        <f>"001040"</f>
        <v>0</v>
      </c>
      <c r="G5565" t="s">
        <v>21</v>
      </c>
    </row>
    <row r="5566" spans="1:7">
      <c r="A5566">
        <v>5565</v>
      </c>
      <c r="B5566" t="str">
        <f>"025502"</f>
        <v>0</v>
      </c>
      <c r="C5566" t="s">
        <v>9011</v>
      </c>
      <c r="D5566" t="s">
        <v>9012</v>
      </c>
      <c r="E5566" t="str">
        <f>"3600800357239"</f>
        <v>0</v>
      </c>
      <c r="F5566" t="str">
        <f>"001040"</f>
        <v>0</v>
      </c>
      <c r="G5566" t="s">
        <v>21</v>
      </c>
    </row>
    <row r="5567" spans="1:7">
      <c r="A5567">
        <v>5566</v>
      </c>
      <c r="B5567" t="str">
        <f>"026998"</f>
        <v>0</v>
      </c>
      <c r="C5567" t="s">
        <v>9013</v>
      </c>
      <c r="D5567" t="s">
        <v>9014</v>
      </c>
      <c r="E5567" t="str">
        <f>"1670500204376"</f>
        <v>0</v>
      </c>
      <c r="F5567" t="str">
        <f>"001040"</f>
        <v>0</v>
      </c>
      <c r="G5567" t="s">
        <v>21</v>
      </c>
    </row>
    <row r="5568" spans="1:7">
      <c r="A5568">
        <v>5567</v>
      </c>
      <c r="B5568" t="str">
        <f>"025615"</f>
        <v>0</v>
      </c>
      <c r="C5568" t="s">
        <v>9015</v>
      </c>
      <c r="D5568" t="s">
        <v>9016</v>
      </c>
      <c r="E5568" t="str">
        <f>"1709900492261"</f>
        <v>0</v>
      </c>
      <c r="F5568" t="str">
        <f>"001040"</f>
        <v>0</v>
      </c>
      <c r="G5568" t="s">
        <v>21</v>
      </c>
    </row>
    <row r="5569" spans="1:7">
      <c r="A5569">
        <v>5568</v>
      </c>
      <c r="B5569" t="str">
        <f>"026361"</f>
        <v>0</v>
      </c>
      <c r="C5569" t="s">
        <v>9017</v>
      </c>
      <c r="D5569" t="s">
        <v>9018</v>
      </c>
      <c r="E5569" t="str">
        <f>"1709900062380"</f>
        <v>0</v>
      </c>
      <c r="F5569" t="str">
        <f>"001040"</f>
        <v>0</v>
      </c>
      <c r="G5569" t="s">
        <v>21</v>
      </c>
    </row>
    <row r="5570" spans="1:7">
      <c r="A5570">
        <v>5569</v>
      </c>
      <c r="B5570" t="str">
        <f>"024802"</f>
        <v>0</v>
      </c>
      <c r="C5570" t="s">
        <v>9019</v>
      </c>
      <c r="D5570" t="s">
        <v>9020</v>
      </c>
      <c r="E5570" t="str">
        <f>"5730500002988"</f>
        <v>0</v>
      </c>
      <c r="F5570" t="str">
        <f>"001040"</f>
        <v>0</v>
      </c>
      <c r="G5570" t="s">
        <v>21</v>
      </c>
    </row>
    <row r="5571" spans="1:7">
      <c r="A5571">
        <v>5570</v>
      </c>
      <c r="B5571" t="str">
        <f>"026362"</f>
        <v>0</v>
      </c>
      <c r="C5571" t="s">
        <v>1346</v>
      </c>
      <c r="D5571" t="s">
        <v>9021</v>
      </c>
      <c r="E5571" t="str">
        <f>"1320500174381"</f>
        <v>0</v>
      </c>
      <c r="F5571" t="str">
        <f>"001040"</f>
        <v>0</v>
      </c>
      <c r="G5571" t="s">
        <v>21</v>
      </c>
    </row>
    <row r="5572" spans="1:7">
      <c r="A5572">
        <v>5571</v>
      </c>
      <c r="B5572" t="str">
        <f>"025436"</f>
        <v>0</v>
      </c>
      <c r="C5572" t="s">
        <v>9022</v>
      </c>
      <c r="D5572" t="s">
        <v>9023</v>
      </c>
      <c r="E5572" t="str">
        <f>"3740100537870"</f>
        <v>0</v>
      </c>
      <c r="F5572" t="str">
        <f>"001040"</f>
        <v>0</v>
      </c>
      <c r="G5572" t="s">
        <v>21</v>
      </c>
    </row>
    <row r="5573" spans="1:7">
      <c r="A5573">
        <v>5572</v>
      </c>
      <c r="B5573" t="str">
        <f>"025043"</f>
        <v>0</v>
      </c>
      <c r="C5573" t="s">
        <v>9024</v>
      </c>
      <c r="D5573" t="s">
        <v>9025</v>
      </c>
      <c r="E5573" t="str">
        <f>"1919900070984"</f>
        <v>0</v>
      </c>
      <c r="F5573" t="str">
        <f>"001040"</f>
        <v>0</v>
      </c>
      <c r="G5573" t="s">
        <v>21</v>
      </c>
    </row>
    <row r="5574" spans="1:7">
      <c r="A5574">
        <v>5573</v>
      </c>
      <c r="B5574" t="str">
        <f>"027551"</f>
        <v>0</v>
      </c>
      <c r="C5574" t="s">
        <v>160</v>
      </c>
      <c r="D5574" t="s">
        <v>9026</v>
      </c>
      <c r="E5574" t="str">
        <f>"1840700011880"</f>
        <v>0</v>
      </c>
      <c r="F5574" t="str">
        <f>"001040"</f>
        <v>0</v>
      </c>
      <c r="G5574" t="s">
        <v>21</v>
      </c>
    </row>
    <row r="5575" spans="1:7">
      <c r="A5575">
        <v>5574</v>
      </c>
      <c r="B5575" t="str">
        <f>"001687"</f>
        <v>0</v>
      </c>
      <c r="C5575" t="s">
        <v>2232</v>
      </c>
      <c r="D5575" t="s">
        <v>9027</v>
      </c>
      <c r="E5575" t="str">
        <f>"3770300211811"</f>
        <v>0</v>
      </c>
      <c r="F5575" t="str">
        <f>"001050"</f>
        <v>0</v>
      </c>
      <c r="G5575" t="s">
        <v>21</v>
      </c>
    </row>
    <row r="5576" spans="1:7">
      <c r="A5576">
        <v>5575</v>
      </c>
      <c r="B5576" t="str">
        <f>"002081"</f>
        <v>0</v>
      </c>
      <c r="C5576" t="s">
        <v>4392</v>
      </c>
      <c r="D5576" t="s">
        <v>9028</v>
      </c>
      <c r="E5576" t="str">
        <f>"3739900144994"</f>
        <v>0</v>
      </c>
      <c r="F5576" t="str">
        <f>"001050"</f>
        <v>0</v>
      </c>
      <c r="G5576" t="s">
        <v>21</v>
      </c>
    </row>
    <row r="5577" spans="1:7">
      <c r="A5577">
        <v>5576</v>
      </c>
      <c r="B5577" t="str">
        <f>"002557"</f>
        <v>0</v>
      </c>
      <c r="C5577" t="s">
        <v>4771</v>
      </c>
      <c r="D5577" t="s">
        <v>9029</v>
      </c>
      <c r="E5577" t="str">
        <f>"3820600032539"</f>
        <v>0</v>
      </c>
      <c r="F5577" t="str">
        <f>"001050"</f>
        <v>0</v>
      </c>
      <c r="G5577" t="s">
        <v>21</v>
      </c>
    </row>
    <row r="5578" spans="1:7">
      <c r="A5578">
        <v>5577</v>
      </c>
      <c r="B5578" t="str">
        <f>"002558"</f>
        <v>0</v>
      </c>
      <c r="C5578" t="s">
        <v>6203</v>
      </c>
      <c r="D5578" t="s">
        <v>9030</v>
      </c>
      <c r="E5578" t="str">
        <f>"3770300158490"</f>
        <v>0</v>
      </c>
      <c r="F5578" t="str">
        <f>"001050"</f>
        <v>0</v>
      </c>
      <c r="G5578" t="s">
        <v>21</v>
      </c>
    </row>
    <row r="5579" spans="1:7">
      <c r="A5579">
        <v>5578</v>
      </c>
      <c r="B5579" t="str">
        <f>"002748"</f>
        <v>0</v>
      </c>
      <c r="C5579" t="s">
        <v>4903</v>
      </c>
      <c r="D5579" t="s">
        <v>9031</v>
      </c>
      <c r="E5579" t="str">
        <f>"3770100175439"</f>
        <v>0</v>
      </c>
      <c r="F5579" t="str">
        <f>"001050"</f>
        <v>0</v>
      </c>
      <c r="G5579" t="s">
        <v>21</v>
      </c>
    </row>
    <row r="5580" spans="1:7">
      <c r="A5580">
        <v>5579</v>
      </c>
      <c r="B5580" t="str">
        <f>"003570"</f>
        <v>0</v>
      </c>
      <c r="C5580" t="s">
        <v>9032</v>
      </c>
      <c r="D5580" t="s">
        <v>9033</v>
      </c>
      <c r="E5580" t="str">
        <f>"3769900356088"</f>
        <v>0</v>
      </c>
      <c r="F5580" t="str">
        <f>"001050"</f>
        <v>0</v>
      </c>
      <c r="G5580" t="s">
        <v>21</v>
      </c>
    </row>
    <row r="5581" spans="1:7">
      <c r="A5581">
        <v>5580</v>
      </c>
      <c r="B5581" t="str">
        <f>"005130"</f>
        <v>0</v>
      </c>
      <c r="C5581" t="s">
        <v>3572</v>
      </c>
      <c r="D5581" t="s">
        <v>9033</v>
      </c>
      <c r="E5581" t="str">
        <f>"3760200002439"</f>
        <v>0</v>
      </c>
      <c r="F5581" t="str">
        <f>"001050"</f>
        <v>0</v>
      </c>
      <c r="G5581" t="s">
        <v>21</v>
      </c>
    </row>
    <row r="5582" spans="1:7">
      <c r="A5582">
        <v>5581</v>
      </c>
      <c r="B5582" t="str">
        <f>"005850"</f>
        <v>0</v>
      </c>
      <c r="C5582" t="s">
        <v>9034</v>
      </c>
      <c r="D5582" t="s">
        <v>6275</v>
      </c>
      <c r="E5582" t="str">
        <f>"3779800039145"</f>
        <v>0</v>
      </c>
      <c r="F5582" t="str">
        <f>"001050"</f>
        <v>0</v>
      </c>
      <c r="G5582" t="s">
        <v>21</v>
      </c>
    </row>
    <row r="5583" spans="1:7">
      <c r="A5583">
        <v>5582</v>
      </c>
      <c r="B5583" t="str">
        <f>"006375"</f>
        <v>0</v>
      </c>
      <c r="C5583" t="s">
        <v>4602</v>
      </c>
      <c r="D5583" t="s">
        <v>9035</v>
      </c>
      <c r="E5583" t="str">
        <f>"3779800153959"</f>
        <v>0</v>
      </c>
      <c r="F5583" t="str">
        <f>"001050"</f>
        <v>0</v>
      </c>
      <c r="G5583" t="s">
        <v>21</v>
      </c>
    </row>
    <row r="5584" spans="1:7">
      <c r="A5584">
        <v>5583</v>
      </c>
      <c r="B5584" t="str">
        <f>"007245"</f>
        <v>0</v>
      </c>
      <c r="C5584" t="s">
        <v>2659</v>
      </c>
      <c r="D5584" t="s">
        <v>9036</v>
      </c>
      <c r="E5584" t="str">
        <f>"3411900503965"</f>
        <v>0</v>
      </c>
      <c r="F5584" t="str">
        <f>"001050"</f>
        <v>0</v>
      </c>
      <c r="G5584" t="s">
        <v>21</v>
      </c>
    </row>
    <row r="5585" spans="1:7">
      <c r="A5585">
        <v>5584</v>
      </c>
      <c r="B5585" t="str">
        <f>"008035"</f>
        <v>0</v>
      </c>
      <c r="C5585" t="s">
        <v>9037</v>
      </c>
      <c r="D5585" t="s">
        <v>9038</v>
      </c>
      <c r="E5585" t="str">
        <f>"3421000007112"</f>
        <v>0</v>
      </c>
      <c r="F5585" t="str">
        <f>"001050"</f>
        <v>0</v>
      </c>
      <c r="G5585" t="s">
        <v>21</v>
      </c>
    </row>
    <row r="5586" spans="1:7">
      <c r="A5586">
        <v>5585</v>
      </c>
      <c r="B5586" t="str">
        <f>"008288"</f>
        <v>0</v>
      </c>
      <c r="C5586" t="s">
        <v>9039</v>
      </c>
      <c r="D5586" t="s">
        <v>9040</v>
      </c>
      <c r="E5586" t="str">
        <f>"3709900219188"</f>
        <v>0</v>
      </c>
      <c r="F5586" t="str">
        <f>"001050"</f>
        <v>0</v>
      </c>
      <c r="G5586" t="s">
        <v>21</v>
      </c>
    </row>
    <row r="5587" spans="1:7">
      <c r="A5587">
        <v>5586</v>
      </c>
      <c r="B5587" t="str">
        <f>"008869"</f>
        <v>0</v>
      </c>
      <c r="C5587" t="s">
        <v>9041</v>
      </c>
      <c r="D5587" t="s">
        <v>9042</v>
      </c>
      <c r="E5587" t="str">
        <f>"3480800014694"</f>
        <v>0</v>
      </c>
      <c r="F5587" t="str">
        <f>"001050"</f>
        <v>0</v>
      </c>
      <c r="G5587" t="s">
        <v>21</v>
      </c>
    </row>
    <row r="5588" spans="1:7">
      <c r="A5588">
        <v>5587</v>
      </c>
      <c r="B5588" t="str">
        <f>"009741"</f>
        <v>0</v>
      </c>
      <c r="C5588" t="s">
        <v>435</v>
      </c>
      <c r="D5588" t="s">
        <v>9043</v>
      </c>
      <c r="E5588" t="str">
        <f>"3710600131651"</f>
        <v>0</v>
      </c>
      <c r="F5588" t="str">
        <f>"001050"</f>
        <v>0</v>
      </c>
      <c r="G5588" t="s">
        <v>21</v>
      </c>
    </row>
    <row r="5589" spans="1:7">
      <c r="A5589">
        <v>5588</v>
      </c>
      <c r="B5589" t="str">
        <f>"009757"</f>
        <v>0</v>
      </c>
      <c r="C5589" t="s">
        <v>2815</v>
      </c>
      <c r="D5589" t="s">
        <v>9044</v>
      </c>
      <c r="E5589" t="str">
        <f>"3770500032503"</f>
        <v>0</v>
      </c>
      <c r="F5589" t="str">
        <f>"001050"</f>
        <v>0</v>
      </c>
      <c r="G5589" t="s">
        <v>21</v>
      </c>
    </row>
    <row r="5590" spans="1:7">
      <c r="A5590">
        <v>5589</v>
      </c>
      <c r="B5590" t="str">
        <f>"010081"</f>
        <v>0</v>
      </c>
      <c r="C5590" t="s">
        <v>9045</v>
      </c>
      <c r="D5590" t="s">
        <v>9046</v>
      </c>
      <c r="E5590" t="str">
        <f>"3779900081496"</f>
        <v>0</v>
      </c>
      <c r="F5590" t="str">
        <f>"001050"</f>
        <v>0</v>
      </c>
      <c r="G5590" t="s">
        <v>21</v>
      </c>
    </row>
    <row r="5591" spans="1:7">
      <c r="A5591">
        <v>5590</v>
      </c>
      <c r="B5591" t="str">
        <f>"010231"</f>
        <v>0</v>
      </c>
      <c r="C5591" t="s">
        <v>3765</v>
      </c>
      <c r="D5591" t="s">
        <v>9047</v>
      </c>
      <c r="E5591" t="str">
        <f>"3770500034069"</f>
        <v>0</v>
      </c>
      <c r="F5591" t="str">
        <f>"001050"</f>
        <v>0</v>
      </c>
      <c r="G5591" t="s">
        <v>21</v>
      </c>
    </row>
    <row r="5592" spans="1:7">
      <c r="A5592">
        <v>5591</v>
      </c>
      <c r="B5592" t="str">
        <f>"010899"</f>
        <v>0</v>
      </c>
      <c r="C5592" t="s">
        <v>247</v>
      </c>
      <c r="D5592" t="s">
        <v>9048</v>
      </c>
      <c r="E5592" t="str">
        <f>"3710800009299"</f>
        <v>0</v>
      </c>
      <c r="F5592" t="str">
        <f>"001050"</f>
        <v>0</v>
      </c>
      <c r="G5592" t="s">
        <v>21</v>
      </c>
    </row>
    <row r="5593" spans="1:7">
      <c r="A5593">
        <v>5592</v>
      </c>
      <c r="B5593" t="str">
        <f>"011511"</f>
        <v>0</v>
      </c>
      <c r="C5593" t="s">
        <v>3534</v>
      </c>
      <c r="D5593" t="s">
        <v>9049</v>
      </c>
      <c r="E5593" t="str">
        <f>"3760400119518"</f>
        <v>0</v>
      </c>
      <c r="F5593" t="str">
        <f>"001050"</f>
        <v>0</v>
      </c>
      <c r="G5593" t="s">
        <v>21</v>
      </c>
    </row>
    <row r="5594" spans="1:7">
      <c r="A5594">
        <v>5593</v>
      </c>
      <c r="B5594" t="str">
        <f>"012427"</f>
        <v>0</v>
      </c>
      <c r="C5594" t="s">
        <v>9050</v>
      </c>
      <c r="D5594" t="s">
        <v>9051</v>
      </c>
      <c r="E5594" t="str">
        <f>"3860100431515"</f>
        <v>0</v>
      </c>
      <c r="F5594" t="str">
        <f>"001050"</f>
        <v>0</v>
      </c>
      <c r="G5594" t="s">
        <v>21</v>
      </c>
    </row>
    <row r="5595" spans="1:7">
      <c r="A5595">
        <v>5594</v>
      </c>
      <c r="B5595" t="str">
        <f>"012431"</f>
        <v>0</v>
      </c>
      <c r="C5595" t="s">
        <v>2232</v>
      </c>
      <c r="D5595" t="s">
        <v>9052</v>
      </c>
      <c r="E5595" t="str">
        <f>"3770600367256"</f>
        <v>0</v>
      </c>
      <c r="F5595" t="str">
        <f>"001050"</f>
        <v>0</v>
      </c>
      <c r="G5595" t="s">
        <v>21</v>
      </c>
    </row>
    <row r="5596" spans="1:7">
      <c r="A5596">
        <v>5595</v>
      </c>
      <c r="B5596" t="str">
        <f>"012723"</f>
        <v>0</v>
      </c>
      <c r="C5596" t="s">
        <v>6468</v>
      </c>
      <c r="D5596" t="s">
        <v>9053</v>
      </c>
      <c r="E5596" t="str">
        <f>"3770300025856"</f>
        <v>0</v>
      </c>
      <c r="F5596" t="str">
        <f>"001050"</f>
        <v>0</v>
      </c>
      <c r="G5596" t="s">
        <v>21</v>
      </c>
    </row>
    <row r="5597" spans="1:7">
      <c r="A5597">
        <v>5596</v>
      </c>
      <c r="B5597" t="str">
        <f>"013557"</f>
        <v>0</v>
      </c>
      <c r="C5597" t="s">
        <v>2371</v>
      </c>
      <c r="D5597" t="s">
        <v>9054</v>
      </c>
      <c r="E5597" t="str">
        <f>"5149999005969"</f>
        <v>0</v>
      </c>
      <c r="F5597" t="str">
        <f>"001050"</f>
        <v>0</v>
      </c>
      <c r="G5597" t="s">
        <v>21</v>
      </c>
    </row>
    <row r="5598" spans="1:7">
      <c r="A5598">
        <v>5597</v>
      </c>
      <c r="B5598" t="str">
        <f>"013854"</f>
        <v>0</v>
      </c>
      <c r="C5598" t="s">
        <v>4577</v>
      </c>
      <c r="D5598" t="s">
        <v>9055</v>
      </c>
      <c r="E5598" t="str">
        <f>"3770600209090"</f>
        <v>0</v>
      </c>
      <c r="F5598" t="str">
        <f>"001050"</f>
        <v>0</v>
      </c>
      <c r="G5598" t="s">
        <v>21</v>
      </c>
    </row>
    <row r="5599" spans="1:7">
      <c r="A5599">
        <v>5598</v>
      </c>
      <c r="B5599" t="str">
        <f>"015722"</f>
        <v>0</v>
      </c>
      <c r="C5599" t="s">
        <v>4352</v>
      </c>
      <c r="D5599" t="s">
        <v>9056</v>
      </c>
      <c r="E5599" t="str">
        <f>"3779900028935"</f>
        <v>0</v>
      </c>
      <c r="F5599" t="str">
        <f>"001050"</f>
        <v>0</v>
      </c>
      <c r="G5599" t="s">
        <v>21</v>
      </c>
    </row>
    <row r="5600" spans="1:7">
      <c r="A5600">
        <v>5599</v>
      </c>
      <c r="B5600" t="str">
        <f>"016517"</f>
        <v>0</v>
      </c>
      <c r="C5600" t="s">
        <v>9057</v>
      </c>
      <c r="D5600" t="s">
        <v>9058</v>
      </c>
      <c r="E5600" t="str">
        <f>"3770600841829"</f>
        <v>0</v>
      </c>
      <c r="F5600" t="str">
        <f>"001050"</f>
        <v>0</v>
      </c>
      <c r="G5600" t="s">
        <v>21</v>
      </c>
    </row>
    <row r="5601" spans="1:7">
      <c r="A5601">
        <v>5600</v>
      </c>
      <c r="B5601" t="str">
        <f>"017825"</f>
        <v>0</v>
      </c>
      <c r="C5601" t="s">
        <v>3620</v>
      </c>
      <c r="D5601" t="s">
        <v>9059</v>
      </c>
      <c r="E5601" t="str">
        <f>"3770300071416"</f>
        <v>0</v>
      </c>
      <c r="F5601" t="str">
        <f>"001050"</f>
        <v>0</v>
      </c>
      <c r="G5601" t="s">
        <v>21</v>
      </c>
    </row>
    <row r="5602" spans="1:7">
      <c r="A5602">
        <v>5601</v>
      </c>
      <c r="B5602" t="str">
        <f>"018587"</f>
        <v>0</v>
      </c>
      <c r="C5602" t="s">
        <v>4088</v>
      </c>
      <c r="D5602" t="s">
        <v>9060</v>
      </c>
      <c r="E5602" t="str">
        <f>"3770200248535"</f>
        <v>0</v>
      </c>
      <c r="F5602" t="str">
        <f>"001050"</f>
        <v>0</v>
      </c>
      <c r="G5602" t="s">
        <v>21</v>
      </c>
    </row>
    <row r="5603" spans="1:7">
      <c r="A5603">
        <v>5602</v>
      </c>
      <c r="B5603" t="str">
        <f>"018948"</f>
        <v>0</v>
      </c>
      <c r="C5603" t="s">
        <v>2262</v>
      </c>
      <c r="D5603" t="s">
        <v>9061</v>
      </c>
      <c r="E5603" t="str">
        <f>"3770100287202"</f>
        <v>0</v>
      </c>
      <c r="F5603" t="str">
        <f>"001050"</f>
        <v>0</v>
      </c>
      <c r="G5603" t="s">
        <v>21</v>
      </c>
    </row>
    <row r="5604" spans="1:7">
      <c r="A5604">
        <v>5603</v>
      </c>
      <c r="B5604" t="str">
        <f>"024442"</f>
        <v>0</v>
      </c>
      <c r="C5604" t="s">
        <v>9062</v>
      </c>
      <c r="D5604" t="s">
        <v>9063</v>
      </c>
      <c r="E5604" t="str">
        <f>"3770600387273"</f>
        <v>0</v>
      </c>
      <c r="F5604" t="str">
        <f>"001050"</f>
        <v>0</v>
      </c>
      <c r="G5604" t="s">
        <v>21</v>
      </c>
    </row>
    <row r="5605" spans="1:7">
      <c r="A5605">
        <v>5604</v>
      </c>
      <c r="B5605" t="str">
        <f>"020133"</f>
        <v>0</v>
      </c>
      <c r="C5605" t="s">
        <v>389</v>
      </c>
      <c r="D5605" t="s">
        <v>9064</v>
      </c>
      <c r="E5605" t="str">
        <f>"3779900138439"</f>
        <v>0</v>
      </c>
      <c r="F5605" t="str">
        <f>"001050"</f>
        <v>0</v>
      </c>
      <c r="G5605" t="s">
        <v>21</v>
      </c>
    </row>
    <row r="5606" spans="1:7">
      <c r="A5606">
        <v>5605</v>
      </c>
      <c r="B5606" t="str">
        <f>"005849"</f>
        <v>0</v>
      </c>
      <c r="C5606" t="s">
        <v>482</v>
      </c>
      <c r="D5606" t="s">
        <v>9065</v>
      </c>
      <c r="E5606" t="str">
        <f>"3770600512515"</f>
        <v>0</v>
      </c>
      <c r="F5606" t="str">
        <f>"001050"</f>
        <v>0</v>
      </c>
      <c r="G5606" t="s">
        <v>21</v>
      </c>
    </row>
    <row r="5607" spans="1:7">
      <c r="A5607">
        <v>5606</v>
      </c>
      <c r="B5607" t="str">
        <f>"023301"</f>
        <v>0</v>
      </c>
      <c r="C5607" t="s">
        <v>5061</v>
      </c>
      <c r="D5607" t="s">
        <v>9066</v>
      </c>
      <c r="E5607" t="str">
        <f>"1529900030030"</f>
        <v>0</v>
      </c>
      <c r="F5607" t="str">
        <f>"001050"</f>
        <v>0</v>
      </c>
      <c r="G5607" t="s">
        <v>21</v>
      </c>
    </row>
    <row r="5608" spans="1:7">
      <c r="A5608">
        <v>5607</v>
      </c>
      <c r="B5608" t="str">
        <f>"022244"</f>
        <v>0</v>
      </c>
      <c r="C5608" t="s">
        <v>9067</v>
      </c>
      <c r="D5608" t="s">
        <v>9068</v>
      </c>
      <c r="E5608" t="str">
        <f>"3700700916197"</f>
        <v>0</v>
      </c>
      <c r="F5608" t="str">
        <f>"001050"</f>
        <v>0</v>
      </c>
      <c r="G5608" t="s">
        <v>21</v>
      </c>
    </row>
    <row r="5609" spans="1:7">
      <c r="A5609">
        <v>5608</v>
      </c>
      <c r="B5609" t="str">
        <f>"022982"</f>
        <v>0</v>
      </c>
      <c r="C5609" t="s">
        <v>1771</v>
      </c>
      <c r="D5609" t="s">
        <v>9069</v>
      </c>
      <c r="E5609" t="str">
        <f>"1101400487746"</f>
        <v>0</v>
      </c>
      <c r="F5609" t="str">
        <f>"001050"</f>
        <v>0</v>
      </c>
      <c r="G5609" t="s">
        <v>21</v>
      </c>
    </row>
    <row r="5610" spans="1:7">
      <c r="A5610">
        <v>5609</v>
      </c>
      <c r="B5610" t="str">
        <f>"010017"</f>
        <v>0</v>
      </c>
      <c r="C5610" t="s">
        <v>9070</v>
      </c>
      <c r="D5610" t="s">
        <v>9071</v>
      </c>
      <c r="E5610" t="str">
        <f>"3760600388873"</f>
        <v>0</v>
      </c>
      <c r="F5610" t="str">
        <f>"001050"</f>
        <v>0</v>
      </c>
      <c r="G5610" t="s">
        <v>21</v>
      </c>
    </row>
    <row r="5611" spans="1:7">
      <c r="A5611">
        <v>5610</v>
      </c>
      <c r="B5611" t="str">
        <f>"016056"</f>
        <v>0</v>
      </c>
      <c r="C5611" t="s">
        <v>442</v>
      </c>
      <c r="D5611" t="s">
        <v>9072</v>
      </c>
      <c r="E5611" t="str">
        <f>"3800700108235"</f>
        <v>0</v>
      </c>
      <c r="F5611" t="str">
        <f>"001050"</f>
        <v>0</v>
      </c>
      <c r="G5611" t="s">
        <v>21</v>
      </c>
    </row>
    <row r="5612" spans="1:7">
      <c r="A5612">
        <v>5611</v>
      </c>
      <c r="B5612" t="str">
        <f>"027052"</f>
        <v>0</v>
      </c>
      <c r="C5612" t="s">
        <v>9073</v>
      </c>
      <c r="D5612" t="s">
        <v>9074</v>
      </c>
      <c r="E5612" t="str">
        <f>"2760400016231"</f>
        <v>0</v>
      </c>
      <c r="F5612" t="str">
        <f>"001050"</f>
        <v>0</v>
      </c>
      <c r="G5612" t="s">
        <v>21</v>
      </c>
    </row>
    <row r="5613" spans="1:7">
      <c r="A5613">
        <v>5612</v>
      </c>
      <c r="B5613" t="str">
        <f>"008316"</f>
        <v>0</v>
      </c>
      <c r="C5613" t="s">
        <v>1021</v>
      </c>
      <c r="D5613" t="s">
        <v>9075</v>
      </c>
      <c r="E5613" t="str">
        <f>"3770300290321"</f>
        <v>0</v>
      </c>
      <c r="F5613" t="str">
        <f>"001050"</f>
        <v>0</v>
      </c>
      <c r="G5613" t="s">
        <v>21</v>
      </c>
    </row>
    <row r="5614" spans="1:7">
      <c r="A5614">
        <v>5613</v>
      </c>
      <c r="B5614" t="str">
        <f>"013973"</f>
        <v>0</v>
      </c>
      <c r="C5614" t="s">
        <v>9076</v>
      </c>
      <c r="D5614" t="s">
        <v>9077</v>
      </c>
      <c r="E5614" t="str">
        <f>"3770100048704"</f>
        <v>0</v>
      </c>
      <c r="F5614" t="str">
        <f>"001050"</f>
        <v>0</v>
      </c>
      <c r="G5614" t="s">
        <v>21</v>
      </c>
    </row>
    <row r="5615" spans="1:7">
      <c r="A5615">
        <v>5614</v>
      </c>
      <c r="B5615" t="str">
        <f>"014033"</f>
        <v>0</v>
      </c>
      <c r="C5615" t="s">
        <v>2331</v>
      </c>
      <c r="D5615" t="s">
        <v>9078</v>
      </c>
      <c r="E5615" t="str">
        <f>"3770100027600"</f>
        <v>0</v>
      </c>
      <c r="F5615" t="str">
        <f>"001050"</f>
        <v>0</v>
      </c>
      <c r="G5615" t="s">
        <v>21</v>
      </c>
    </row>
    <row r="5616" spans="1:7">
      <c r="A5616">
        <v>5615</v>
      </c>
      <c r="B5616" t="str">
        <f>"015293"</f>
        <v>0</v>
      </c>
      <c r="C5616" t="s">
        <v>3424</v>
      </c>
      <c r="D5616" t="s">
        <v>9079</v>
      </c>
      <c r="E5616" t="str">
        <f>"3770200170617"</f>
        <v>0</v>
      </c>
      <c r="F5616" t="str">
        <f>"001050"</f>
        <v>0</v>
      </c>
      <c r="G5616" t="s">
        <v>21</v>
      </c>
    </row>
    <row r="5617" spans="1:7">
      <c r="A5617">
        <v>5616</v>
      </c>
      <c r="B5617" t="str">
        <f>"015884"</f>
        <v>0</v>
      </c>
      <c r="C5617" t="s">
        <v>887</v>
      </c>
      <c r="D5617" t="s">
        <v>7932</v>
      </c>
      <c r="E5617" t="str">
        <f>"3770400083645"</f>
        <v>0</v>
      </c>
      <c r="F5617" t="str">
        <f>"001050"</f>
        <v>0</v>
      </c>
      <c r="G5617" t="s">
        <v>21</v>
      </c>
    </row>
    <row r="5618" spans="1:7">
      <c r="A5618">
        <v>5617</v>
      </c>
      <c r="B5618" t="str">
        <f>"016094"</f>
        <v>0</v>
      </c>
      <c r="C5618" t="s">
        <v>2216</v>
      </c>
      <c r="D5618" t="s">
        <v>9080</v>
      </c>
      <c r="E5618" t="str">
        <f>"3860200248798"</f>
        <v>0</v>
      </c>
      <c r="F5618" t="str">
        <f>"001050"</f>
        <v>0</v>
      </c>
      <c r="G5618" t="s">
        <v>21</v>
      </c>
    </row>
    <row r="5619" spans="1:7">
      <c r="A5619">
        <v>5618</v>
      </c>
      <c r="B5619" t="str">
        <f>"016690"</f>
        <v>0</v>
      </c>
      <c r="C5619" t="s">
        <v>9081</v>
      </c>
      <c r="D5619" t="s">
        <v>9082</v>
      </c>
      <c r="E5619" t="str">
        <f>"3770200301894"</f>
        <v>0</v>
      </c>
      <c r="F5619" t="str">
        <f>"001050"</f>
        <v>0</v>
      </c>
      <c r="G5619" t="s">
        <v>21</v>
      </c>
    </row>
    <row r="5620" spans="1:7">
      <c r="A5620">
        <v>5619</v>
      </c>
      <c r="B5620" t="str">
        <f>"017475"</f>
        <v>0</v>
      </c>
      <c r="C5620" t="s">
        <v>9083</v>
      </c>
      <c r="D5620" t="s">
        <v>9084</v>
      </c>
      <c r="E5620" t="str">
        <f>"3770600308217"</f>
        <v>0</v>
      </c>
      <c r="F5620" t="str">
        <f>"001050"</f>
        <v>0</v>
      </c>
      <c r="G5620" t="s">
        <v>21</v>
      </c>
    </row>
    <row r="5621" spans="1:7">
      <c r="A5621">
        <v>5620</v>
      </c>
      <c r="B5621" t="str">
        <f>"018082"</f>
        <v>0</v>
      </c>
      <c r="C5621" t="s">
        <v>9085</v>
      </c>
      <c r="D5621" t="s">
        <v>5342</v>
      </c>
      <c r="E5621" t="str">
        <f>"5750299000685"</f>
        <v>0</v>
      </c>
      <c r="F5621" t="str">
        <f>"001050"</f>
        <v>0</v>
      </c>
      <c r="G5621" t="s">
        <v>21</v>
      </c>
    </row>
    <row r="5622" spans="1:7">
      <c r="A5622">
        <v>5621</v>
      </c>
      <c r="B5622" t="str">
        <f>"018399"</f>
        <v>0</v>
      </c>
      <c r="C5622" t="s">
        <v>9086</v>
      </c>
      <c r="D5622" t="s">
        <v>9087</v>
      </c>
      <c r="E5622" t="str">
        <f>"3930501058971"</f>
        <v>0</v>
      </c>
      <c r="F5622" t="str">
        <f>"001050"</f>
        <v>0</v>
      </c>
      <c r="G5622" t="s">
        <v>21</v>
      </c>
    </row>
    <row r="5623" spans="1:7">
      <c r="A5623">
        <v>5622</v>
      </c>
      <c r="B5623" t="str">
        <f>"018463"</f>
        <v>0</v>
      </c>
      <c r="C5623" t="s">
        <v>235</v>
      </c>
      <c r="D5623" t="s">
        <v>9088</v>
      </c>
      <c r="E5623" t="str">
        <f>"3779900046747"</f>
        <v>0</v>
      </c>
      <c r="F5623" t="str">
        <f>"001050"</f>
        <v>0</v>
      </c>
      <c r="G5623" t="s">
        <v>21</v>
      </c>
    </row>
    <row r="5624" spans="1:7">
      <c r="A5624">
        <v>5623</v>
      </c>
      <c r="B5624" t="str">
        <f>"018552"</f>
        <v>0</v>
      </c>
      <c r="C5624" t="s">
        <v>4903</v>
      </c>
      <c r="D5624" t="s">
        <v>9089</v>
      </c>
      <c r="E5624" t="str">
        <f>"3730200908021"</f>
        <v>0</v>
      </c>
      <c r="F5624" t="str">
        <f>"001050"</f>
        <v>0</v>
      </c>
      <c r="G5624" t="s">
        <v>21</v>
      </c>
    </row>
    <row r="5625" spans="1:7">
      <c r="A5625">
        <v>5624</v>
      </c>
      <c r="B5625" t="str">
        <f>"018588"</f>
        <v>0</v>
      </c>
      <c r="C5625" t="s">
        <v>9090</v>
      </c>
      <c r="D5625" t="s">
        <v>9091</v>
      </c>
      <c r="E5625" t="str">
        <f>"3770100076163"</f>
        <v>0</v>
      </c>
      <c r="F5625" t="str">
        <f>"001050"</f>
        <v>0</v>
      </c>
      <c r="G5625" t="s">
        <v>21</v>
      </c>
    </row>
    <row r="5626" spans="1:7">
      <c r="A5626">
        <v>5625</v>
      </c>
      <c r="B5626" t="str">
        <f>"018606"</f>
        <v>0</v>
      </c>
      <c r="C5626" t="s">
        <v>9092</v>
      </c>
      <c r="D5626" t="s">
        <v>9093</v>
      </c>
      <c r="E5626" t="str">
        <f>"3769900356908"</f>
        <v>0</v>
      </c>
      <c r="F5626" t="str">
        <f>"001050"</f>
        <v>0</v>
      </c>
      <c r="G5626" t="s">
        <v>21</v>
      </c>
    </row>
    <row r="5627" spans="1:7">
      <c r="A5627">
        <v>5626</v>
      </c>
      <c r="B5627" t="str">
        <f>"018647"</f>
        <v>0</v>
      </c>
      <c r="C5627" t="s">
        <v>9094</v>
      </c>
      <c r="D5627" t="s">
        <v>9095</v>
      </c>
      <c r="E5627" t="str">
        <f>"3841700153177"</f>
        <v>0</v>
      </c>
      <c r="F5627" t="str">
        <f>"001050"</f>
        <v>0</v>
      </c>
      <c r="G5627" t="s">
        <v>21</v>
      </c>
    </row>
    <row r="5628" spans="1:7">
      <c r="A5628">
        <v>5627</v>
      </c>
      <c r="B5628" t="str">
        <f>"018835"</f>
        <v>0</v>
      </c>
      <c r="C5628" t="s">
        <v>9096</v>
      </c>
      <c r="D5628" t="s">
        <v>9097</v>
      </c>
      <c r="E5628" t="str">
        <f>"3770100079693"</f>
        <v>0</v>
      </c>
      <c r="F5628" t="str">
        <f>"001050"</f>
        <v>0</v>
      </c>
      <c r="G5628" t="s">
        <v>21</v>
      </c>
    </row>
    <row r="5629" spans="1:7">
      <c r="A5629">
        <v>5628</v>
      </c>
      <c r="B5629" t="str">
        <f>"019281"</f>
        <v>0</v>
      </c>
      <c r="C5629" t="s">
        <v>3759</v>
      </c>
      <c r="D5629" t="s">
        <v>9098</v>
      </c>
      <c r="E5629" t="str">
        <f>"3230100031326"</f>
        <v>0</v>
      </c>
      <c r="F5629" t="str">
        <f>"001050"</f>
        <v>0</v>
      </c>
      <c r="G5629" t="s">
        <v>21</v>
      </c>
    </row>
    <row r="5630" spans="1:7">
      <c r="A5630">
        <v>5629</v>
      </c>
      <c r="B5630" t="str">
        <f>"019465"</f>
        <v>0</v>
      </c>
      <c r="C5630" t="s">
        <v>778</v>
      </c>
      <c r="D5630" t="s">
        <v>9099</v>
      </c>
      <c r="E5630" t="str">
        <f>"3760500913941"</f>
        <v>0</v>
      </c>
      <c r="F5630" t="str">
        <f>"001050"</f>
        <v>0</v>
      </c>
      <c r="G5630" t="s">
        <v>21</v>
      </c>
    </row>
    <row r="5631" spans="1:7">
      <c r="A5631">
        <v>5630</v>
      </c>
      <c r="B5631" t="str">
        <f>"019466"</f>
        <v>0</v>
      </c>
      <c r="C5631" t="s">
        <v>9100</v>
      </c>
      <c r="D5631" t="s">
        <v>9101</v>
      </c>
      <c r="E5631" t="str">
        <f>"3160100666888"</f>
        <v>0</v>
      </c>
      <c r="F5631" t="str">
        <f>"001050"</f>
        <v>0</v>
      </c>
      <c r="G5631" t="s">
        <v>21</v>
      </c>
    </row>
    <row r="5632" spans="1:7">
      <c r="A5632">
        <v>5631</v>
      </c>
      <c r="B5632" t="str">
        <f>"019468"</f>
        <v>0</v>
      </c>
      <c r="C5632" t="s">
        <v>9102</v>
      </c>
      <c r="D5632" t="s">
        <v>9064</v>
      </c>
      <c r="E5632" t="str">
        <f>"3779900138471"</f>
        <v>0</v>
      </c>
      <c r="F5632" t="str">
        <f>"001050"</f>
        <v>0</v>
      </c>
      <c r="G5632" t="s">
        <v>21</v>
      </c>
    </row>
    <row r="5633" spans="1:7">
      <c r="A5633">
        <v>5632</v>
      </c>
      <c r="B5633" t="str">
        <f>"020095"</f>
        <v>0</v>
      </c>
      <c r="C5633" t="s">
        <v>9103</v>
      </c>
      <c r="D5633" t="s">
        <v>9104</v>
      </c>
      <c r="E5633" t="str">
        <f>"3800900758136"</f>
        <v>0</v>
      </c>
      <c r="F5633" t="str">
        <f>"001050"</f>
        <v>0</v>
      </c>
      <c r="G5633" t="s">
        <v>21</v>
      </c>
    </row>
    <row r="5634" spans="1:7">
      <c r="A5634">
        <v>5633</v>
      </c>
      <c r="B5634" t="str">
        <f>"020156"</f>
        <v>0</v>
      </c>
      <c r="C5634" t="s">
        <v>9105</v>
      </c>
      <c r="D5634" t="s">
        <v>9106</v>
      </c>
      <c r="E5634" t="str">
        <f>"3102400747168"</f>
        <v>0</v>
      </c>
      <c r="F5634" t="str">
        <f>"001050"</f>
        <v>0</v>
      </c>
      <c r="G5634" t="s">
        <v>21</v>
      </c>
    </row>
    <row r="5635" spans="1:7">
      <c r="A5635">
        <v>5634</v>
      </c>
      <c r="B5635" t="str">
        <f>"020578"</f>
        <v>0</v>
      </c>
      <c r="C5635" t="s">
        <v>6770</v>
      </c>
      <c r="D5635" t="s">
        <v>9107</v>
      </c>
      <c r="E5635" t="str">
        <f>"3509900665074"</f>
        <v>0</v>
      </c>
      <c r="F5635" t="str">
        <f>"001050"</f>
        <v>0</v>
      </c>
      <c r="G5635" t="s">
        <v>21</v>
      </c>
    </row>
    <row r="5636" spans="1:7">
      <c r="A5636">
        <v>5635</v>
      </c>
      <c r="B5636" t="str">
        <f>"020758"</f>
        <v>0</v>
      </c>
      <c r="C5636" t="s">
        <v>9108</v>
      </c>
      <c r="D5636" t="s">
        <v>9109</v>
      </c>
      <c r="E5636" t="str">
        <f>"3770700044688"</f>
        <v>0</v>
      </c>
      <c r="F5636" t="str">
        <f>"001050"</f>
        <v>0</v>
      </c>
      <c r="G5636" t="s">
        <v>21</v>
      </c>
    </row>
    <row r="5637" spans="1:7">
      <c r="A5637">
        <v>5636</v>
      </c>
      <c r="B5637" t="str">
        <f>"021310"</f>
        <v>0</v>
      </c>
      <c r="C5637" t="s">
        <v>235</v>
      </c>
      <c r="D5637" t="s">
        <v>9110</v>
      </c>
      <c r="E5637" t="str">
        <f>"5501800002749"</f>
        <v>0</v>
      </c>
      <c r="F5637" t="str">
        <f>"001050"</f>
        <v>0</v>
      </c>
      <c r="G5637" t="s">
        <v>21</v>
      </c>
    </row>
    <row r="5638" spans="1:7">
      <c r="A5638">
        <v>5637</v>
      </c>
      <c r="B5638" t="str">
        <f>"021544"</f>
        <v>0</v>
      </c>
      <c r="C5638" t="s">
        <v>90</v>
      </c>
      <c r="D5638" t="s">
        <v>6151</v>
      </c>
      <c r="E5638" t="str">
        <f>"3770300025317"</f>
        <v>0</v>
      </c>
      <c r="F5638" t="str">
        <f>"001050"</f>
        <v>0</v>
      </c>
      <c r="G5638" t="s">
        <v>21</v>
      </c>
    </row>
    <row r="5639" spans="1:7">
      <c r="A5639">
        <v>5638</v>
      </c>
      <c r="B5639" t="str">
        <f>"021571"</f>
        <v>0</v>
      </c>
      <c r="C5639" t="s">
        <v>9111</v>
      </c>
      <c r="D5639" t="s">
        <v>9112</v>
      </c>
      <c r="E5639" t="str">
        <f>"3770200048722"</f>
        <v>0</v>
      </c>
      <c r="F5639" t="str">
        <f>"001050"</f>
        <v>0</v>
      </c>
      <c r="G5639" t="s">
        <v>21</v>
      </c>
    </row>
    <row r="5640" spans="1:7">
      <c r="A5640">
        <v>5639</v>
      </c>
      <c r="B5640" t="str">
        <f>"021664"</f>
        <v>0</v>
      </c>
      <c r="C5640" t="s">
        <v>9113</v>
      </c>
      <c r="D5640" t="s">
        <v>9114</v>
      </c>
      <c r="E5640" t="str">
        <f>"3770100048470"</f>
        <v>0</v>
      </c>
      <c r="F5640" t="str">
        <f>"001050"</f>
        <v>0</v>
      </c>
      <c r="G5640" t="s">
        <v>21</v>
      </c>
    </row>
    <row r="5641" spans="1:7">
      <c r="A5641">
        <v>5640</v>
      </c>
      <c r="B5641" t="str">
        <f>"021696"</f>
        <v>0</v>
      </c>
      <c r="C5641" t="s">
        <v>9115</v>
      </c>
      <c r="D5641" t="s">
        <v>9069</v>
      </c>
      <c r="E5641" t="str">
        <f>"3770600402868"</f>
        <v>0</v>
      </c>
      <c r="F5641" t="str">
        <f>"001050"</f>
        <v>0</v>
      </c>
      <c r="G5641" t="s">
        <v>21</v>
      </c>
    </row>
    <row r="5642" spans="1:7">
      <c r="A5642">
        <v>5641</v>
      </c>
      <c r="B5642" t="str">
        <f>"022479"</f>
        <v>0</v>
      </c>
      <c r="C5642" t="s">
        <v>9116</v>
      </c>
      <c r="D5642" t="s">
        <v>9117</v>
      </c>
      <c r="E5642" t="str">
        <f>"3770200220193"</f>
        <v>0</v>
      </c>
      <c r="F5642" t="str">
        <f>"001050"</f>
        <v>0</v>
      </c>
      <c r="G5642" t="s">
        <v>21</v>
      </c>
    </row>
    <row r="5643" spans="1:7">
      <c r="A5643">
        <v>5642</v>
      </c>
      <c r="B5643" t="str">
        <f>"023152"</f>
        <v>0</v>
      </c>
      <c r="C5643" t="s">
        <v>9118</v>
      </c>
      <c r="D5643" t="s">
        <v>9119</v>
      </c>
      <c r="E5643" t="str">
        <f>"5770500017667"</f>
        <v>0</v>
      </c>
      <c r="F5643" t="str">
        <f>"001050"</f>
        <v>0</v>
      </c>
      <c r="G5643" t="s">
        <v>21</v>
      </c>
    </row>
    <row r="5644" spans="1:7">
      <c r="A5644">
        <v>5643</v>
      </c>
      <c r="B5644" t="str">
        <f>"023287"</f>
        <v>0</v>
      </c>
      <c r="C5644" t="s">
        <v>9120</v>
      </c>
      <c r="D5644" t="s">
        <v>9121</v>
      </c>
      <c r="E5644" t="str">
        <f>"3860100780081"</f>
        <v>0</v>
      </c>
      <c r="F5644" t="str">
        <f>"001050"</f>
        <v>0</v>
      </c>
      <c r="G5644" t="s">
        <v>21</v>
      </c>
    </row>
    <row r="5645" spans="1:7">
      <c r="A5645">
        <v>5644</v>
      </c>
      <c r="B5645" t="str">
        <f>"023399"</f>
        <v>0</v>
      </c>
      <c r="C5645" t="s">
        <v>9122</v>
      </c>
      <c r="D5645" t="s">
        <v>9123</v>
      </c>
      <c r="E5645" t="str">
        <f>"1709900122005"</f>
        <v>0</v>
      </c>
      <c r="F5645" t="str">
        <f>"001050"</f>
        <v>0</v>
      </c>
      <c r="G5645" t="s">
        <v>21</v>
      </c>
    </row>
    <row r="5646" spans="1:7">
      <c r="A5646">
        <v>5645</v>
      </c>
      <c r="B5646" t="str">
        <f>"023847"</f>
        <v>0</v>
      </c>
      <c r="C5646" t="s">
        <v>9124</v>
      </c>
      <c r="D5646" t="s">
        <v>9125</v>
      </c>
      <c r="E5646" t="str">
        <f>"1770600103201"</f>
        <v>0</v>
      </c>
      <c r="F5646" t="str">
        <f>"001050"</f>
        <v>0</v>
      </c>
      <c r="G5646" t="s">
        <v>21</v>
      </c>
    </row>
    <row r="5647" spans="1:7">
      <c r="A5647">
        <v>5646</v>
      </c>
      <c r="B5647" t="str">
        <f>"024440"</f>
        <v>0</v>
      </c>
      <c r="C5647" t="s">
        <v>9126</v>
      </c>
      <c r="D5647" t="s">
        <v>9127</v>
      </c>
      <c r="E5647" t="str">
        <f>"1770100007769"</f>
        <v>0</v>
      </c>
      <c r="F5647" t="str">
        <f>"001050"</f>
        <v>0</v>
      </c>
      <c r="G5647" t="s">
        <v>21</v>
      </c>
    </row>
    <row r="5648" spans="1:7">
      <c r="A5648">
        <v>5647</v>
      </c>
      <c r="B5648" t="str">
        <f>"024501"</f>
        <v>0</v>
      </c>
      <c r="C5648" t="s">
        <v>9128</v>
      </c>
      <c r="D5648" t="s">
        <v>9129</v>
      </c>
      <c r="E5648" t="str">
        <f>"3770100522783"</f>
        <v>0</v>
      </c>
      <c r="F5648" t="str">
        <f>"001050"</f>
        <v>0</v>
      </c>
      <c r="G5648" t="s">
        <v>21</v>
      </c>
    </row>
    <row r="5649" spans="1:7">
      <c r="A5649">
        <v>5648</v>
      </c>
      <c r="B5649" t="str">
        <f>"024511"</f>
        <v>0</v>
      </c>
      <c r="C5649" t="s">
        <v>9130</v>
      </c>
      <c r="D5649" t="s">
        <v>9131</v>
      </c>
      <c r="E5649" t="str">
        <f>"1779900058382"</f>
        <v>0</v>
      </c>
      <c r="F5649" t="str">
        <f>"001050"</f>
        <v>0</v>
      </c>
      <c r="G5649" t="s">
        <v>21</v>
      </c>
    </row>
    <row r="5650" spans="1:7">
      <c r="A5650">
        <v>5649</v>
      </c>
      <c r="B5650" t="str">
        <f>"024751"</f>
        <v>0</v>
      </c>
      <c r="C5650" t="s">
        <v>9132</v>
      </c>
      <c r="D5650" t="s">
        <v>9133</v>
      </c>
      <c r="E5650" t="str">
        <f>"1779900063726"</f>
        <v>0</v>
      </c>
      <c r="F5650" t="str">
        <f>"001050"</f>
        <v>0</v>
      </c>
      <c r="G5650" t="s">
        <v>21</v>
      </c>
    </row>
    <row r="5651" spans="1:7">
      <c r="A5651">
        <v>5650</v>
      </c>
      <c r="B5651" t="str">
        <f>"025050"</f>
        <v>0</v>
      </c>
      <c r="C5651" t="s">
        <v>9134</v>
      </c>
      <c r="D5651" t="s">
        <v>9135</v>
      </c>
      <c r="E5651" t="str">
        <f>"3779800153941"</f>
        <v>0</v>
      </c>
      <c r="F5651" t="str">
        <f>"001050"</f>
        <v>0</v>
      </c>
      <c r="G5651" t="s">
        <v>21</v>
      </c>
    </row>
    <row r="5652" spans="1:7">
      <c r="A5652">
        <v>5651</v>
      </c>
      <c r="B5652" t="str">
        <f>"025116"</f>
        <v>0</v>
      </c>
      <c r="C5652" t="s">
        <v>9136</v>
      </c>
      <c r="D5652" t="s">
        <v>9137</v>
      </c>
      <c r="E5652" t="str">
        <f>"1770600086714"</f>
        <v>0</v>
      </c>
      <c r="F5652" t="str">
        <f>"001050"</f>
        <v>0</v>
      </c>
      <c r="G5652" t="s">
        <v>21</v>
      </c>
    </row>
    <row r="5653" spans="1:7">
      <c r="A5653">
        <v>5652</v>
      </c>
      <c r="B5653" t="str">
        <f>"025405"</f>
        <v>0</v>
      </c>
      <c r="C5653" t="s">
        <v>1577</v>
      </c>
      <c r="D5653" t="s">
        <v>9138</v>
      </c>
      <c r="E5653" t="str">
        <f>"1769900132400"</f>
        <v>0</v>
      </c>
      <c r="F5653" t="str">
        <f>"001050"</f>
        <v>0</v>
      </c>
      <c r="G5653" t="s">
        <v>21</v>
      </c>
    </row>
    <row r="5654" spans="1:7">
      <c r="A5654">
        <v>5653</v>
      </c>
      <c r="B5654" t="str">
        <f>"025437"</f>
        <v>0</v>
      </c>
      <c r="C5654" t="s">
        <v>9139</v>
      </c>
      <c r="D5654" t="s">
        <v>9140</v>
      </c>
      <c r="E5654" t="str">
        <f>"1770600019260"</f>
        <v>0</v>
      </c>
      <c r="F5654" t="str">
        <f>"001050"</f>
        <v>0</v>
      </c>
      <c r="G5654" t="s">
        <v>21</v>
      </c>
    </row>
    <row r="5655" spans="1:7">
      <c r="A5655">
        <v>5654</v>
      </c>
      <c r="B5655" t="str">
        <f>"025536"</f>
        <v>0</v>
      </c>
      <c r="C5655" t="s">
        <v>9141</v>
      </c>
      <c r="D5655" t="s">
        <v>9142</v>
      </c>
      <c r="E5655" t="str">
        <f>"5770200002761"</f>
        <v>0</v>
      </c>
      <c r="F5655" t="str">
        <f>"001050"</f>
        <v>0</v>
      </c>
      <c r="G5655" t="s">
        <v>21</v>
      </c>
    </row>
    <row r="5656" spans="1:7">
      <c r="A5656">
        <v>5655</v>
      </c>
      <c r="B5656" t="str">
        <f>"026003"</f>
        <v>0</v>
      </c>
      <c r="C5656" t="s">
        <v>7459</v>
      </c>
      <c r="D5656" t="s">
        <v>9143</v>
      </c>
      <c r="E5656" t="str">
        <f>"1779900095521"</f>
        <v>0</v>
      </c>
      <c r="F5656" t="str">
        <f>"001050"</f>
        <v>0</v>
      </c>
      <c r="G5656" t="s">
        <v>21</v>
      </c>
    </row>
    <row r="5657" spans="1:7">
      <c r="A5657">
        <v>5656</v>
      </c>
      <c r="B5657" t="str">
        <f>"026728"</f>
        <v>0</v>
      </c>
      <c r="C5657" t="s">
        <v>9144</v>
      </c>
      <c r="D5657" t="s">
        <v>9145</v>
      </c>
      <c r="E5657" t="str">
        <f>"1770500048934"</f>
        <v>0</v>
      </c>
      <c r="F5657" t="str">
        <f>"001050"</f>
        <v>0</v>
      </c>
      <c r="G5657" t="s">
        <v>21</v>
      </c>
    </row>
    <row r="5658" spans="1:7">
      <c r="A5658">
        <v>5657</v>
      </c>
      <c r="B5658" t="str">
        <f>"027375"</f>
        <v>0</v>
      </c>
      <c r="C5658" t="s">
        <v>9146</v>
      </c>
      <c r="D5658" t="s">
        <v>9147</v>
      </c>
      <c r="E5658" t="str">
        <f>"3730500337321"</f>
        <v>0</v>
      </c>
      <c r="F5658" t="str">
        <f>"001050"</f>
        <v>0</v>
      </c>
      <c r="G5658" t="s">
        <v>21</v>
      </c>
    </row>
    <row r="5659" spans="1:7">
      <c r="A5659">
        <v>5658</v>
      </c>
      <c r="B5659" t="str">
        <f>"027376"</f>
        <v>0</v>
      </c>
      <c r="C5659" t="s">
        <v>3842</v>
      </c>
      <c r="D5659" t="s">
        <v>9148</v>
      </c>
      <c r="E5659" t="str">
        <f>"1770400153141"</f>
        <v>0</v>
      </c>
      <c r="F5659" t="str">
        <f>"001050"</f>
        <v>0</v>
      </c>
      <c r="G5659" t="s">
        <v>21</v>
      </c>
    </row>
    <row r="5660" spans="1:7">
      <c r="A5660">
        <v>5659</v>
      </c>
      <c r="B5660" t="str">
        <f>"025284"</f>
        <v>0</v>
      </c>
      <c r="C5660" t="s">
        <v>9149</v>
      </c>
      <c r="D5660" t="s">
        <v>9150</v>
      </c>
      <c r="E5660" t="str">
        <f>"2860700019056"</f>
        <v>0</v>
      </c>
      <c r="F5660" t="str">
        <f>"001050"</f>
        <v>0</v>
      </c>
      <c r="G5660" t="s">
        <v>21</v>
      </c>
    </row>
    <row r="5661" spans="1:7">
      <c r="A5661">
        <v>5660</v>
      </c>
      <c r="B5661" t="str">
        <f>"002344"</f>
        <v>0</v>
      </c>
      <c r="C5661" t="s">
        <v>1021</v>
      </c>
      <c r="D5661" t="s">
        <v>9151</v>
      </c>
      <c r="E5661" t="str">
        <f>"3250700035926"</f>
        <v>0</v>
      </c>
      <c r="F5661" t="str">
        <f>"001070"</f>
        <v>0</v>
      </c>
      <c r="G5661" t="s">
        <v>21</v>
      </c>
    </row>
    <row r="5662" spans="1:7">
      <c r="A5662">
        <v>5661</v>
      </c>
      <c r="B5662" t="str">
        <f>"002415"</f>
        <v>0</v>
      </c>
      <c r="C5662" t="s">
        <v>9152</v>
      </c>
      <c r="D5662" t="s">
        <v>3199</v>
      </c>
      <c r="E5662" t="str">
        <f>"3250600013793"</f>
        <v>0</v>
      </c>
      <c r="F5662" t="str">
        <f>"001070"</f>
        <v>0</v>
      </c>
      <c r="G5662" t="s">
        <v>21</v>
      </c>
    </row>
    <row r="5663" spans="1:7">
      <c r="A5663">
        <v>5662</v>
      </c>
      <c r="B5663" t="str">
        <f>"002988"</f>
        <v>0</v>
      </c>
      <c r="C5663" t="s">
        <v>1819</v>
      </c>
      <c r="D5663" t="s">
        <v>9153</v>
      </c>
      <c r="E5663" t="str">
        <f>"3250700022573"</f>
        <v>0</v>
      </c>
      <c r="F5663" t="str">
        <f>"001070"</f>
        <v>0</v>
      </c>
      <c r="G5663" t="s">
        <v>21</v>
      </c>
    </row>
    <row r="5664" spans="1:7">
      <c r="A5664">
        <v>5663</v>
      </c>
      <c r="B5664" t="str">
        <f>"005107"</f>
        <v>0</v>
      </c>
      <c r="C5664" t="s">
        <v>3212</v>
      </c>
      <c r="D5664" t="s">
        <v>9154</v>
      </c>
      <c r="E5664" t="str">
        <f>"3250100715071"</f>
        <v>0</v>
      </c>
      <c r="F5664" t="str">
        <f>"001070"</f>
        <v>0</v>
      </c>
      <c r="G5664" t="s">
        <v>21</v>
      </c>
    </row>
    <row r="5665" spans="1:7">
      <c r="A5665">
        <v>5664</v>
      </c>
      <c r="B5665" t="str">
        <f>"005639"</f>
        <v>0</v>
      </c>
      <c r="C5665" t="s">
        <v>9155</v>
      </c>
      <c r="D5665" t="s">
        <v>9156</v>
      </c>
      <c r="E5665" t="str">
        <f>"3259900113601"</f>
        <v>0</v>
      </c>
      <c r="F5665" t="str">
        <f>"001070"</f>
        <v>0</v>
      </c>
      <c r="G5665" t="s">
        <v>21</v>
      </c>
    </row>
    <row r="5666" spans="1:7">
      <c r="A5666">
        <v>5665</v>
      </c>
      <c r="B5666" t="str">
        <f>"006079"</f>
        <v>0</v>
      </c>
      <c r="C5666" t="s">
        <v>4795</v>
      </c>
      <c r="D5666" t="s">
        <v>9157</v>
      </c>
      <c r="E5666" t="str">
        <f>"3259800025947"</f>
        <v>0</v>
      </c>
      <c r="F5666" t="str">
        <f>"001070"</f>
        <v>0</v>
      </c>
      <c r="G5666" t="s">
        <v>21</v>
      </c>
    </row>
    <row r="5667" spans="1:7">
      <c r="A5667">
        <v>5666</v>
      </c>
      <c r="B5667" t="str">
        <f>"006080"</f>
        <v>0</v>
      </c>
      <c r="C5667" t="s">
        <v>6192</v>
      </c>
      <c r="D5667" t="s">
        <v>9158</v>
      </c>
      <c r="E5667" t="str">
        <f>"3250300406226"</f>
        <v>0</v>
      </c>
      <c r="F5667" t="str">
        <f>"001070"</f>
        <v>0</v>
      </c>
      <c r="G5667" t="s">
        <v>21</v>
      </c>
    </row>
    <row r="5668" spans="1:7">
      <c r="A5668">
        <v>5667</v>
      </c>
      <c r="B5668" t="str">
        <f>"006911"</f>
        <v>0</v>
      </c>
      <c r="C5668" t="s">
        <v>5015</v>
      </c>
      <c r="D5668" t="s">
        <v>9159</v>
      </c>
      <c r="E5668" t="str">
        <f>"3249900206455"</f>
        <v>0</v>
      </c>
      <c r="F5668" t="str">
        <f>"001070"</f>
        <v>0</v>
      </c>
      <c r="G5668" t="s">
        <v>21</v>
      </c>
    </row>
    <row r="5669" spans="1:7">
      <c r="A5669">
        <v>5668</v>
      </c>
      <c r="B5669" t="str">
        <f>"007277"</f>
        <v>0</v>
      </c>
      <c r="C5669" t="s">
        <v>887</v>
      </c>
      <c r="D5669" t="s">
        <v>9160</v>
      </c>
      <c r="E5669" t="str">
        <f>"3200900562873"</f>
        <v>0</v>
      </c>
      <c r="F5669" t="str">
        <f>"001070"</f>
        <v>0</v>
      </c>
      <c r="G5669" t="s">
        <v>21</v>
      </c>
    </row>
    <row r="5670" spans="1:7">
      <c r="A5670">
        <v>5669</v>
      </c>
      <c r="B5670" t="str">
        <f>"007284"</f>
        <v>0</v>
      </c>
      <c r="C5670" t="s">
        <v>460</v>
      </c>
      <c r="D5670" t="s">
        <v>2810</v>
      </c>
      <c r="E5670" t="str">
        <f>"3250100162854"</f>
        <v>0</v>
      </c>
      <c r="F5670" t="str">
        <f>"001070"</f>
        <v>0</v>
      </c>
      <c r="G5670" t="s">
        <v>21</v>
      </c>
    </row>
    <row r="5671" spans="1:7">
      <c r="A5671">
        <v>5670</v>
      </c>
      <c r="B5671" t="str">
        <f>"007807"</f>
        <v>0</v>
      </c>
      <c r="C5671" t="s">
        <v>9161</v>
      </c>
      <c r="D5671" t="s">
        <v>9162</v>
      </c>
      <c r="E5671" t="str">
        <f>"3320800022345"</f>
        <v>0</v>
      </c>
      <c r="F5671" t="str">
        <f>"001070"</f>
        <v>0</v>
      </c>
      <c r="G5671" t="s">
        <v>21</v>
      </c>
    </row>
    <row r="5672" spans="1:7">
      <c r="A5672">
        <v>5671</v>
      </c>
      <c r="B5672" t="str">
        <f>"007841"</f>
        <v>0</v>
      </c>
      <c r="C5672" t="s">
        <v>9163</v>
      </c>
      <c r="D5672" t="s">
        <v>9164</v>
      </c>
      <c r="E5672" t="str">
        <f>"3259900186284"</f>
        <v>0</v>
      </c>
      <c r="F5672" t="str">
        <f>"001070"</f>
        <v>0</v>
      </c>
      <c r="G5672" t="s">
        <v>21</v>
      </c>
    </row>
    <row r="5673" spans="1:7">
      <c r="A5673">
        <v>5672</v>
      </c>
      <c r="B5673" t="str">
        <f>"008996"</f>
        <v>0</v>
      </c>
      <c r="C5673" t="s">
        <v>140</v>
      </c>
      <c r="D5673" t="s">
        <v>9165</v>
      </c>
      <c r="E5673" t="str">
        <f>"3259900008416"</f>
        <v>0</v>
      </c>
      <c r="F5673" t="str">
        <f>"001070"</f>
        <v>0</v>
      </c>
      <c r="G5673" t="s">
        <v>21</v>
      </c>
    </row>
    <row r="5674" spans="1:7">
      <c r="A5674">
        <v>5673</v>
      </c>
      <c r="B5674" t="str">
        <f>"010525"</f>
        <v>0</v>
      </c>
      <c r="C5674" t="s">
        <v>9166</v>
      </c>
      <c r="D5674" t="s">
        <v>9167</v>
      </c>
      <c r="E5674" t="str">
        <f>"3250200935677"</f>
        <v>0</v>
      </c>
      <c r="F5674" t="str">
        <f>"001070"</f>
        <v>0</v>
      </c>
      <c r="G5674" t="s">
        <v>21</v>
      </c>
    </row>
    <row r="5675" spans="1:7">
      <c r="A5675">
        <v>5674</v>
      </c>
      <c r="B5675" t="str">
        <f>"010728"</f>
        <v>0</v>
      </c>
      <c r="C5675" t="s">
        <v>9168</v>
      </c>
      <c r="D5675" t="s">
        <v>9169</v>
      </c>
      <c r="E5675" t="str">
        <f>"3119900667674"</f>
        <v>0</v>
      </c>
      <c r="F5675" t="str">
        <f>"001070"</f>
        <v>0</v>
      </c>
      <c r="G5675" t="s">
        <v>21</v>
      </c>
    </row>
    <row r="5676" spans="1:7">
      <c r="A5676">
        <v>5675</v>
      </c>
      <c r="B5676" t="str">
        <f>"011714"</f>
        <v>0</v>
      </c>
      <c r="C5676" t="s">
        <v>2333</v>
      </c>
      <c r="D5676" t="s">
        <v>3762</v>
      </c>
      <c r="E5676" t="str">
        <f>"3310300452545"</f>
        <v>0</v>
      </c>
      <c r="F5676" t="str">
        <f>"001070"</f>
        <v>0</v>
      </c>
      <c r="G5676" t="s">
        <v>21</v>
      </c>
    </row>
    <row r="5677" spans="1:7">
      <c r="A5677">
        <v>5676</v>
      </c>
      <c r="B5677" t="str">
        <f>"011782"</f>
        <v>0</v>
      </c>
      <c r="C5677" t="s">
        <v>1599</v>
      </c>
      <c r="D5677" t="s">
        <v>9170</v>
      </c>
      <c r="E5677" t="str">
        <f>"3209800129602"</f>
        <v>0</v>
      </c>
      <c r="F5677" t="str">
        <f>"001070"</f>
        <v>0</v>
      </c>
      <c r="G5677" t="s">
        <v>21</v>
      </c>
    </row>
    <row r="5678" spans="1:7">
      <c r="A5678">
        <v>5677</v>
      </c>
      <c r="B5678" t="str">
        <f>"012683"</f>
        <v>0</v>
      </c>
      <c r="C5678" t="s">
        <v>4967</v>
      </c>
      <c r="D5678" t="s">
        <v>9169</v>
      </c>
      <c r="E5678" t="str">
        <f>"3250100158962"</f>
        <v>0</v>
      </c>
      <c r="F5678" t="str">
        <f>"001070"</f>
        <v>0</v>
      </c>
      <c r="G5678" t="s">
        <v>21</v>
      </c>
    </row>
    <row r="5679" spans="1:7">
      <c r="A5679">
        <v>5678</v>
      </c>
      <c r="B5679" t="str">
        <f>"012724"</f>
        <v>0</v>
      </c>
      <c r="C5679" t="s">
        <v>2301</v>
      </c>
      <c r="D5679" t="s">
        <v>9171</v>
      </c>
      <c r="E5679" t="str">
        <f>"3251100189605"</f>
        <v>0</v>
      </c>
      <c r="F5679" t="str">
        <f>"001070"</f>
        <v>0</v>
      </c>
      <c r="G5679" t="s">
        <v>21</v>
      </c>
    </row>
    <row r="5680" spans="1:7">
      <c r="A5680">
        <v>5679</v>
      </c>
      <c r="B5680" t="str">
        <f>"015729"</f>
        <v>0</v>
      </c>
      <c r="C5680" t="s">
        <v>9172</v>
      </c>
      <c r="D5680" t="s">
        <v>9173</v>
      </c>
      <c r="E5680" t="str">
        <f>"3250300239923"</f>
        <v>0</v>
      </c>
      <c r="F5680" t="str">
        <f>"001070"</f>
        <v>0</v>
      </c>
      <c r="G5680" t="s">
        <v>21</v>
      </c>
    </row>
    <row r="5681" spans="1:7">
      <c r="A5681">
        <v>5680</v>
      </c>
      <c r="B5681" t="str">
        <f>"015767"</f>
        <v>0</v>
      </c>
      <c r="C5681" t="s">
        <v>9174</v>
      </c>
      <c r="D5681" t="s">
        <v>9156</v>
      </c>
      <c r="E5681" t="str">
        <f>"3100601257981"</f>
        <v>0</v>
      </c>
      <c r="F5681" t="str">
        <f>"001070"</f>
        <v>0</v>
      </c>
      <c r="G5681" t="s">
        <v>21</v>
      </c>
    </row>
    <row r="5682" spans="1:7">
      <c r="A5682">
        <v>5681</v>
      </c>
      <c r="B5682" t="str">
        <f>"018238"</f>
        <v>0</v>
      </c>
      <c r="C5682" t="s">
        <v>684</v>
      </c>
      <c r="D5682" t="s">
        <v>9175</v>
      </c>
      <c r="E5682" t="str">
        <f>"3140100174896"</f>
        <v>0</v>
      </c>
      <c r="F5682" t="str">
        <f>"001070"</f>
        <v>0</v>
      </c>
      <c r="G5682" t="s">
        <v>21</v>
      </c>
    </row>
    <row r="5683" spans="1:7">
      <c r="A5683">
        <v>5682</v>
      </c>
      <c r="B5683" t="str">
        <f>"019347"</f>
        <v>0</v>
      </c>
      <c r="C5683" t="s">
        <v>4885</v>
      </c>
      <c r="D5683" t="s">
        <v>9176</v>
      </c>
      <c r="E5683" t="str">
        <f>"3200700181353"</f>
        <v>0</v>
      </c>
      <c r="F5683" t="str">
        <f>"001070"</f>
        <v>0</v>
      </c>
      <c r="G5683" t="s">
        <v>21</v>
      </c>
    </row>
    <row r="5684" spans="1:7">
      <c r="A5684">
        <v>5683</v>
      </c>
      <c r="B5684" t="str">
        <f>"019824"</f>
        <v>0</v>
      </c>
      <c r="C5684" t="s">
        <v>9177</v>
      </c>
      <c r="D5684" t="s">
        <v>6832</v>
      </c>
      <c r="E5684" t="str">
        <f>"3199700043014"</f>
        <v>0</v>
      </c>
      <c r="F5684" t="str">
        <f>"001070"</f>
        <v>0</v>
      </c>
      <c r="G5684" t="s">
        <v>21</v>
      </c>
    </row>
    <row r="5685" spans="1:7">
      <c r="A5685">
        <v>5684</v>
      </c>
      <c r="B5685" t="str">
        <f>"019859"</f>
        <v>0</v>
      </c>
      <c r="C5685" t="s">
        <v>6636</v>
      </c>
      <c r="D5685" t="s">
        <v>9162</v>
      </c>
      <c r="E5685" t="str">
        <f>"3200900702101"</f>
        <v>0</v>
      </c>
      <c r="F5685" t="str">
        <f>"001070"</f>
        <v>0</v>
      </c>
      <c r="G5685" t="s">
        <v>21</v>
      </c>
    </row>
    <row r="5686" spans="1:7">
      <c r="A5686">
        <v>5685</v>
      </c>
      <c r="B5686" t="str">
        <f>"020121"</f>
        <v>0</v>
      </c>
      <c r="C5686" t="s">
        <v>7593</v>
      </c>
      <c r="D5686" t="s">
        <v>9178</v>
      </c>
      <c r="E5686" t="str">
        <f>"3251200089602"</f>
        <v>0</v>
      </c>
      <c r="F5686" t="str">
        <f>"001070"</f>
        <v>0</v>
      </c>
      <c r="G5686" t="s">
        <v>21</v>
      </c>
    </row>
    <row r="5687" spans="1:7">
      <c r="A5687">
        <v>5686</v>
      </c>
      <c r="B5687" t="str">
        <f>"023546"</f>
        <v>0</v>
      </c>
      <c r="C5687" t="s">
        <v>9179</v>
      </c>
      <c r="D5687" t="s">
        <v>9180</v>
      </c>
      <c r="E5687" t="str">
        <f>"3259900113431"</f>
        <v>0</v>
      </c>
      <c r="F5687" t="str">
        <f>"001070"</f>
        <v>0</v>
      </c>
      <c r="G5687" t="s">
        <v>21</v>
      </c>
    </row>
    <row r="5688" spans="1:7">
      <c r="A5688">
        <v>5687</v>
      </c>
      <c r="B5688" t="str">
        <f>"014446"</f>
        <v>0</v>
      </c>
      <c r="C5688" t="s">
        <v>9181</v>
      </c>
      <c r="D5688" t="s">
        <v>9159</v>
      </c>
      <c r="E5688" t="str">
        <f>"3250100071514"</f>
        <v>0</v>
      </c>
      <c r="F5688" t="str">
        <f>"001070"</f>
        <v>0</v>
      </c>
      <c r="G5688" t="s">
        <v>21</v>
      </c>
    </row>
    <row r="5689" spans="1:7">
      <c r="A5689">
        <v>5688</v>
      </c>
      <c r="B5689" t="str">
        <f>"014843"</f>
        <v>0</v>
      </c>
      <c r="C5689" t="s">
        <v>9182</v>
      </c>
      <c r="D5689" t="s">
        <v>9183</v>
      </c>
      <c r="E5689" t="str">
        <f>"3240100583299"</f>
        <v>0</v>
      </c>
      <c r="F5689" t="str">
        <f>"001070"</f>
        <v>0</v>
      </c>
      <c r="G5689" t="s">
        <v>21</v>
      </c>
    </row>
    <row r="5690" spans="1:7">
      <c r="A5690">
        <v>5689</v>
      </c>
      <c r="B5690" t="str">
        <f>"026729"</f>
        <v>0</v>
      </c>
      <c r="C5690" t="s">
        <v>9184</v>
      </c>
      <c r="D5690" t="s">
        <v>9185</v>
      </c>
      <c r="E5690" t="str">
        <f>"1101402060952"</f>
        <v>0</v>
      </c>
      <c r="F5690" t="str">
        <f>"001070"</f>
        <v>0</v>
      </c>
      <c r="G5690" t="s">
        <v>21</v>
      </c>
    </row>
    <row r="5691" spans="1:7">
      <c r="A5691">
        <v>5690</v>
      </c>
      <c r="B5691" t="str">
        <f>"024803"</f>
        <v>0</v>
      </c>
      <c r="C5691" t="s">
        <v>9186</v>
      </c>
      <c r="D5691" t="s">
        <v>9187</v>
      </c>
      <c r="E5691" t="str">
        <f>"1160199019425"</f>
        <v>0</v>
      </c>
      <c r="F5691" t="str">
        <f>"001070"</f>
        <v>0</v>
      </c>
      <c r="G5691" t="s">
        <v>21</v>
      </c>
    </row>
    <row r="5692" spans="1:7">
      <c r="A5692">
        <v>5691</v>
      </c>
      <c r="B5692" t="str">
        <f>"026640"</f>
        <v>0</v>
      </c>
      <c r="C5692" t="s">
        <v>9188</v>
      </c>
      <c r="D5692" t="s">
        <v>7021</v>
      </c>
      <c r="E5692" t="str">
        <f>"1619900136686"</f>
        <v>0</v>
      </c>
      <c r="F5692" t="str">
        <f>"001070"</f>
        <v>0</v>
      </c>
      <c r="G5692" t="s">
        <v>21</v>
      </c>
    </row>
    <row r="5693" spans="1:7">
      <c r="A5693">
        <v>5692</v>
      </c>
      <c r="B5693" t="str">
        <f>"008827"</f>
        <v>0</v>
      </c>
      <c r="C5693" t="s">
        <v>9189</v>
      </c>
      <c r="D5693" t="s">
        <v>9190</v>
      </c>
      <c r="E5693" t="str">
        <f>"3190600254244"</f>
        <v>0</v>
      </c>
      <c r="F5693" t="str">
        <f>"001070"</f>
        <v>0</v>
      </c>
      <c r="G5693" t="s">
        <v>21</v>
      </c>
    </row>
    <row r="5694" spans="1:7">
      <c r="A5694">
        <v>5693</v>
      </c>
      <c r="B5694" t="str">
        <f>"006771"</f>
        <v>0</v>
      </c>
      <c r="C5694" t="s">
        <v>9191</v>
      </c>
      <c r="D5694" t="s">
        <v>9192</v>
      </c>
      <c r="E5694" t="str">
        <f>"3200700099355"</f>
        <v>0</v>
      </c>
      <c r="F5694" t="str">
        <f>"001070"</f>
        <v>0</v>
      </c>
      <c r="G5694" t="s">
        <v>21</v>
      </c>
    </row>
    <row r="5695" spans="1:7">
      <c r="A5695">
        <v>5694</v>
      </c>
      <c r="B5695" t="str">
        <f>"011954"</f>
        <v>0</v>
      </c>
      <c r="C5695" t="s">
        <v>9193</v>
      </c>
      <c r="D5695" t="s">
        <v>9194</v>
      </c>
      <c r="E5695" t="str">
        <f>"3100602156649"</f>
        <v>0</v>
      </c>
      <c r="F5695" t="str">
        <f>"001070"</f>
        <v>0</v>
      </c>
      <c r="G5695" t="s">
        <v>21</v>
      </c>
    </row>
    <row r="5696" spans="1:7">
      <c r="A5696">
        <v>5695</v>
      </c>
      <c r="B5696" t="str">
        <f>"019449"</f>
        <v>0</v>
      </c>
      <c r="C5696" t="s">
        <v>2305</v>
      </c>
      <c r="D5696" t="s">
        <v>9195</v>
      </c>
      <c r="E5696" t="str">
        <f>"3240800039435"</f>
        <v>0</v>
      </c>
      <c r="F5696" t="str">
        <f>"001070"</f>
        <v>0</v>
      </c>
      <c r="G5696" t="s">
        <v>21</v>
      </c>
    </row>
    <row r="5697" spans="1:7">
      <c r="A5697">
        <v>5696</v>
      </c>
      <c r="B5697" t="str">
        <f>"020629"</f>
        <v>0</v>
      </c>
      <c r="C5697" t="s">
        <v>5236</v>
      </c>
      <c r="D5697" t="s">
        <v>9196</v>
      </c>
      <c r="E5697" t="str">
        <f>"3240300330904"</f>
        <v>0</v>
      </c>
      <c r="F5697" t="str">
        <f>"001070"</f>
        <v>0</v>
      </c>
      <c r="G5697" t="s">
        <v>21</v>
      </c>
    </row>
    <row r="5698" spans="1:7">
      <c r="A5698">
        <v>5697</v>
      </c>
      <c r="B5698" t="str">
        <f>"024241"</f>
        <v>0</v>
      </c>
      <c r="C5698" t="s">
        <v>9197</v>
      </c>
      <c r="D5698" t="s">
        <v>9198</v>
      </c>
      <c r="E5698" t="str">
        <f>"5240900017111"</f>
        <v>0</v>
      </c>
      <c r="F5698" t="str">
        <f>"001070"</f>
        <v>0</v>
      </c>
      <c r="G5698" t="s">
        <v>21</v>
      </c>
    </row>
    <row r="5699" spans="1:7">
      <c r="A5699">
        <v>5698</v>
      </c>
      <c r="B5699" t="str">
        <f>"010266"</f>
        <v>0</v>
      </c>
      <c r="C5699" t="s">
        <v>9199</v>
      </c>
      <c r="D5699" t="s">
        <v>9200</v>
      </c>
      <c r="E5699" t="str">
        <f>"3250700020708"</f>
        <v>0</v>
      </c>
      <c r="F5699" t="str">
        <f>"001070"</f>
        <v>0</v>
      </c>
      <c r="G5699" t="s">
        <v>21</v>
      </c>
    </row>
    <row r="5700" spans="1:7">
      <c r="A5700">
        <v>5699</v>
      </c>
      <c r="B5700" t="str">
        <f>"011483"</f>
        <v>0</v>
      </c>
      <c r="C5700" t="s">
        <v>9201</v>
      </c>
      <c r="D5700" t="s">
        <v>9202</v>
      </c>
      <c r="E5700" t="str">
        <f>"3841000150795"</f>
        <v>0</v>
      </c>
      <c r="F5700" t="str">
        <f>"001070"</f>
        <v>0</v>
      </c>
      <c r="G5700" t="s">
        <v>21</v>
      </c>
    </row>
    <row r="5701" spans="1:7">
      <c r="A5701">
        <v>5700</v>
      </c>
      <c r="B5701" t="str">
        <f>"011525"</f>
        <v>0</v>
      </c>
      <c r="C5701" t="s">
        <v>9203</v>
      </c>
      <c r="D5701" t="s">
        <v>9204</v>
      </c>
      <c r="E5701" t="str">
        <f>"3401700370864"</f>
        <v>0</v>
      </c>
      <c r="F5701" t="str">
        <f>"001070"</f>
        <v>0</v>
      </c>
      <c r="G5701" t="s">
        <v>21</v>
      </c>
    </row>
    <row r="5702" spans="1:7">
      <c r="A5702">
        <v>5701</v>
      </c>
      <c r="B5702" t="str">
        <f>"012250"</f>
        <v>0</v>
      </c>
      <c r="C5702" t="s">
        <v>9205</v>
      </c>
      <c r="D5702" t="s">
        <v>9206</v>
      </c>
      <c r="E5702" t="str">
        <f>"3210100235851"</f>
        <v>0</v>
      </c>
      <c r="F5702" t="str">
        <f>"001070"</f>
        <v>0</v>
      </c>
      <c r="G5702" t="s">
        <v>21</v>
      </c>
    </row>
    <row r="5703" spans="1:7">
      <c r="A5703">
        <v>5702</v>
      </c>
      <c r="B5703" t="str">
        <f>"012267"</f>
        <v>0</v>
      </c>
      <c r="C5703" t="s">
        <v>391</v>
      </c>
      <c r="D5703" t="s">
        <v>9207</v>
      </c>
      <c r="E5703" t="str">
        <f>"3260100512359"</f>
        <v>0</v>
      </c>
      <c r="F5703" t="str">
        <f>"001070"</f>
        <v>0</v>
      </c>
      <c r="G5703" t="s">
        <v>21</v>
      </c>
    </row>
    <row r="5704" spans="1:7">
      <c r="A5704">
        <v>5703</v>
      </c>
      <c r="B5704" t="str">
        <f>"012955"</f>
        <v>0</v>
      </c>
      <c r="C5704" t="s">
        <v>46</v>
      </c>
      <c r="D5704" t="s">
        <v>801</v>
      </c>
      <c r="E5704" t="str">
        <f>"3240400136794"</f>
        <v>0</v>
      </c>
      <c r="F5704" t="str">
        <f>"001070"</f>
        <v>0</v>
      </c>
      <c r="G5704" t="s">
        <v>21</v>
      </c>
    </row>
    <row r="5705" spans="1:7">
      <c r="A5705">
        <v>5704</v>
      </c>
      <c r="B5705" t="str">
        <f>"016143"</f>
        <v>0</v>
      </c>
      <c r="C5705" t="s">
        <v>9208</v>
      </c>
      <c r="D5705" t="s">
        <v>9209</v>
      </c>
      <c r="E5705" t="str">
        <f>"5250100005194"</f>
        <v>0</v>
      </c>
      <c r="F5705" t="str">
        <f>"001070"</f>
        <v>0</v>
      </c>
      <c r="G5705" t="s">
        <v>21</v>
      </c>
    </row>
    <row r="5706" spans="1:7">
      <c r="A5706">
        <v>5705</v>
      </c>
      <c r="B5706" t="str">
        <f>"017770"</f>
        <v>0</v>
      </c>
      <c r="C5706" t="s">
        <v>5772</v>
      </c>
      <c r="D5706" t="s">
        <v>9210</v>
      </c>
      <c r="E5706" t="str">
        <f>"3250900128871"</f>
        <v>0</v>
      </c>
      <c r="F5706" t="str">
        <f>"001070"</f>
        <v>0</v>
      </c>
      <c r="G5706" t="s">
        <v>21</v>
      </c>
    </row>
    <row r="5707" spans="1:7">
      <c r="A5707">
        <v>5706</v>
      </c>
      <c r="B5707" t="str">
        <f>"018916"</f>
        <v>0</v>
      </c>
      <c r="C5707" t="s">
        <v>9211</v>
      </c>
      <c r="D5707" t="s">
        <v>9212</v>
      </c>
      <c r="E5707" t="str">
        <f>"3191000087062"</f>
        <v>0</v>
      </c>
      <c r="F5707" t="str">
        <f>"001070"</f>
        <v>0</v>
      </c>
      <c r="G5707" t="s">
        <v>21</v>
      </c>
    </row>
    <row r="5708" spans="1:7">
      <c r="A5708">
        <v>5707</v>
      </c>
      <c r="B5708" t="str">
        <f>"019023"</f>
        <v>0</v>
      </c>
      <c r="C5708" t="s">
        <v>2232</v>
      </c>
      <c r="D5708" t="s">
        <v>9213</v>
      </c>
      <c r="E5708" t="str">
        <f>"3530900292016"</f>
        <v>0</v>
      </c>
      <c r="F5708" t="str">
        <f>"001070"</f>
        <v>0</v>
      </c>
      <c r="G5708" t="s">
        <v>21</v>
      </c>
    </row>
    <row r="5709" spans="1:7">
      <c r="A5709">
        <v>5708</v>
      </c>
      <c r="B5709" t="str">
        <f>"021698"</f>
        <v>0</v>
      </c>
      <c r="C5709" t="s">
        <v>9214</v>
      </c>
      <c r="D5709" t="s">
        <v>9215</v>
      </c>
      <c r="E5709" t="str">
        <f>"3259900004046"</f>
        <v>0</v>
      </c>
      <c r="F5709" t="str">
        <f>"001070"</f>
        <v>0</v>
      </c>
      <c r="G5709" t="s">
        <v>21</v>
      </c>
    </row>
    <row r="5710" spans="1:7">
      <c r="A5710">
        <v>5709</v>
      </c>
      <c r="B5710" t="str">
        <f>"021776"</f>
        <v>0</v>
      </c>
      <c r="C5710" t="s">
        <v>9216</v>
      </c>
      <c r="D5710" t="s">
        <v>9217</v>
      </c>
      <c r="E5710" t="str">
        <f>"3540300373805"</f>
        <v>0</v>
      </c>
      <c r="F5710" t="str">
        <f>"001070"</f>
        <v>0</v>
      </c>
      <c r="G5710" t="s">
        <v>21</v>
      </c>
    </row>
    <row r="5711" spans="1:7">
      <c r="A5711">
        <v>5710</v>
      </c>
      <c r="B5711" t="str">
        <f>"022631"</f>
        <v>0</v>
      </c>
      <c r="C5711" t="s">
        <v>5794</v>
      </c>
      <c r="D5711" t="s">
        <v>9218</v>
      </c>
      <c r="E5711" t="str">
        <f>"3150300033706"</f>
        <v>0</v>
      </c>
      <c r="F5711" t="str">
        <f>"001070"</f>
        <v>0</v>
      </c>
      <c r="G5711" t="s">
        <v>21</v>
      </c>
    </row>
    <row r="5712" spans="1:7">
      <c r="A5712">
        <v>5711</v>
      </c>
      <c r="B5712" t="str">
        <f>"025286"</f>
        <v>0</v>
      </c>
      <c r="C5712" t="s">
        <v>9219</v>
      </c>
      <c r="D5712" t="s">
        <v>9220</v>
      </c>
      <c r="E5712" t="str">
        <f>"3250700306768"</f>
        <v>0</v>
      </c>
      <c r="F5712" t="str">
        <f>"001070"</f>
        <v>0</v>
      </c>
      <c r="G5712" t="s">
        <v>21</v>
      </c>
    </row>
    <row r="5713" spans="1:7">
      <c r="A5713">
        <v>5712</v>
      </c>
      <c r="B5713" t="str">
        <f>"026151"</f>
        <v>0</v>
      </c>
      <c r="C5713" t="s">
        <v>160</v>
      </c>
      <c r="D5713" t="s">
        <v>9221</v>
      </c>
      <c r="E5713" t="str">
        <f>"1250200037109"</f>
        <v>0</v>
      </c>
      <c r="F5713" t="str">
        <f>"001070"</f>
        <v>0</v>
      </c>
      <c r="G5713" t="s">
        <v>21</v>
      </c>
    </row>
    <row r="5714" spans="1:7">
      <c r="A5714">
        <v>5713</v>
      </c>
      <c r="B5714" t="str">
        <f>"026300"</f>
        <v>0</v>
      </c>
      <c r="C5714" t="s">
        <v>9222</v>
      </c>
      <c r="D5714" t="s">
        <v>9223</v>
      </c>
      <c r="E5714" t="str">
        <f>"1250100123755"</f>
        <v>0</v>
      </c>
      <c r="F5714" t="str">
        <f>"001070"</f>
        <v>0</v>
      </c>
      <c r="G5714" t="s">
        <v>21</v>
      </c>
    </row>
    <row r="5715" spans="1:7">
      <c r="A5715">
        <v>5714</v>
      </c>
      <c r="B5715" t="str">
        <f>"010734"</f>
        <v>0</v>
      </c>
      <c r="C5715" t="s">
        <v>403</v>
      </c>
      <c r="D5715" t="s">
        <v>9224</v>
      </c>
      <c r="E5715" t="str">
        <f>"3260100548990"</f>
        <v>0</v>
      </c>
      <c r="F5715" t="str">
        <f>"001070"</f>
        <v>0</v>
      </c>
      <c r="G5715" t="s">
        <v>21</v>
      </c>
    </row>
    <row r="5716" spans="1:7">
      <c r="A5716">
        <v>5715</v>
      </c>
      <c r="B5716" t="str">
        <f>"011134"</f>
        <v>0</v>
      </c>
      <c r="C5716" t="s">
        <v>9177</v>
      </c>
      <c r="D5716" t="s">
        <v>9225</v>
      </c>
      <c r="E5716" t="str">
        <f>"4260200001150"</f>
        <v>0</v>
      </c>
      <c r="F5716" t="str">
        <f>"001070"</f>
        <v>0</v>
      </c>
      <c r="G5716" t="s">
        <v>21</v>
      </c>
    </row>
    <row r="5717" spans="1:7">
      <c r="A5717">
        <v>5716</v>
      </c>
      <c r="B5717" t="str">
        <f>"018568"</f>
        <v>0</v>
      </c>
      <c r="C5717" t="s">
        <v>9226</v>
      </c>
      <c r="D5717" t="s">
        <v>9227</v>
      </c>
      <c r="E5717" t="str">
        <f>"3600800036009"</f>
        <v>0</v>
      </c>
      <c r="F5717" t="str">
        <f>"001070"</f>
        <v>0</v>
      </c>
      <c r="G5717" t="s">
        <v>21</v>
      </c>
    </row>
    <row r="5718" spans="1:7">
      <c r="A5718">
        <v>5717</v>
      </c>
      <c r="B5718" t="str">
        <f>"022172"</f>
        <v>0</v>
      </c>
      <c r="C5718" t="s">
        <v>9228</v>
      </c>
      <c r="D5718" t="s">
        <v>6187</v>
      </c>
      <c r="E5718" t="str">
        <f>"3259900053756"</f>
        <v>0</v>
      </c>
      <c r="F5718" t="str">
        <f>"001070"</f>
        <v>0</v>
      </c>
      <c r="G5718" t="s">
        <v>21</v>
      </c>
    </row>
    <row r="5719" spans="1:7">
      <c r="A5719">
        <v>5718</v>
      </c>
      <c r="B5719" t="str">
        <f>"024804"</f>
        <v>0</v>
      </c>
      <c r="C5719" t="s">
        <v>9229</v>
      </c>
      <c r="D5719" t="s">
        <v>9230</v>
      </c>
      <c r="E5719" t="str">
        <f>"1301500020759"</f>
        <v>0</v>
      </c>
      <c r="F5719" t="str">
        <f>"001070"</f>
        <v>0</v>
      </c>
      <c r="G5719" t="s">
        <v>21</v>
      </c>
    </row>
    <row r="5720" spans="1:7">
      <c r="A5720">
        <v>5719</v>
      </c>
      <c r="B5720" t="str">
        <f>"027146"</f>
        <v>0</v>
      </c>
      <c r="C5720" t="s">
        <v>2117</v>
      </c>
      <c r="D5720" t="s">
        <v>9231</v>
      </c>
      <c r="E5720" t="str">
        <f>"1310500142471"</f>
        <v>0</v>
      </c>
      <c r="F5720" t="str">
        <f>"001070"</f>
        <v>0</v>
      </c>
      <c r="G5720" t="s">
        <v>21</v>
      </c>
    </row>
    <row r="5721" spans="1:7">
      <c r="A5721">
        <v>5720</v>
      </c>
      <c r="B5721" t="str">
        <f>"024356"</f>
        <v>0</v>
      </c>
      <c r="C5721" t="s">
        <v>9232</v>
      </c>
      <c r="D5721" t="s">
        <v>9233</v>
      </c>
      <c r="E5721" t="str">
        <f>"1229900381153"</f>
        <v>0</v>
      </c>
      <c r="F5721" t="str">
        <f>"001070"</f>
        <v>0</v>
      </c>
      <c r="G5721" t="s">
        <v>21</v>
      </c>
    </row>
    <row r="5722" spans="1:7">
      <c r="A5722">
        <v>5721</v>
      </c>
      <c r="B5722" t="str">
        <f>"022047"</f>
        <v>0</v>
      </c>
      <c r="C5722" t="s">
        <v>3026</v>
      </c>
      <c r="D5722" t="s">
        <v>9234</v>
      </c>
      <c r="E5722" t="str">
        <f>"1149900112871"</f>
        <v>0</v>
      </c>
      <c r="F5722" t="str">
        <f>"001070"</f>
        <v>0</v>
      </c>
      <c r="G5722" t="s">
        <v>21</v>
      </c>
    </row>
    <row r="5723" spans="1:7">
      <c r="A5723">
        <v>5722</v>
      </c>
      <c r="B5723" t="str">
        <f>"026364"</f>
        <v>0</v>
      </c>
      <c r="C5723" t="s">
        <v>9235</v>
      </c>
      <c r="D5723" t="s">
        <v>9236</v>
      </c>
      <c r="E5723" t="str">
        <f>"1460500016954"</f>
        <v>0</v>
      </c>
      <c r="F5723" t="str">
        <f>"001070"</f>
        <v>0</v>
      </c>
      <c r="G5723" t="s">
        <v>21</v>
      </c>
    </row>
    <row r="5724" spans="1:7">
      <c r="A5724">
        <v>5723</v>
      </c>
      <c r="B5724" t="str">
        <f>"023401"</f>
        <v>0</v>
      </c>
      <c r="C5724" t="s">
        <v>7468</v>
      </c>
      <c r="D5724" t="s">
        <v>9237</v>
      </c>
      <c r="E5724" t="str">
        <f>"1619900023733"</f>
        <v>0</v>
      </c>
      <c r="F5724" t="str">
        <f>"001070"</f>
        <v>0</v>
      </c>
      <c r="G5724" t="s">
        <v>21</v>
      </c>
    </row>
    <row r="5725" spans="1:7">
      <c r="A5725">
        <v>5724</v>
      </c>
      <c r="B5725" t="str">
        <f>"024502"</f>
        <v>0</v>
      </c>
      <c r="C5725" t="s">
        <v>5676</v>
      </c>
      <c r="D5725" t="s">
        <v>9238</v>
      </c>
      <c r="E5725" t="str">
        <f>"1729900121441"</f>
        <v>0</v>
      </c>
      <c r="F5725" t="str">
        <f>"001070"</f>
        <v>0</v>
      </c>
      <c r="G5725" t="s">
        <v>21</v>
      </c>
    </row>
    <row r="5726" spans="1:7">
      <c r="A5726">
        <v>5725</v>
      </c>
      <c r="B5726" t="str">
        <f>"024807"</f>
        <v>0</v>
      </c>
      <c r="C5726" t="s">
        <v>9239</v>
      </c>
      <c r="D5726" t="s">
        <v>9240</v>
      </c>
      <c r="E5726" t="str">
        <f>"1840100066934"</f>
        <v>0</v>
      </c>
      <c r="F5726" t="str">
        <f>"001070"</f>
        <v>0</v>
      </c>
      <c r="G5726" t="s">
        <v>21</v>
      </c>
    </row>
    <row r="5727" spans="1:7">
      <c r="A5727">
        <v>5726</v>
      </c>
      <c r="B5727" t="str">
        <f>"026363"</f>
        <v>0</v>
      </c>
      <c r="C5727" t="s">
        <v>2216</v>
      </c>
      <c r="D5727" t="s">
        <v>9241</v>
      </c>
      <c r="E5727" t="str">
        <f>"3840100298891"</f>
        <v>0</v>
      </c>
      <c r="F5727" t="str">
        <f>"001070"</f>
        <v>0</v>
      </c>
      <c r="G5727" t="s">
        <v>21</v>
      </c>
    </row>
    <row r="5728" spans="1:7">
      <c r="A5728">
        <v>5727</v>
      </c>
      <c r="B5728" t="str">
        <f>"026730"</f>
        <v>0</v>
      </c>
      <c r="C5728" t="s">
        <v>9242</v>
      </c>
      <c r="D5728" t="s">
        <v>9243</v>
      </c>
      <c r="E5728" t="str">
        <f>"1860700064533"</f>
        <v>0</v>
      </c>
      <c r="F5728" t="str">
        <f>"001070"</f>
        <v>0</v>
      </c>
      <c r="G5728" t="s">
        <v>21</v>
      </c>
    </row>
    <row r="5729" spans="1:7">
      <c r="A5729">
        <v>5728</v>
      </c>
      <c r="B5729" t="str">
        <f>"027552"</f>
        <v>0</v>
      </c>
      <c r="C5729" t="s">
        <v>9244</v>
      </c>
      <c r="D5729" t="s">
        <v>9245</v>
      </c>
      <c r="E5729" t="str">
        <f>"3160300963754"</f>
        <v>0</v>
      </c>
      <c r="F5729" t="str">
        <f>"001070"</f>
        <v>0</v>
      </c>
      <c r="G5729" t="s">
        <v>21</v>
      </c>
    </row>
    <row r="5730" spans="1:7">
      <c r="A5730">
        <v>5729</v>
      </c>
      <c r="B5730" t="str">
        <f>"027553"</f>
        <v>0</v>
      </c>
      <c r="C5730" t="s">
        <v>9246</v>
      </c>
      <c r="D5730" t="s">
        <v>9247</v>
      </c>
      <c r="E5730" t="str">
        <f>"1720200064691"</f>
        <v>0</v>
      </c>
      <c r="F5730" t="str">
        <f>"001070"</f>
        <v>0</v>
      </c>
      <c r="G5730" t="s">
        <v>21</v>
      </c>
    </row>
    <row r="5731" spans="1:7">
      <c r="A5731">
        <v>5730</v>
      </c>
      <c r="B5731" t="str">
        <f>"027554"</f>
        <v>0</v>
      </c>
      <c r="C5731" t="s">
        <v>9248</v>
      </c>
      <c r="D5731" t="s">
        <v>9249</v>
      </c>
      <c r="E5731" t="str">
        <f>"1139900134947"</f>
        <v>0</v>
      </c>
      <c r="F5731" t="str">
        <f>"001070"</f>
        <v>0</v>
      </c>
      <c r="G5731" t="s">
        <v>21</v>
      </c>
    </row>
    <row r="5732" spans="1:7">
      <c r="A5732">
        <v>5731</v>
      </c>
      <c r="B5732" t="str">
        <f>"027555"</f>
        <v>0</v>
      </c>
      <c r="C5732" t="s">
        <v>9250</v>
      </c>
      <c r="D5732" t="s">
        <v>9251</v>
      </c>
      <c r="E5732" t="str">
        <f>"1102000801517"</f>
        <v>0</v>
      </c>
      <c r="F5732" t="str">
        <f>"001070"</f>
        <v>0</v>
      </c>
      <c r="G5732" t="s">
        <v>21</v>
      </c>
    </row>
    <row r="5733" spans="1:7">
      <c r="A5733">
        <v>5732</v>
      </c>
      <c r="B5733" t="str">
        <f>"001145"</f>
        <v>0</v>
      </c>
      <c r="C5733" t="s">
        <v>881</v>
      </c>
      <c r="D5733" t="s">
        <v>9252</v>
      </c>
      <c r="E5733" t="str">
        <f>"3949900193471"</f>
        <v>0</v>
      </c>
      <c r="F5733" t="str">
        <f>"001080"</f>
        <v>0</v>
      </c>
      <c r="G5733" t="s">
        <v>21</v>
      </c>
    </row>
    <row r="5734" spans="1:7">
      <c r="A5734">
        <v>5733</v>
      </c>
      <c r="B5734" t="str">
        <f>"001805"</f>
        <v>0</v>
      </c>
      <c r="C5734" t="s">
        <v>86</v>
      </c>
      <c r="D5734" t="s">
        <v>9253</v>
      </c>
      <c r="E5734" t="str">
        <f>"3949900261301"</f>
        <v>0</v>
      </c>
      <c r="F5734" t="str">
        <f>"001080"</f>
        <v>0</v>
      </c>
      <c r="G5734" t="s">
        <v>21</v>
      </c>
    </row>
    <row r="5735" spans="1:7">
      <c r="A5735">
        <v>5734</v>
      </c>
      <c r="B5735" t="str">
        <f>"002637"</f>
        <v>0</v>
      </c>
      <c r="C5735" t="s">
        <v>9254</v>
      </c>
      <c r="D5735" t="s">
        <v>9255</v>
      </c>
      <c r="E5735" t="str">
        <f>"3940400173057"</f>
        <v>0</v>
      </c>
      <c r="F5735" t="str">
        <f>"001080"</f>
        <v>0</v>
      </c>
      <c r="G5735" t="s">
        <v>21</v>
      </c>
    </row>
    <row r="5736" spans="1:7">
      <c r="A5736">
        <v>5735</v>
      </c>
      <c r="B5736" t="str">
        <f>"002639"</f>
        <v>0</v>
      </c>
      <c r="C5736" t="s">
        <v>9256</v>
      </c>
      <c r="D5736" t="s">
        <v>9257</v>
      </c>
      <c r="E5736" t="str">
        <f>"3940400174592"</f>
        <v>0</v>
      </c>
      <c r="F5736" t="str">
        <f>"001080"</f>
        <v>0</v>
      </c>
      <c r="G5736" t="s">
        <v>21</v>
      </c>
    </row>
    <row r="5737" spans="1:7">
      <c r="A5737">
        <v>5736</v>
      </c>
      <c r="B5737" t="str">
        <f>"002640"</f>
        <v>0</v>
      </c>
      <c r="C5737" t="s">
        <v>590</v>
      </c>
      <c r="D5737" t="s">
        <v>9258</v>
      </c>
      <c r="E5737" t="str">
        <f>"3940400184661"</f>
        <v>0</v>
      </c>
      <c r="F5737" t="str">
        <f>"001080"</f>
        <v>0</v>
      </c>
      <c r="G5737" t="s">
        <v>21</v>
      </c>
    </row>
    <row r="5738" spans="1:7">
      <c r="A5738">
        <v>5737</v>
      </c>
      <c r="B5738" t="str">
        <f>"002735"</f>
        <v>0</v>
      </c>
      <c r="C5738" t="s">
        <v>5216</v>
      </c>
      <c r="D5738" t="s">
        <v>3406</v>
      </c>
      <c r="E5738" t="str">
        <f>"3940300057098"</f>
        <v>0</v>
      </c>
      <c r="F5738" t="str">
        <f>"001080"</f>
        <v>0</v>
      </c>
      <c r="G5738" t="s">
        <v>21</v>
      </c>
    </row>
    <row r="5739" spans="1:7">
      <c r="A5739">
        <v>5738</v>
      </c>
      <c r="B5739" t="str">
        <f>"002740"</f>
        <v>0</v>
      </c>
      <c r="C5739" t="s">
        <v>8455</v>
      </c>
      <c r="D5739" t="s">
        <v>3406</v>
      </c>
      <c r="E5739" t="str">
        <f>"3940300057101"</f>
        <v>0</v>
      </c>
      <c r="F5739" t="str">
        <f>"001080"</f>
        <v>0</v>
      </c>
      <c r="G5739" t="s">
        <v>21</v>
      </c>
    </row>
    <row r="5740" spans="1:7">
      <c r="A5740">
        <v>5739</v>
      </c>
      <c r="B5740" t="str">
        <f>"004809"</f>
        <v>0</v>
      </c>
      <c r="C5740" t="s">
        <v>2303</v>
      </c>
      <c r="D5740" t="s">
        <v>9259</v>
      </c>
      <c r="E5740" t="str">
        <f>"3959900157229"</f>
        <v>0</v>
      </c>
      <c r="F5740" t="str">
        <f>"001080"</f>
        <v>0</v>
      </c>
      <c r="G5740" t="s">
        <v>21</v>
      </c>
    </row>
    <row r="5741" spans="1:7">
      <c r="A5741">
        <v>5740</v>
      </c>
      <c r="B5741" t="str">
        <f>"005116"</f>
        <v>0</v>
      </c>
      <c r="C5741" t="s">
        <v>9260</v>
      </c>
      <c r="D5741" t="s">
        <v>9261</v>
      </c>
      <c r="E5741" t="str">
        <f>"3949900044416"</f>
        <v>0</v>
      </c>
      <c r="F5741" t="str">
        <f>"001080"</f>
        <v>0</v>
      </c>
      <c r="G5741" t="s">
        <v>21</v>
      </c>
    </row>
    <row r="5742" spans="1:7">
      <c r="A5742">
        <v>5741</v>
      </c>
      <c r="B5742" t="str">
        <f>"007167"</f>
        <v>0</v>
      </c>
      <c r="C5742" t="s">
        <v>98</v>
      </c>
      <c r="D5742" t="s">
        <v>9262</v>
      </c>
      <c r="E5742" t="str">
        <f>"3940300057748"</f>
        <v>0</v>
      </c>
      <c r="F5742" t="str">
        <f>"001080"</f>
        <v>0</v>
      </c>
      <c r="G5742" t="s">
        <v>21</v>
      </c>
    </row>
    <row r="5743" spans="1:7">
      <c r="A5743">
        <v>5742</v>
      </c>
      <c r="B5743" t="str">
        <f>"007740"</f>
        <v>0</v>
      </c>
      <c r="C5743" t="s">
        <v>9263</v>
      </c>
      <c r="D5743" t="s">
        <v>9264</v>
      </c>
      <c r="E5743" t="str">
        <f>"3940400184709"</f>
        <v>0</v>
      </c>
      <c r="F5743" t="str">
        <f>"001080"</f>
        <v>0</v>
      </c>
      <c r="G5743" t="s">
        <v>21</v>
      </c>
    </row>
    <row r="5744" spans="1:7">
      <c r="A5744">
        <v>5743</v>
      </c>
      <c r="B5744" t="str">
        <f>"008600"</f>
        <v>0</v>
      </c>
      <c r="C5744" t="s">
        <v>7376</v>
      </c>
      <c r="D5744" t="s">
        <v>9265</v>
      </c>
      <c r="E5744" t="str">
        <f>"3949900010287"</f>
        <v>0</v>
      </c>
      <c r="F5744" t="str">
        <f>"001080"</f>
        <v>0</v>
      </c>
      <c r="G5744" t="s">
        <v>21</v>
      </c>
    </row>
    <row r="5745" spans="1:7">
      <c r="A5745">
        <v>5744</v>
      </c>
      <c r="B5745" t="str">
        <f>"008918"</f>
        <v>0</v>
      </c>
      <c r="C5745" t="s">
        <v>9266</v>
      </c>
      <c r="D5745" t="s">
        <v>9267</v>
      </c>
      <c r="E5745" t="str">
        <f>"3940900421009"</f>
        <v>0</v>
      </c>
      <c r="F5745" t="str">
        <f>"001080"</f>
        <v>0</v>
      </c>
      <c r="G5745" t="s">
        <v>21</v>
      </c>
    </row>
    <row r="5746" spans="1:7">
      <c r="A5746">
        <v>5745</v>
      </c>
      <c r="B5746" t="str">
        <f>"009634"</f>
        <v>0</v>
      </c>
      <c r="C5746" t="s">
        <v>9268</v>
      </c>
      <c r="D5746" t="s">
        <v>9269</v>
      </c>
      <c r="E5746" t="str">
        <f>"3940200137561"</f>
        <v>0</v>
      </c>
      <c r="F5746" t="str">
        <f>"001080"</f>
        <v>0</v>
      </c>
      <c r="G5746" t="s">
        <v>21</v>
      </c>
    </row>
    <row r="5747" spans="1:7">
      <c r="A5747">
        <v>5746</v>
      </c>
      <c r="B5747" t="str">
        <f>"010384"</f>
        <v>0</v>
      </c>
      <c r="C5747" t="s">
        <v>9270</v>
      </c>
      <c r="D5747" t="s">
        <v>7309</v>
      </c>
      <c r="E5747" t="str">
        <f>"3900500145985"</f>
        <v>0</v>
      </c>
      <c r="F5747" t="str">
        <f>"001080"</f>
        <v>0</v>
      </c>
      <c r="G5747" t="s">
        <v>21</v>
      </c>
    </row>
    <row r="5748" spans="1:7">
      <c r="A5748">
        <v>5747</v>
      </c>
      <c r="B5748" t="str">
        <f>"010490"</f>
        <v>0</v>
      </c>
      <c r="C5748" t="s">
        <v>9271</v>
      </c>
      <c r="D5748" t="s">
        <v>9272</v>
      </c>
      <c r="E5748" t="str">
        <f>"3940900219196"</f>
        <v>0</v>
      </c>
      <c r="F5748" t="str">
        <f>"001080"</f>
        <v>0</v>
      </c>
      <c r="G5748" t="s">
        <v>21</v>
      </c>
    </row>
    <row r="5749" spans="1:7">
      <c r="A5749">
        <v>5748</v>
      </c>
      <c r="B5749" t="str">
        <f>"011336"</f>
        <v>0</v>
      </c>
      <c r="C5749" t="s">
        <v>9273</v>
      </c>
      <c r="D5749" t="s">
        <v>9274</v>
      </c>
      <c r="E5749" t="str">
        <f>"3960300247920"</f>
        <v>0</v>
      </c>
      <c r="F5749" t="str">
        <f>"001080"</f>
        <v>0</v>
      </c>
      <c r="G5749" t="s">
        <v>21</v>
      </c>
    </row>
    <row r="5750" spans="1:7">
      <c r="A5750">
        <v>5749</v>
      </c>
      <c r="B5750" t="str">
        <f>"011505"</f>
        <v>0</v>
      </c>
      <c r="C5750" t="s">
        <v>802</v>
      </c>
      <c r="D5750" t="s">
        <v>9275</v>
      </c>
      <c r="E5750" t="str">
        <f>"3940900438611"</f>
        <v>0</v>
      </c>
      <c r="F5750" t="str">
        <f>"001080"</f>
        <v>0</v>
      </c>
      <c r="G5750" t="s">
        <v>21</v>
      </c>
    </row>
    <row r="5751" spans="1:7">
      <c r="A5751">
        <v>5750</v>
      </c>
      <c r="B5751" t="str">
        <f>"014450"</f>
        <v>0</v>
      </c>
      <c r="C5751" t="s">
        <v>9276</v>
      </c>
      <c r="D5751" t="s">
        <v>9277</v>
      </c>
      <c r="E5751" t="str">
        <f>"3940200423459"</f>
        <v>0</v>
      </c>
      <c r="F5751" t="str">
        <f>"001080"</f>
        <v>0</v>
      </c>
      <c r="G5751" t="s">
        <v>21</v>
      </c>
    </row>
    <row r="5752" spans="1:7">
      <c r="A5752">
        <v>5751</v>
      </c>
      <c r="B5752" t="str">
        <f>"015735"</f>
        <v>0</v>
      </c>
      <c r="C5752" t="s">
        <v>9278</v>
      </c>
      <c r="D5752" t="s">
        <v>9279</v>
      </c>
      <c r="E5752" t="str">
        <f>"3940300078257"</f>
        <v>0</v>
      </c>
      <c r="F5752" t="str">
        <f>"001080"</f>
        <v>0</v>
      </c>
      <c r="G5752" t="s">
        <v>21</v>
      </c>
    </row>
    <row r="5753" spans="1:7">
      <c r="A5753">
        <v>5752</v>
      </c>
      <c r="B5753" t="str">
        <f>"017392"</f>
        <v>0</v>
      </c>
      <c r="C5753" t="s">
        <v>9280</v>
      </c>
      <c r="D5753" t="s">
        <v>9281</v>
      </c>
      <c r="E5753" t="str">
        <f>"3960500146264"</f>
        <v>0</v>
      </c>
      <c r="F5753" t="str">
        <f>"001080"</f>
        <v>0</v>
      </c>
      <c r="G5753" t="s">
        <v>21</v>
      </c>
    </row>
    <row r="5754" spans="1:7">
      <c r="A5754">
        <v>5753</v>
      </c>
      <c r="B5754" t="str">
        <f>"018648"</f>
        <v>0</v>
      </c>
      <c r="C5754" t="s">
        <v>9282</v>
      </c>
      <c r="D5754" t="s">
        <v>1850</v>
      </c>
      <c r="E5754" t="str">
        <f>"3940100302587"</f>
        <v>0</v>
      </c>
      <c r="F5754" t="str">
        <f>"001080"</f>
        <v>0</v>
      </c>
      <c r="G5754" t="s">
        <v>21</v>
      </c>
    </row>
    <row r="5755" spans="1:7">
      <c r="A5755">
        <v>5754</v>
      </c>
      <c r="B5755" t="str">
        <f>"020170"</f>
        <v>0</v>
      </c>
      <c r="C5755" t="s">
        <v>2573</v>
      </c>
      <c r="D5755" t="s">
        <v>9283</v>
      </c>
      <c r="E5755" t="str">
        <f>"3930600096609"</f>
        <v>0</v>
      </c>
      <c r="F5755" t="str">
        <f>"001080"</f>
        <v>0</v>
      </c>
      <c r="G5755" t="s">
        <v>21</v>
      </c>
    </row>
    <row r="5756" spans="1:7">
      <c r="A5756">
        <v>5755</v>
      </c>
      <c r="B5756" t="str">
        <f>"017331"</f>
        <v>0</v>
      </c>
      <c r="C5756" t="s">
        <v>947</v>
      </c>
      <c r="D5756" t="s">
        <v>9284</v>
      </c>
      <c r="E5756" t="str">
        <f>"3940400314599"</f>
        <v>0</v>
      </c>
      <c r="F5756" t="str">
        <f>"001080"</f>
        <v>0</v>
      </c>
      <c r="G5756" t="s">
        <v>21</v>
      </c>
    </row>
    <row r="5757" spans="1:7">
      <c r="A5757">
        <v>5756</v>
      </c>
      <c r="B5757" t="str">
        <f>"020946"</f>
        <v>0</v>
      </c>
      <c r="C5757" t="s">
        <v>9285</v>
      </c>
      <c r="D5757" t="s">
        <v>9286</v>
      </c>
      <c r="E5757" t="str">
        <f>"3940900548939"</f>
        <v>0</v>
      </c>
      <c r="F5757" t="str">
        <f>"001080"</f>
        <v>0</v>
      </c>
      <c r="G5757" t="s">
        <v>21</v>
      </c>
    </row>
    <row r="5758" spans="1:7">
      <c r="A5758">
        <v>5757</v>
      </c>
      <c r="B5758" t="str">
        <f>"021233"</f>
        <v>0</v>
      </c>
      <c r="C5758" t="s">
        <v>2476</v>
      </c>
      <c r="D5758" t="s">
        <v>9287</v>
      </c>
      <c r="E5758" t="str">
        <f>"3940900429310"</f>
        <v>0</v>
      </c>
      <c r="F5758" t="str">
        <f>"001080"</f>
        <v>0</v>
      </c>
      <c r="G5758" t="s">
        <v>21</v>
      </c>
    </row>
    <row r="5759" spans="1:7">
      <c r="A5759">
        <v>5758</v>
      </c>
      <c r="B5759" t="str">
        <f>"005990"</f>
        <v>0</v>
      </c>
      <c r="C5759" t="s">
        <v>344</v>
      </c>
      <c r="D5759" t="s">
        <v>9288</v>
      </c>
      <c r="E5759" t="str">
        <f>"3949900248453"</f>
        <v>0</v>
      </c>
      <c r="F5759" t="str">
        <f>"001080"</f>
        <v>0</v>
      </c>
      <c r="G5759" t="s">
        <v>21</v>
      </c>
    </row>
    <row r="5760" spans="1:7">
      <c r="A5760">
        <v>5759</v>
      </c>
      <c r="B5760" t="str">
        <f>"010234"</f>
        <v>0</v>
      </c>
      <c r="C5760" t="s">
        <v>9289</v>
      </c>
      <c r="D5760" t="s">
        <v>9290</v>
      </c>
      <c r="E5760" t="str">
        <f>"5940299005065"</f>
        <v>0</v>
      </c>
      <c r="F5760" t="str">
        <f>"001080"</f>
        <v>0</v>
      </c>
      <c r="G5760" t="s">
        <v>21</v>
      </c>
    </row>
    <row r="5761" spans="1:7">
      <c r="A5761">
        <v>5760</v>
      </c>
      <c r="B5761" t="str">
        <f>"013624"</f>
        <v>0</v>
      </c>
      <c r="C5761" t="s">
        <v>9291</v>
      </c>
      <c r="D5761" t="s">
        <v>9292</v>
      </c>
      <c r="E5761" t="str">
        <f>"3959900533689"</f>
        <v>0</v>
      </c>
      <c r="F5761" t="str">
        <f>"001080"</f>
        <v>0</v>
      </c>
      <c r="G5761" t="s">
        <v>21</v>
      </c>
    </row>
    <row r="5762" spans="1:7">
      <c r="A5762">
        <v>5761</v>
      </c>
      <c r="B5762" t="str">
        <f>"021574"</f>
        <v>0</v>
      </c>
      <c r="C5762" t="s">
        <v>1216</v>
      </c>
      <c r="D5762" t="s">
        <v>9293</v>
      </c>
      <c r="E5762" t="str">
        <f>"3841500370387"</f>
        <v>0</v>
      </c>
      <c r="F5762" t="str">
        <f>"001080"</f>
        <v>0</v>
      </c>
      <c r="G5762" t="s">
        <v>21</v>
      </c>
    </row>
    <row r="5763" spans="1:7">
      <c r="A5763">
        <v>5762</v>
      </c>
      <c r="B5763" t="str">
        <f>"008995"</f>
        <v>0</v>
      </c>
      <c r="C5763" t="s">
        <v>44</v>
      </c>
      <c r="D5763" t="s">
        <v>9294</v>
      </c>
      <c r="E5763" t="str">
        <f>"3250600157841"</f>
        <v>0</v>
      </c>
      <c r="F5763" t="str">
        <f>"001080"</f>
        <v>0</v>
      </c>
      <c r="G5763" t="s">
        <v>21</v>
      </c>
    </row>
    <row r="5764" spans="1:7">
      <c r="A5764">
        <v>5763</v>
      </c>
      <c r="B5764" t="str">
        <f>"011827"</f>
        <v>0</v>
      </c>
      <c r="C5764" t="s">
        <v>9295</v>
      </c>
      <c r="D5764" t="s">
        <v>9296</v>
      </c>
      <c r="E5764" t="str">
        <f>"3909900798364"</f>
        <v>0</v>
      </c>
      <c r="F5764" t="str">
        <f>"001080"</f>
        <v>0</v>
      </c>
      <c r="G5764" t="s">
        <v>21</v>
      </c>
    </row>
    <row r="5765" spans="1:7">
      <c r="A5765">
        <v>5764</v>
      </c>
      <c r="B5765" t="str">
        <f>"016146"</f>
        <v>0</v>
      </c>
      <c r="C5765" t="s">
        <v>9297</v>
      </c>
      <c r="D5765" t="s">
        <v>9298</v>
      </c>
      <c r="E5765" t="str">
        <f>"3900500031181"</f>
        <v>0</v>
      </c>
      <c r="F5765" t="str">
        <f>"001080"</f>
        <v>0</v>
      </c>
      <c r="G5765" t="s">
        <v>21</v>
      </c>
    </row>
    <row r="5766" spans="1:7">
      <c r="A5766">
        <v>5765</v>
      </c>
      <c r="B5766" t="str">
        <f>"021659"</f>
        <v>0</v>
      </c>
      <c r="C5766" t="s">
        <v>9299</v>
      </c>
      <c r="D5766" t="s">
        <v>9300</v>
      </c>
      <c r="E5766" t="str">
        <f>"3900400128159"</f>
        <v>0</v>
      </c>
      <c r="F5766" t="str">
        <f>"001080"</f>
        <v>0</v>
      </c>
      <c r="G5766" t="s">
        <v>21</v>
      </c>
    </row>
    <row r="5767" spans="1:7">
      <c r="A5767">
        <v>5766</v>
      </c>
      <c r="B5767" t="str">
        <f>"023234"</f>
        <v>0</v>
      </c>
      <c r="C5767" t="s">
        <v>1768</v>
      </c>
      <c r="D5767" t="s">
        <v>9301</v>
      </c>
      <c r="E5767" t="str">
        <f>"3900500205384"</f>
        <v>0</v>
      </c>
      <c r="F5767" t="str">
        <f>"001080"</f>
        <v>0</v>
      </c>
      <c r="G5767" t="s">
        <v>21</v>
      </c>
    </row>
    <row r="5768" spans="1:7">
      <c r="A5768">
        <v>5767</v>
      </c>
      <c r="B5768" t="str">
        <f>"023403"</f>
        <v>0</v>
      </c>
      <c r="C5768" t="s">
        <v>9302</v>
      </c>
      <c r="D5768" t="s">
        <v>9303</v>
      </c>
      <c r="E5768" t="str">
        <f>"3900500421036"</f>
        <v>0</v>
      </c>
      <c r="F5768" t="str">
        <f>"001080"</f>
        <v>0</v>
      </c>
      <c r="G5768" t="s">
        <v>21</v>
      </c>
    </row>
    <row r="5769" spans="1:7">
      <c r="A5769">
        <v>5768</v>
      </c>
      <c r="B5769" t="str">
        <f>"024032"</f>
        <v>0</v>
      </c>
      <c r="C5769" t="s">
        <v>9304</v>
      </c>
      <c r="D5769" t="s">
        <v>9305</v>
      </c>
      <c r="E5769" t="str">
        <f>"3900400128060"</f>
        <v>0</v>
      </c>
      <c r="F5769" t="str">
        <f>"001080"</f>
        <v>0</v>
      </c>
      <c r="G5769" t="s">
        <v>21</v>
      </c>
    </row>
    <row r="5770" spans="1:7">
      <c r="A5770">
        <v>5769</v>
      </c>
      <c r="B5770" t="str">
        <f>"024050"</f>
        <v>0</v>
      </c>
      <c r="C5770" t="s">
        <v>9306</v>
      </c>
      <c r="D5770" t="s">
        <v>9307</v>
      </c>
      <c r="E5770" t="str">
        <f>"3900500201001"</f>
        <v>0</v>
      </c>
      <c r="F5770" t="str">
        <f>"001080"</f>
        <v>0</v>
      </c>
      <c r="G5770" t="s">
        <v>21</v>
      </c>
    </row>
    <row r="5771" spans="1:7">
      <c r="A5771">
        <v>5770</v>
      </c>
      <c r="B5771" t="str">
        <f>"024897"</f>
        <v>0</v>
      </c>
      <c r="C5771" t="s">
        <v>9308</v>
      </c>
      <c r="D5771" t="s">
        <v>9309</v>
      </c>
      <c r="E5771" t="str">
        <f>"3909900501507"</f>
        <v>0</v>
      </c>
      <c r="F5771" t="str">
        <f>"001080"</f>
        <v>0</v>
      </c>
      <c r="G5771" t="s">
        <v>21</v>
      </c>
    </row>
    <row r="5772" spans="1:7">
      <c r="A5772">
        <v>5771</v>
      </c>
      <c r="B5772" t="str">
        <f>"026507"</f>
        <v>0</v>
      </c>
      <c r="C5772" t="s">
        <v>9310</v>
      </c>
      <c r="D5772" t="s">
        <v>9311</v>
      </c>
      <c r="E5772" t="str">
        <f>"1909900272510"</f>
        <v>0</v>
      </c>
      <c r="F5772" t="str">
        <f>"001080"</f>
        <v>0</v>
      </c>
      <c r="G5772" t="s">
        <v>21</v>
      </c>
    </row>
    <row r="5773" spans="1:7">
      <c r="A5773">
        <v>5772</v>
      </c>
      <c r="B5773" t="str">
        <f>"027148"</f>
        <v>0</v>
      </c>
      <c r="C5773" t="s">
        <v>2490</v>
      </c>
      <c r="D5773" t="s">
        <v>9312</v>
      </c>
      <c r="E5773" t="str">
        <f>"1909899017345"</f>
        <v>0</v>
      </c>
      <c r="F5773" t="str">
        <f>"001080"</f>
        <v>0</v>
      </c>
      <c r="G5773" t="s">
        <v>21</v>
      </c>
    </row>
    <row r="5774" spans="1:7">
      <c r="A5774">
        <v>5773</v>
      </c>
      <c r="B5774" t="str">
        <f>"008271"</f>
        <v>0</v>
      </c>
      <c r="C5774" t="s">
        <v>9313</v>
      </c>
      <c r="D5774" t="s">
        <v>9314</v>
      </c>
      <c r="E5774" t="str">
        <f>"3940500216122"</f>
        <v>0</v>
      </c>
      <c r="F5774" t="str">
        <f>"001080"</f>
        <v>0</v>
      </c>
      <c r="G5774" t="s">
        <v>21</v>
      </c>
    </row>
    <row r="5775" spans="1:7">
      <c r="A5775">
        <v>5774</v>
      </c>
      <c r="B5775" t="str">
        <f>"008915"</f>
        <v>0</v>
      </c>
      <c r="C5775" t="s">
        <v>9315</v>
      </c>
      <c r="D5775" t="s">
        <v>9316</v>
      </c>
      <c r="E5775" t="str">
        <f>"3941000270048"</f>
        <v>0</v>
      </c>
      <c r="F5775" t="str">
        <f>"001080"</f>
        <v>0</v>
      </c>
      <c r="G5775" t="s">
        <v>21</v>
      </c>
    </row>
    <row r="5776" spans="1:7">
      <c r="A5776">
        <v>5775</v>
      </c>
      <c r="B5776" t="str">
        <f>"009289"</f>
        <v>0</v>
      </c>
      <c r="C5776" t="s">
        <v>9317</v>
      </c>
      <c r="D5776" t="s">
        <v>9318</v>
      </c>
      <c r="E5776" t="str">
        <f>"3959900216489"</f>
        <v>0</v>
      </c>
      <c r="F5776" t="str">
        <f>"001080"</f>
        <v>0</v>
      </c>
      <c r="G5776" t="s">
        <v>21</v>
      </c>
    </row>
    <row r="5777" spans="1:7">
      <c r="A5777">
        <v>5776</v>
      </c>
      <c r="B5777" t="str">
        <f>"009337"</f>
        <v>0</v>
      </c>
      <c r="C5777" t="s">
        <v>2239</v>
      </c>
      <c r="D5777" t="s">
        <v>9319</v>
      </c>
      <c r="E5777" t="str">
        <f>"3940500145349"</f>
        <v>0</v>
      </c>
      <c r="F5777" t="str">
        <f>"001080"</f>
        <v>0</v>
      </c>
      <c r="G5777" t="s">
        <v>21</v>
      </c>
    </row>
    <row r="5778" spans="1:7">
      <c r="A5778">
        <v>5777</v>
      </c>
      <c r="B5778" t="str">
        <f>"010066"</f>
        <v>0</v>
      </c>
      <c r="C5778" t="s">
        <v>9320</v>
      </c>
      <c r="D5778" t="s">
        <v>9321</v>
      </c>
      <c r="E5778" t="str">
        <f>"3940600055724"</f>
        <v>0</v>
      </c>
      <c r="F5778" t="str">
        <f>"001080"</f>
        <v>0</v>
      </c>
      <c r="G5778" t="s">
        <v>21</v>
      </c>
    </row>
    <row r="5779" spans="1:7">
      <c r="A5779">
        <v>5778</v>
      </c>
      <c r="B5779" t="str">
        <f>"010491"</f>
        <v>0</v>
      </c>
      <c r="C5779" t="s">
        <v>6897</v>
      </c>
      <c r="D5779" t="s">
        <v>9322</v>
      </c>
      <c r="E5779" t="str">
        <f>"3940400141473"</f>
        <v>0</v>
      </c>
      <c r="F5779" t="str">
        <f>"001080"</f>
        <v>0</v>
      </c>
      <c r="G5779" t="s">
        <v>21</v>
      </c>
    </row>
    <row r="5780" spans="1:7">
      <c r="A5780">
        <v>5779</v>
      </c>
      <c r="B5780" t="str">
        <f>"011199"</f>
        <v>0</v>
      </c>
      <c r="C5780" t="s">
        <v>7274</v>
      </c>
      <c r="D5780" t="s">
        <v>7502</v>
      </c>
      <c r="E5780" t="str">
        <f>"3930100866791"</f>
        <v>0</v>
      </c>
      <c r="F5780" t="str">
        <f>"001080"</f>
        <v>0</v>
      </c>
      <c r="G5780" t="s">
        <v>21</v>
      </c>
    </row>
    <row r="5781" spans="1:7">
      <c r="A5781">
        <v>5780</v>
      </c>
      <c r="B5781" t="str">
        <f>"014705"</f>
        <v>0</v>
      </c>
      <c r="C5781" t="s">
        <v>9323</v>
      </c>
      <c r="D5781" t="s">
        <v>6163</v>
      </c>
      <c r="E5781" t="str">
        <f>"3900300667716"</f>
        <v>0</v>
      </c>
      <c r="F5781" t="str">
        <f>"001080"</f>
        <v>0</v>
      </c>
      <c r="G5781" t="s">
        <v>21</v>
      </c>
    </row>
    <row r="5782" spans="1:7">
      <c r="A5782">
        <v>5781</v>
      </c>
      <c r="B5782" t="str">
        <f>"016145"</f>
        <v>0</v>
      </c>
      <c r="C5782" t="s">
        <v>9324</v>
      </c>
      <c r="D5782" t="s">
        <v>7209</v>
      </c>
      <c r="E5782" t="str">
        <f>"3940400179837"</f>
        <v>0</v>
      </c>
      <c r="F5782" t="str">
        <f>"001080"</f>
        <v>0</v>
      </c>
      <c r="G5782" t="s">
        <v>21</v>
      </c>
    </row>
    <row r="5783" spans="1:7">
      <c r="A5783">
        <v>5782</v>
      </c>
      <c r="B5783" t="str">
        <f>"016182"</f>
        <v>0</v>
      </c>
      <c r="C5783" t="s">
        <v>9325</v>
      </c>
      <c r="D5783" t="s">
        <v>9326</v>
      </c>
      <c r="E5783" t="str">
        <f>"3940200306762"</f>
        <v>0</v>
      </c>
      <c r="F5783" t="str">
        <f>"001080"</f>
        <v>0</v>
      </c>
      <c r="G5783" t="s">
        <v>21</v>
      </c>
    </row>
    <row r="5784" spans="1:7">
      <c r="A5784">
        <v>5783</v>
      </c>
      <c r="B5784" t="str">
        <f>"016244"</f>
        <v>0</v>
      </c>
      <c r="C5784" t="s">
        <v>9327</v>
      </c>
      <c r="D5784" t="s">
        <v>9328</v>
      </c>
      <c r="E5784" t="str">
        <f>"3940100300100"</f>
        <v>0</v>
      </c>
      <c r="F5784" t="str">
        <f>"001080"</f>
        <v>0</v>
      </c>
      <c r="G5784" t="s">
        <v>21</v>
      </c>
    </row>
    <row r="5785" spans="1:7">
      <c r="A5785">
        <v>5784</v>
      </c>
      <c r="B5785" t="str">
        <f>"017095"</f>
        <v>0</v>
      </c>
      <c r="C5785" t="s">
        <v>2283</v>
      </c>
      <c r="D5785" t="s">
        <v>9329</v>
      </c>
      <c r="E5785" t="str">
        <f>"3940900554726"</f>
        <v>0</v>
      </c>
      <c r="F5785" t="str">
        <f>"001080"</f>
        <v>0</v>
      </c>
      <c r="G5785" t="s">
        <v>21</v>
      </c>
    </row>
    <row r="5786" spans="1:7">
      <c r="A5786">
        <v>5785</v>
      </c>
      <c r="B5786" t="str">
        <f>"018237"</f>
        <v>0</v>
      </c>
      <c r="C5786" t="s">
        <v>9330</v>
      </c>
      <c r="D5786" t="s">
        <v>9331</v>
      </c>
      <c r="E5786" t="str">
        <f>"3900700082553"</f>
        <v>0</v>
      </c>
      <c r="F5786" t="str">
        <f>"001080"</f>
        <v>0</v>
      </c>
      <c r="G5786" t="s">
        <v>21</v>
      </c>
    </row>
    <row r="5787" spans="1:7">
      <c r="A5787">
        <v>5786</v>
      </c>
      <c r="B5787" t="str">
        <f>"018265"</f>
        <v>0</v>
      </c>
      <c r="C5787" t="s">
        <v>3554</v>
      </c>
      <c r="D5787" t="s">
        <v>9332</v>
      </c>
      <c r="E5787" t="str">
        <f>"3900500201559"</f>
        <v>0</v>
      </c>
      <c r="F5787" t="str">
        <f>"001080"</f>
        <v>0</v>
      </c>
      <c r="G5787" t="s">
        <v>21</v>
      </c>
    </row>
    <row r="5788" spans="1:7">
      <c r="A5788">
        <v>5787</v>
      </c>
      <c r="B5788" t="str">
        <f>"019008"</f>
        <v>0</v>
      </c>
      <c r="C5788" t="s">
        <v>9333</v>
      </c>
      <c r="D5788" t="s">
        <v>9334</v>
      </c>
      <c r="E5788" t="str">
        <f>"3940200058939"</f>
        <v>0</v>
      </c>
      <c r="F5788" t="str">
        <f>"001080"</f>
        <v>0</v>
      </c>
      <c r="G5788" t="s">
        <v>21</v>
      </c>
    </row>
    <row r="5789" spans="1:7">
      <c r="A5789">
        <v>5788</v>
      </c>
      <c r="B5789" t="str">
        <f>"019486"</f>
        <v>0</v>
      </c>
      <c r="C5789" t="s">
        <v>5942</v>
      </c>
      <c r="D5789" t="s">
        <v>9335</v>
      </c>
      <c r="E5789" t="str">
        <f>"3930300264573"</f>
        <v>0</v>
      </c>
      <c r="F5789" t="str">
        <f>"001080"</f>
        <v>0</v>
      </c>
      <c r="G5789" t="s">
        <v>21</v>
      </c>
    </row>
    <row r="5790" spans="1:7">
      <c r="A5790">
        <v>5789</v>
      </c>
      <c r="B5790" t="str">
        <f>"019488"</f>
        <v>0</v>
      </c>
      <c r="C5790" t="s">
        <v>9336</v>
      </c>
      <c r="D5790" t="s">
        <v>9337</v>
      </c>
      <c r="E5790" t="str">
        <f>"3949900330362"</f>
        <v>0</v>
      </c>
      <c r="F5790" t="str">
        <f>"001080"</f>
        <v>0</v>
      </c>
      <c r="G5790" t="s">
        <v>21</v>
      </c>
    </row>
    <row r="5791" spans="1:7">
      <c r="A5791">
        <v>5790</v>
      </c>
      <c r="B5791" t="str">
        <f>"019505"</f>
        <v>0</v>
      </c>
      <c r="C5791" t="s">
        <v>9338</v>
      </c>
      <c r="D5791" t="s">
        <v>9339</v>
      </c>
      <c r="E5791" t="str">
        <f>"3940700113921"</f>
        <v>0</v>
      </c>
      <c r="F5791" t="str">
        <f>"001080"</f>
        <v>0</v>
      </c>
      <c r="G5791" t="s">
        <v>21</v>
      </c>
    </row>
    <row r="5792" spans="1:7">
      <c r="A5792">
        <v>5791</v>
      </c>
      <c r="B5792" t="str">
        <f>"020116"</f>
        <v>0</v>
      </c>
      <c r="C5792" t="s">
        <v>9340</v>
      </c>
      <c r="D5792" t="s">
        <v>9341</v>
      </c>
      <c r="E5792" t="str">
        <f>"3949900089924"</f>
        <v>0</v>
      </c>
      <c r="F5792" t="str">
        <f>"001080"</f>
        <v>0</v>
      </c>
      <c r="G5792" t="s">
        <v>21</v>
      </c>
    </row>
    <row r="5793" spans="1:7">
      <c r="A5793">
        <v>5792</v>
      </c>
      <c r="B5793" t="str">
        <f>"020253"</f>
        <v>0</v>
      </c>
      <c r="C5793" t="s">
        <v>949</v>
      </c>
      <c r="D5793" t="s">
        <v>9342</v>
      </c>
      <c r="E5793" t="str">
        <f>"3940500365209"</f>
        <v>0</v>
      </c>
      <c r="F5793" t="str">
        <f>"001080"</f>
        <v>0</v>
      </c>
      <c r="G5793" t="s">
        <v>21</v>
      </c>
    </row>
    <row r="5794" spans="1:7">
      <c r="A5794">
        <v>5793</v>
      </c>
      <c r="B5794" t="str">
        <f>"020361"</f>
        <v>0</v>
      </c>
      <c r="C5794" t="s">
        <v>9343</v>
      </c>
      <c r="D5794" t="s">
        <v>9344</v>
      </c>
      <c r="E5794" t="str">
        <f>"3940400233017"</f>
        <v>0</v>
      </c>
      <c r="F5794" t="str">
        <f>"001080"</f>
        <v>0</v>
      </c>
      <c r="G5794" t="s">
        <v>21</v>
      </c>
    </row>
    <row r="5795" spans="1:7">
      <c r="A5795">
        <v>5794</v>
      </c>
      <c r="B5795" t="str">
        <f>"020580"</f>
        <v>0</v>
      </c>
      <c r="C5795" t="s">
        <v>9345</v>
      </c>
      <c r="D5795" t="s">
        <v>700</v>
      </c>
      <c r="E5795" t="str">
        <f>"3940400001752"</f>
        <v>0</v>
      </c>
      <c r="F5795" t="str">
        <f>"001080"</f>
        <v>0</v>
      </c>
      <c r="G5795" t="s">
        <v>21</v>
      </c>
    </row>
    <row r="5796" spans="1:7">
      <c r="A5796">
        <v>5795</v>
      </c>
      <c r="B5796" t="str">
        <f>"020776"</f>
        <v>0</v>
      </c>
      <c r="C5796" t="s">
        <v>9346</v>
      </c>
      <c r="D5796" t="s">
        <v>9347</v>
      </c>
      <c r="E5796" t="str">
        <f>"3949900042723"</f>
        <v>0</v>
      </c>
      <c r="F5796" t="str">
        <f>"001080"</f>
        <v>0</v>
      </c>
      <c r="G5796" t="s">
        <v>21</v>
      </c>
    </row>
    <row r="5797" spans="1:7">
      <c r="A5797">
        <v>5796</v>
      </c>
      <c r="B5797" t="str">
        <f>"020934"</f>
        <v>0</v>
      </c>
      <c r="C5797" t="s">
        <v>9348</v>
      </c>
      <c r="D5797" t="s">
        <v>9349</v>
      </c>
      <c r="E5797" t="str">
        <f>"3940400159011"</f>
        <v>0</v>
      </c>
      <c r="F5797" t="str">
        <f>"001080"</f>
        <v>0</v>
      </c>
      <c r="G5797" t="s">
        <v>21</v>
      </c>
    </row>
    <row r="5798" spans="1:7">
      <c r="A5798">
        <v>5797</v>
      </c>
      <c r="B5798" t="str">
        <f>"020936"</f>
        <v>0</v>
      </c>
      <c r="C5798" t="s">
        <v>9350</v>
      </c>
      <c r="D5798" t="s">
        <v>9337</v>
      </c>
      <c r="E5798" t="str">
        <f>"3949900303799"</f>
        <v>0</v>
      </c>
      <c r="F5798" t="str">
        <f>"001080"</f>
        <v>0</v>
      </c>
      <c r="G5798" t="s">
        <v>21</v>
      </c>
    </row>
    <row r="5799" spans="1:7">
      <c r="A5799">
        <v>5798</v>
      </c>
      <c r="B5799" t="str">
        <f>"020938"</f>
        <v>0</v>
      </c>
      <c r="C5799" t="s">
        <v>9351</v>
      </c>
      <c r="D5799" t="s">
        <v>9352</v>
      </c>
      <c r="E5799" t="str">
        <f>"1959900050550"</f>
        <v>0</v>
      </c>
      <c r="F5799" t="str">
        <f>"001080"</f>
        <v>0</v>
      </c>
      <c r="G5799" t="s">
        <v>21</v>
      </c>
    </row>
    <row r="5800" spans="1:7">
      <c r="A5800">
        <v>5799</v>
      </c>
      <c r="B5800" t="str">
        <f>"020939"</f>
        <v>0</v>
      </c>
      <c r="C5800" t="s">
        <v>570</v>
      </c>
      <c r="D5800" t="s">
        <v>9353</v>
      </c>
      <c r="E5800" t="str">
        <f>"3801300656449"</f>
        <v>0</v>
      </c>
      <c r="F5800" t="str">
        <f>"001080"</f>
        <v>0</v>
      </c>
      <c r="G5800" t="s">
        <v>21</v>
      </c>
    </row>
    <row r="5801" spans="1:7">
      <c r="A5801">
        <v>5800</v>
      </c>
      <c r="B5801" t="str">
        <f>"020942"</f>
        <v>0</v>
      </c>
      <c r="C5801" t="s">
        <v>413</v>
      </c>
      <c r="D5801" t="s">
        <v>9354</v>
      </c>
      <c r="E5801" t="str">
        <f>"3920600055252"</f>
        <v>0</v>
      </c>
      <c r="F5801" t="str">
        <f>"001080"</f>
        <v>0</v>
      </c>
      <c r="G5801" t="s">
        <v>21</v>
      </c>
    </row>
    <row r="5802" spans="1:7">
      <c r="A5802">
        <v>5801</v>
      </c>
      <c r="B5802" t="str">
        <f>"020943"</f>
        <v>0</v>
      </c>
      <c r="C5802" t="s">
        <v>9355</v>
      </c>
      <c r="D5802" t="s">
        <v>8090</v>
      </c>
      <c r="E5802" t="str">
        <f>"3940400051873"</f>
        <v>0</v>
      </c>
      <c r="F5802" t="str">
        <f>"001080"</f>
        <v>0</v>
      </c>
      <c r="G5802" t="s">
        <v>21</v>
      </c>
    </row>
    <row r="5803" spans="1:7">
      <c r="A5803">
        <v>5802</v>
      </c>
      <c r="B5803" t="str">
        <f>"020944"</f>
        <v>0</v>
      </c>
      <c r="C5803" t="s">
        <v>9356</v>
      </c>
      <c r="D5803" t="s">
        <v>9357</v>
      </c>
      <c r="E5803" t="str">
        <f>"3930100916780"</f>
        <v>0</v>
      </c>
      <c r="F5803" t="str">
        <f>"001080"</f>
        <v>0</v>
      </c>
      <c r="G5803" t="s">
        <v>21</v>
      </c>
    </row>
    <row r="5804" spans="1:7">
      <c r="A5804">
        <v>5803</v>
      </c>
      <c r="B5804" t="str">
        <f>"020972"</f>
        <v>0</v>
      </c>
      <c r="C5804" t="s">
        <v>9358</v>
      </c>
      <c r="D5804" t="s">
        <v>9359</v>
      </c>
      <c r="E5804" t="str">
        <f>"1940400003520"</f>
        <v>0</v>
      </c>
      <c r="F5804" t="str">
        <f>"001080"</f>
        <v>0</v>
      </c>
      <c r="G5804" t="s">
        <v>21</v>
      </c>
    </row>
    <row r="5805" spans="1:7">
      <c r="A5805">
        <v>5804</v>
      </c>
      <c r="B5805" t="str">
        <f>"020973"</f>
        <v>0</v>
      </c>
      <c r="C5805" t="s">
        <v>460</v>
      </c>
      <c r="D5805" t="s">
        <v>9360</v>
      </c>
      <c r="E5805" t="str">
        <f>"3940300219098"</f>
        <v>0</v>
      </c>
      <c r="F5805" t="str">
        <f>"001080"</f>
        <v>0</v>
      </c>
      <c r="G5805" t="s">
        <v>21</v>
      </c>
    </row>
    <row r="5806" spans="1:7">
      <c r="A5806">
        <v>5805</v>
      </c>
      <c r="B5806" t="str">
        <f>"020974"</f>
        <v>0</v>
      </c>
      <c r="C5806" t="s">
        <v>9361</v>
      </c>
      <c r="D5806" t="s">
        <v>9362</v>
      </c>
      <c r="E5806" t="str">
        <f>"3949900060012"</f>
        <v>0</v>
      </c>
      <c r="F5806" t="str">
        <f>"001080"</f>
        <v>0</v>
      </c>
      <c r="G5806" t="s">
        <v>21</v>
      </c>
    </row>
    <row r="5807" spans="1:7">
      <c r="A5807">
        <v>5806</v>
      </c>
      <c r="B5807" t="str">
        <f>"021008"</f>
        <v>0</v>
      </c>
      <c r="C5807" t="s">
        <v>9363</v>
      </c>
      <c r="D5807" t="s">
        <v>9364</v>
      </c>
      <c r="E5807" t="str">
        <f>"3940400167898"</f>
        <v>0</v>
      </c>
      <c r="F5807" t="str">
        <f>"001080"</f>
        <v>0</v>
      </c>
      <c r="G5807" t="s">
        <v>21</v>
      </c>
    </row>
    <row r="5808" spans="1:7">
      <c r="A5808">
        <v>5807</v>
      </c>
      <c r="B5808" t="str">
        <f>"021009"</f>
        <v>0</v>
      </c>
      <c r="C5808" t="s">
        <v>3248</v>
      </c>
      <c r="D5808" t="s">
        <v>9365</v>
      </c>
      <c r="E5808" t="str">
        <f>"1969900003951"</f>
        <v>0</v>
      </c>
      <c r="F5808" t="str">
        <f>"001080"</f>
        <v>0</v>
      </c>
      <c r="G5808" t="s">
        <v>21</v>
      </c>
    </row>
    <row r="5809" spans="1:7">
      <c r="A5809">
        <v>5808</v>
      </c>
      <c r="B5809" t="str">
        <f>"021169"</f>
        <v>0</v>
      </c>
      <c r="C5809" t="s">
        <v>9366</v>
      </c>
      <c r="D5809" t="s">
        <v>9367</v>
      </c>
      <c r="E5809" t="str">
        <f>"3949900098320"</f>
        <v>0</v>
      </c>
      <c r="F5809" t="str">
        <f>"001080"</f>
        <v>0</v>
      </c>
      <c r="G5809" t="s">
        <v>21</v>
      </c>
    </row>
    <row r="5810" spans="1:7">
      <c r="A5810">
        <v>5809</v>
      </c>
      <c r="B5810" t="str">
        <f>"021576"</f>
        <v>0</v>
      </c>
      <c r="C5810" t="s">
        <v>9368</v>
      </c>
      <c r="D5810" t="s">
        <v>9369</v>
      </c>
      <c r="E5810" t="str">
        <f>"3910500252676"</f>
        <v>0</v>
      </c>
      <c r="F5810" t="str">
        <f>"001080"</f>
        <v>0</v>
      </c>
      <c r="G5810" t="s">
        <v>21</v>
      </c>
    </row>
    <row r="5811" spans="1:7">
      <c r="A5811">
        <v>5810</v>
      </c>
      <c r="B5811" t="str">
        <f>"021578"</f>
        <v>0</v>
      </c>
      <c r="C5811" t="s">
        <v>9370</v>
      </c>
      <c r="D5811" t="s">
        <v>9371</v>
      </c>
      <c r="E5811" t="str">
        <f>"3909900019080"</f>
        <v>0</v>
      </c>
      <c r="F5811" t="str">
        <f>"001080"</f>
        <v>0</v>
      </c>
      <c r="G5811" t="s">
        <v>21</v>
      </c>
    </row>
    <row r="5812" spans="1:7">
      <c r="A5812">
        <v>5811</v>
      </c>
      <c r="B5812" t="str">
        <f>"021836"</f>
        <v>0</v>
      </c>
      <c r="C5812" t="s">
        <v>9372</v>
      </c>
      <c r="D5812" t="s">
        <v>9373</v>
      </c>
      <c r="E5812" t="str">
        <f>"3940300119964"</f>
        <v>0</v>
      </c>
      <c r="F5812" t="str">
        <f>"001080"</f>
        <v>0</v>
      </c>
      <c r="G5812" t="s">
        <v>21</v>
      </c>
    </row>
    <row r="5813" spans="1:7">
      <c r="A5813">
        <v>5812</v>
      </c>
      <c r="B5813" t="str">
        <f>"021925"</f>
        <v>0</v>
      </c>
      <c r="C5813" t="s">
        <v>9374</v>
      </c>
      <c r="D5813" t="s">
        <v>9375</v>
      </c>
      <c r="E5813" t="str">
        <f>"3940400142313"</f>
        <v>0</v>
      </c>
      <c r="F5813" t="str">
        <f>"001080"</f>
        <v>0</v>
      </c>
      <c r="G5813" t="s">
        <v>21</v>
      </c>
    </row>
    <row r="5814" spans="1:7">
      <c r="A5814">
        <v>5813</v>
      </c>
      <c r="B5814" t="str">
        <f>"022247"</f>
        <v>0</v>
      </c>
      <c r="C5814" t="s">
        <v>4783</v>
      </c>
      <c r="D5814" t="s">
        <v>9376</v>
      </c>
      <c r="E5814" t="str">
        <f>"3940200638161"</f>
        <v>0</v>
      </c>
      <c r="F5814" t="str">
        <f>"001080"</f>
        <v>0</v>
      </c>
      <c r="G5814" t="s">
        <v>21</v>
      </c>
    </row>
    <row r="5815" spans="1:7">
      <c r="A5815">
        <v>5814</v>
      </c>
      <c r="B5815" t="str">
        <f>"022516"</f>
        <v>0</v>
      </c>
      <c r="C5815" t="s">
        <v>9377</v>
      </c>
      <c r="D5815" t="s">
        <v>9378</v>
      </c>
      <c r="E5815" t="str">
        <f>"1900400012146"</f>
        <v>0</v>
      </c>
      <c r="F5815" t="str">
        <f>"001080"</f>
        <v>0</v>
      </c>
      <c r="G5815" t="s">
        <v>21</v>
      </c>
    </row>
    <row r="5816" spans="1:7">
      <c r="A5816">
        <v>5815</v>
      </c>
      <c r="B5816" t="str">
        <f>"022518"</f>
        <v>0</v>
      </c>
      <c r="C5816" t="s">
        <v>9379</v>
      </c>
      <c r="D5816" t="s">
        <v>9380</v>
      </c>
      <c r="E5816" t="str">
        <f>"3940900466223"</f>
        <v>0</v>
      </c>
      <c r="F5816" t="str">
        <f>"001080"</f>
        <v>0</v>
      </c>
      <c r="G5816" t="s">
        <v>21</v>
      </c>
    </row>
    <row r="5817" spans="1:7">
      <c r="A5817">
        <v>5816</v>
      </c>
      <c r="B5817" t="str">
        <f>"022519"</f>
        <v>0</v>
      </c>
      <c r="C5817" t="s">
        <v>9381</v>
      </c>
      <c r="D5817" t="s">
        <v>9382</v>
      </c>
      <c r="E5817" t="str">
        <f>"3940100395011"</f>
        <v>0</v>
      </c>
      <c r="F5817" t="str">
        <f>"001080"</f>
        <v>0</v>
      </c>
      <c r="G5817" t="s">
        <v>21</v>
      </c>
    </row>
    <row r="5818" spans="1:7">
      <c r="A5818">
        <v>5817</v>
      </c>
      <c r="B5818" t="str">
        <f>"022520"</f>
        <v>0</v>
      </c>
      <c r="C5818" t="s">
        <v>9383</v>
      </c>
      <c r="D5818" t="s">
        <v>9384</v>
      </c>
      <c r="E5818" t="str">
        <f>"3949900118754"</f>
        <v>0</v>
      </c>
      <c r="F5818" t="str">
        <f>"001080"</f>
        <v>0</v>
      </c>
      <c r="G5818" t="s">
        <v>21</v>
      </c>
    </row>
    <row r="5819" spans="1:7">
      <c r="A5819">
        <v>5818</v>
      </c>
      <c r="B5819" t="str">
        <f>"022522"</f>
        <v>0</v>
      </c>
      <c r="C5819" t="s">
        <v>9385</v>
      </c>
      <c r="D5819" t="s">
        <v>8322</v>
      </c>
      <c r="E5819" t="str">
        <f>"1940800001231"</f>
        <v>0</v>
      </c>
      <c r="F5819" t="str">
        <f>"001080"</f>
        <v>0</v>
      </c>
      <c r="G5819" t="s">
        <v>21</v>
      </c>
    </row>
    <row r="5820" spans="1:7">
      <c r="A5820">
        <v>5819</v>
      </c>
      <c r="B5820" t="str">
        <f>"022619"</f>
        <v>0</v>
      </c>
      <c r="C5820" t="s">
        <v>9386</v>
      </c>
      <c r="D5820" t="s">
        <v>9387</v>
      </c>
      <c r="E5820" t="str">
        <f>"3949900058069"</f>
        <v>0</v>
      </c>
      <c r="F5820" t="str">
        <f>"001080"</f>
        <v>0</v>
      </c>
      <c r="G5820" t="s">
        <v>21</v>
      </c>
    </row>
    <row r="5821" spans="1:7">
      <c r="A5821">
        <v>5820</v>
      </c>
      <c r="B5821" t="str">
        <f>"022799"</f>
        <v>0</v>
      </c>
      <c r="C5821" t="s">
        <v>9388</v>
      </c>
      <c r="D5821" t="s">
        <v>9389</v>
      </c>
      <c r="E5821" t="str">
        <f>"3940300207804"</f>
        <v>0</v>
      </c>
      <c r="F5821" t="str">
        <f>"001080"</f>
        <v>0</v>
      </c>
      <c r="G5821" t="s">
        <v>21</v>
      </c>
    </row>
    <row r="5822" spans="1:7">
      <c r="A5822">
        <v>5821</v>
      </c>
      <c r="B5822" t="str">
        <f>"023708"</f>
        <v>0</v>
      </c>
      <c r="C5822" t="s">
        <v>9390</v>
      </c>
      <c r="D5822" t="s">
        <v>9391</v>
      </c>
      <c r="E5822" t="str">
        <f>"3940100159814"</f>
        <v>0</v>
      </c>
      <c r="F5822" t="str">
        <f>"001080"</f>
        <v>0</v>
      </c>
      <c r="G5822" t="s">
        <v>21</v>
      </c>
    </row>
    <row r="5823" spans="1:7">
      <c r="A5823">
        <v>5822</v>
      </c>
      <c r="B5823" t="str">
        <f>"023709"</f>
        <v>0</v>
      </c>
      <c r="C5823" t="s">
        <v>9392</v>
      </c>
      <c r="D5823" t="s">
        <v>9393</v>
      </c>
      <c r="E5823" t="str">
        <f>"1949900064186"</f>
        <v>0</v>
      </c>
      <c r="F5823" t="str">
        <f>"001080"</f>
        <v>0</v>
      </c>
      <c r="G5823" t="s">
        <v>21</v>
      </c>
    </row>
    <row r="5824" spans="1:7">
      <c r="A5824">
        <v>5823</v>
      </c>
      <c r="B5824" t="str">
        <f>"024028"</f>
        <v>0</v>
      </c>
      <c r="C5824" t="s">
        <v>9394</v>
      </c>
      <c r="D5824" t="s">
        <v>9337</v>
      </c>
      <c r="E5824" t="str">
        <f>"1949800001221"</f>
        <v>0</v>
      </c>
      <c r="F5824" t="str">
        <f>"001080"</f>
        <v>0</v>
      </c>
      <c r="G5824" t="s">
        <v>21</v>
      </c>
    </row>
    <row r="5825" spans="1:7">
      <c r="A5825">
        <v>5824</v>
      </c>
      <c r="B5825" t="str">
        <f>"024029"</f>
        <v>0</v>
      </c>
      <c r="C5825" t="s">
        <v>2117</v>
      </c>
      <c r="D5825" t="s">
        <v>9395</v>
      </c>
      <c r="E5825" t="str">
        <f>"3909900627535"</f>
        <v>0</v>
      </c>
      <c r="F5825" t="str">
        <f>"001080"</f>
        <v>0</v>
      </c>
      <c r="G5825" t="s">
        <v>21</v>
      </c>
    </row>
    <row r="5826" spans="1:7">
      <c r="A5826">
        <v>5825</v>
      </c>
      <c r="B5826" t="str">
        <f>"024033"</f>
        <v>0</v>
      </c>
      <c r="C5826" t="s">
        <v>9396</v>
      </c>
      <c r="D5826" t="s">
        <v>9397</v>
      </c>
      <c r="E5826" t="str">
        <f>"3940100186790"</f>
        <v>0</v>
      </c>
      <c r="F5826" t="str">
        <f>"001080"</f>
        <v>0</v>
      </c>
      <c r="G5826" t="s">
        <v>21</v>
      </c>
    </row>
    <row r="5827" spans="1:7">
      <c r="A5827">
        <v>5826</v>
      </c>
      <c r="B5827" t="str">
        <f>"024047"</f>
        <v>0</v>
      </c>
      <c r="C5827" t="s">
        <v>9398</v>
      </c>
      <c r="D5827" t="s">
        <v>9399</v>
      </c>
      <c r="E5827" t="str">
        <f>"3960100254124"</f>
        <v>0</v>
      </c>
      <c r="F5827" t="str">
        <f>"001080"</f>
        <v>0</v>
      </c>
      <c r="G5827" t="s">
        <v>21</v>
      </c>
    </row>
    <row r="5828" spans="1:7">
      <c r="A5828">
        <v>5827</v>
      </c>
      <c r="B5828" t="str">
        <f>"024087"</f>
        <v>0</v>
      </c>
      <c r="C5828" t="s">
        <v>1190</v>
      </c>
      <c r="D5828" t="s">
        <v>9400</v>
      </c>
      <c r="E5828" t="str">
        <f>"1949900033752"</f>
        <v>0</v>
      </c>
      <c r="F5828" t="str">
        <f>"001080"</f>
        <v>0</v>
      </c>
      <c r="G5828" t="s">
        <v>21</v>
      </c>
    </row>
    <row r="5829" spans="1:7">
      <c r="A5829">
        <v>5828</v>
      </c>
      <c r="B5829" t="str">
        <f>"024242"</f>
        <v>0</v>
      </c>
      <c r="C5829" t="s">
        <v>9401</v>
      </c>
      <c r="D5829" t="s">
        <v>9402</v>
      </c>
      <c r="E5829" t="str">
        <f>"3949900127605"</f>
        <v>0</v>
      </c>
      <c r="F5829" t="str">
        <f>"001080"</f>
        <v>0</v>
      </c>
      <c r="G5829" t="s">
        <v>21</v>
      </c>
    </row>
    <row r="5830" spans="1:7">
      <c r="A5830">
        <v>5829</v>
      </c>
      <c r="B5830" t="str">
        <f>"024507"</f>
        <v>0</v>
      </c>
      <c r="C5830" t="s">
        <v>9403</v>
      </c>
      <c r="D5830" t="s">
        <v>8358</v>
      </c>
      <c r="E5830" t="str">
        <f>"3960300176691"</f>
        <v>0</v>
      </c>
      <c r="F5830" t="str">
        <f>"001080"</f>
        <v>0</v>
      </c>
      <c r="G5830" t="s">
        <v>21</v>
      </c>
    </row>
    <row r="5831" spans="1:7">
      <c r="A5831">
        <v>5830</v>
      </c>
      <c r="B5831" t="str">
        <f>"024898"</f>
        <v>0</v>
      </c>
      <c r="C5831" t="s">
        <v>9404</v>
      </c>
      <c r="D5831" t="s">
        <v>9405</v>
      </c>
      <c r="E5831" t="str">
        <f>"1949900067436"</f>
        <v>0</v>
      </c>
      <c r="F5831" t="str">
        <f>"001080"</f>
        <v>0</v>
      </c>
      <c r="G5831" t="s">
        <v>21</v>
      </c>
    </row>
    <row r="5832" spans="1:7">
      <c r="A5832">
        <v>5831</v>
      </c>
      <c r="B5832" t="str">
        <f>"024956"</f>
        <v>0</v>
      </c>
      <c r="C5832" t="s">
        <v>9406</v>
      </c>
      <c r="D5832" t="s">
        <v>9407</v>
      </c>
      <c r="E5832" t="str">
        <f>"1940100013074"</f>
        <v>0</v>
      </c>
      <c r="F5832" t="str">
        <f>"001080"</f>
        <v>0</v>
      </c>
      <c r="G5832" t="s">
        <v>21</v>
      </c>
    </row>
    <row r="5833" spans="1:7">
      <c r="A5833">
        <v>5832</v>
      </c>
      <c r="B5833" t="str">
        <f>"024957"</f>
        <v>0</v>
      </c>
      <c r="C5833" t="s">
        <v>3005</v>
      </c>
      <c r="D5833" t="s">
        <v>9408</v>
      </c>
      <c r="E5833" t="str">
        <f>"3949900168069"</f>
        <v>0</v>
      </c>
      <c r="F5833" t="str">
        <f>"001080"</f>
        <v>0</v>
      </c>
      <c r="G5833" t="s">
        <v>21</v>
      </c>
    </row>
    <row r="5834" spans="1:7">
      <c r="A5834">
        <v>5833</v>
      </c>
      <c r="B5834" t="str">
        <f>"025136"</f>
        <v>0</v>
      </c>
      <c r="C5834" t="s">
        <v>9409</v>
      </c>
      <c r="D5834" t="s">
        <v>9410</v>
      </c>
      <c r="E5834" t="str">
        <f>"3940100407419"</f>
        <v>0</v>
      </c>
      <c r="F5834" t="str">
        <f>"001080"</f>
        <v>0</v>
      </c>
      <c r="G5834" t="s">
        <v>21</v>
      </c>
    </row>
    <row r="5835" spans="1:7">
      <c r="A5835">
        <v>5834</v>
      </c>
      <c r="B5835" t="str">
        <f>"025795"</f>
        <v>0</v>
      </c>
      <c r="C5835" t="s">
        <v>9411</v>
      </c>
      <c r="D5835" t="s">
        <v>9412</v>
      </c>
      <c r="E5835" t="str">
        <f>"3940100361141"</f>
        <v>0</v>
      </c>
      <c r="F5835" t="str">
        <f>"001080"</f>
        <v>0</v>
      </c>
      <c r="G5835" t="s">
        <v>21</v>
      </c>
    </row>
    <row r="5836" spans="1:7">
      <c r="A5836">
        <v>5835</v>
      </c>
      <c r="B5836" t="str">
        <f>"026137"</f>
        <v>0</v>
      </c>
      <c r="C5836" t="s">
        <v>9413</v>
      </c>
      <c r="D5836" t="s">
        <v>8442</v>
      </c>
      <c r="E5836" t="str">
        <f>"1940500037914"</f>
        <v>0</v>
      </c>
      <c r="F5836" t="str">
        <f>"001080"</f>
        <v>0</v>
      </c>
      <c r="G5836" t="s">
        <v>21</v>
      </c>
    </row>
    <row r="5837" spans="1:7">
      <c r="A5837">
        <v>5836</v>
      </c>
      <c r="B5837" t="str">
        <f>"026365"</f>
        <v>0</v>
      </c>
      <c r="C5837" t="s">
        <v>9414</v>
      </c>
      <c r="D5837" t="s">
        <v>9380</v>
      </c>
      <c r="E5837" t="str">
        <f>"3949900064263"</f>
        <v>0</v>
      </c>
      <c r="F5837" t="str">
        <f>"001080"</f>
        <v>0</v>
      </c>
      <c r="G5837" t="s">
        <v>21</v>
      </c>
    </row>
    <row r="5838" spans="1:7">
      <c r="A5838">
        <v>5837</v>
      </c>
      <c r="B5838" t="str">
        <f>"027044"</f>
        <v>0</v>
      </c>
      <c r="C5838" t="s">
        <v>9415</v>
      </c>
      <c r="D5838" t="s">
        <v>9416</v>
      </c>
      <c r="E5838" t="str">
        <f>"3940200008834"</f>
        <v>0</v>
      </c>
      <c r="F5838" t="str">
        <f>"001080"</f>
        <v>0</v>
      </c>
      <c r="G5838" t="s">
        <v>21</v>
      </c>
    </row>
    <row r="5839" spans="1:7">
      <c r="A5839">
        <v>5838</v>
      </c>
      <c r="B5839" t="str">
        <f>"015974"</f>
        <v>0</v>
      </c>
      <c r="C5839" t="s">
        <v>9417</v>
      </c>
      <c r="D5839" t="s">
        <v>9418</v>
      </c>
      <c r="E5839" t="str">
        <f>"3950600503620"</f>
        <v>0</v>
      </c>
      <c r="F5839" t="str">
        <f>"001080"</f>
        <v>0</v>
      </c>
      <c r="G5839" t="s">
        <v>21</v>
      </c>
    </row>
    <row r="5840" spans="1:7">
      <c r="A5840">
        <v>5839</v>
      </c>
      <c r="B5840" t="str">
        <f>"024358"</f>
        <v>0</v>
      </c>
      <c r="C5840" t="s">
        <v>9419</v>
      </c>
      <c r="D5840" t="s">
        <v>9420</v>
      </c>
      <c r="E5840" t="str">
        <f>"3950600251591"</f>
        <v>0</v>
      </c>
      <c r="F5840" t="str">
        <f>"001080"</f>
        <v>0</v>
      </c>
      <c r="G5840" t="s">
        <v>21</v>
      </c>
    </row>
    <row r="5841" spans="1:7">
      <c r="A5841">
        <v>5840</v>
      </c>
      <c r="B5841" t="str">
        <f>"019756"</f>
        <v>0</v>
      </c>
      <c r="C5841" t="s">
        <v>9421</v>
      </c>
      <c r="D5841" t="s">
        <v>9422</v>
      </c>
      <c r="E5841" t="str">
        <f>"3940200423521"</f>
        <v>0</v>
      </c>
      <c r="F5841" t="str">
        <f>"001080"</f>
        <v>0</v>
      </c>
      <c r="G5841" t="s">
        <v>21</v>
      </c>
    </row>
    <row r="5842" spans="1:7">
      <c r="A5842">
        <v>5841</v>
      </c>
      <c r="B5842" t="str">
        <f>"025438"</f>
        <v>0</v>
      </c>
      <c r="C5842" t="s">
        <v>9423</v>
      </c>
      <c r="D5842" t="s">
        <v>9424</v>
      </c>
      <c r="E5842" t="str">
        <f>"1969900027621"</f>
        <v>0</v>
      </c>
      <c r="F5842" t="str">
        <f>"001080"</f>
        <v>0</v>
      </c>
      <c r="G5842" t="s">
        <v>21</v>
      </c>
    </row>
    <row r="5843" spans="1:7">
      <c r="A5843">
        <v>5842</v>
      </c>
      <c r="B5843" t="str">
        <f>"027147"</f>
        <v>0</v>
      </c>
      <c r="C5843" t="s">
        <v>9425</v>
      </c>
      <c r="D5843" t="s">
        <v>9426</v>
      </c>
      <c r="E5843" t="str">
        <f>"1960100079369"</f>
        <v>0</v>
      </c>
      <c r="F5843" t="str">
        <f>"001080"</f>
        <v>0</v>
      </c>
      <c r="G5843" t="s">
        <v>21</v>
      </c>
    </row>
    <row r="5844" spans="1:7">
      <c r="A5844">
        <v>5843</v>
      </c>
      <c r="B5844" t="str">
        <f>"000446"</f>
        <v>0</v>
      </c>
      <c r="C5844" t="s">
        <v>9427</v>
      </c>
      <c r="D5844" t="s">
        <v>9428</v>
      </c>
      <c r="E5844" t="str">
        <f>"3140100056320"</f>
        <v>0</v>
      </c>
      <c r="F5844" t="str">
        <f>"001100"</f>
        <v>0</v>
      </c>
      <c r="G5844" t="s">
        <v>21</v>
      </c>
    </row>
    <row r="5845" spans="1:7">
      <c r="A5845">
        <v>5844</v>
      </c>
      <c r="B5845" t="str">
        <f>"001220"</f>
        <v>0</v>
      </c>
      <c r="C5845" t="s">
        <v>36</v>
      </c>
      <c r="D5845" t="s">
        <v>9429</v>
      </c>
      <c r="E5845" t="str">
        <f>"3140800257735"</f>
        <v>0</v>
      </c>
      <c r="F5845" t="str">
        <f>"001100"</f>
        <v>0</v>
      </c>
      <c r="G5845" t="s">
        <v>21</v>
      </c>
    </row>
    <row r="5846" spans="1:7">
      <c r="A5846">
        <v>5845</v>
      </c>
      <c r="B5846" t="str">
        <f>"001337"</f>
        <v>0</v>
      </c>
      <c r="C5846" t="s">
        <v>3799</v>
      </c>
      <c r="D5846" t="s">
        <v>2473</v>
      </c>
      <c r="E5846" t="str">
        <f>"5140199006288"</f>
        <v>0</v>
      </c>
      <c r="F5846" t="str">
        <f>"001100"</f>
        <v>0</v>
      </c>
      <c r="G5846" t="s">
        <v>21</v>
      </c>
    </row>
    <row r="5847" spans="1:7">
      <c r="A5847">
        <v>5846</v>
      </c>
      <c r="B5847" t="str">
        <f>"001375"</f>
        <v>0</v>
      </c>
      <c r="C5847" t="s">
        <v>4039</v>
      </c>
      <c r="D5847" t="s">
        <v>9430</v>
      </c>
      <c r="E5847" t="str">
        <f>"3149900244846"</f>
        <v>0</v>
      </c>
      <c r="F5847" t="str">
        <f>"001100"</f>
        <v>0</v>
      </c>
      <c r="G5847" t="s">
        <v>21</v>
      </c>
    </row>
    <row r="5848" spans="1:7">
      <c r="A5848">
        <v>5847</v>
      </c>
      <c r="B5848" t="str">
        <f>"001427"</f>
        <v>0</v>
      </c>
      <c r="C5848" t="s">
        <v>6170</v>
      </c>
      <c r="D5848" t="s">
        <v>9431</v>
      </c>
      <c r="E5848" t="str">
        <f>"3140500329200"</f>
        <v>0</v>
      </c>
      <c r="F5848" t="str">
        <f>"001100"</f>
        <v>0</v>
      </c>
      <c r="G5848" t="s">
        <v>21</v>
      </c>
    </row>
    <row r="5849" spans="1:7">
      <c r="A5849">
        <v>5848</v>
      </c>
      <c r="B5849" t="str">
        <f>"001428"</f>
        <v>0</v>
      </c>
      <c r="C5849" t="s">
        <v>239</v>
      </c>
      <c r="D5849" t="s">
        <v>9432</v>
      </c>
      <c r="E5849" t="str">
        <f>"3149700066600"</f>
        <v>0</v>
      </c>
      <c r="F5849" t="str">
        <f>"001100"</f>
        <v>0</v>
      </c>
      <c r="G5849" t="s">
        <v>21</v>
      </c>
    </row>
    <row r="5850" spans="1:7">
      <c r="A5850">
        <v>5849</v>
      </c>
      <c r="B5850" t="str">
        <f>"002143"</f>
        <v>0</v>
      </c>
      <c r="C5850" t="s">
        <v>590</v>
      </c>
      <c r="D5850" t="s">
        <v>9433</v>
      </c>
      <c r="E5850" t="str">
        <f>"3149900101999"</f>
        <v>0</v>
      </c>
      <c r="F5850" t="str">
        <f>"001100"</f>
        <v>0</v>
      </c>
      <c r="G5850" t="s">
        <v>21</v>
      </c>
    </row>
    <row r="5851" spans="1:7">
      <c r="A5851">
        <v>5850</v>
      </c>
      <c r="B5851" t="str">
        <f>"002545"</f>
        <v>0</v>
      </c>
      <c r="C5851" t="s">
        <v>2232</v>
      </c>
      <c r="D5851" t="s">
        <v>9434</v>
      </c>
      <c r="E5851" t="str">
        <f>"3140100362374"</f>
        <v>0</v>
      </c>
      <c r="F5851" t="str">
        <f>"001100"</f>
        <v>0</v>
      </c>
      <c r="G5851" t="s">
        <v>21</v>
      </c>
    </row>
    <row r="5852" spans="1:7">
      <c r="A5852">
        <v>5851</v>
      </c>
      <c r="B5852" t="str">
        <f>"002625"</f>
        <v>0</v>
      </c>
      <c r="C5852" t="s">
        <v>814</v>
      </c>
      <c r="D5852" t="s">
        <v>9435</v>
      </c>
      <c r="E5852" t="str">
        <f>"3149990003274"</f>
        <v>0</v>
      </c>
      <c r="F5852" t="str">
        <f>"001100"</f>
        <v>0</v>
      </c>
      <c r="G5852" t="s">
        <v>21</v>
      </c>
    </row>
    <row r="5853" spans="1:7">
      <c r="A5853">
        <v>5852</v>
      </c>
      <c r="B5853" t="str">
        <f>"002691"</f>
        <v>0</v>
      </c>
      <c r="C5853" t="s">
        <v>2455</v>
      </c>
      <c r="D5853" t="s">
        <v>9436</v>
      </c>
      <c r="E5853" t="str">
        <f>"3149900172179"</f>
        <v>0</v>
      </c>
      <c r="F5853" t="str">
        <f>"001100"</f>
        <v>0</v>
      </c>
      <c r="G5853" t="s">
        <v>21</v>
      </c>
    </row>
    <row r="5854" spans="1:7">
      <c r="A5854">
        <v>5853</v>
      </c>
      <c r="B5854" t="str">
        <f>"002760"</f>
        <v>0</v>
      </c>
      <c r="C5854" t="s">
        <v>9437</v>
      </c>
      <c r="D5854" t="s">
        <v>7741</v>
      </c>
      <c r="E5854" t="str">
        <f>"3149900053315"</f>
        <v>0</v>
      </c>
      <c r="F5854" t="str">
        <f>"001100"</f>
        <v>0</v>
      </c>
      <c r="G5854" t="s">
        <v>21</v>
      </c>
    </row>
    <row r="5855" spans="1:7">
      <c r="A5855">
        <v>5854</v>
      </c>
      <c r="B5855" t="str">
        <f>"003062"</f>
        <v>0</v>
      </c>
      <c r="C5855" t="s">
        <v>9438</v>
      </c>
      <c r="D5855" t="s">
        <v>2181</v>
      </c>
      <c r="E5855" t="str">
        <f>"3149900323436"</f>
        <v>0</v>
      </c>
      <c r="F5855" t="str">
        <f>"001100"</f>
        <v>0</v>
      </c>
      <c r="G5855" t="s">
        <v>21</v>
      </c>
    </row>
    <row r="5856" spans="1:7">
      <c r="A5856">
        <v>5855</v>
      </c>
      <c r="B5856" t="str">
        <f>"003287"</f>
        <v>0</v>
      </c>
      <c r="C5856" t="s">
        <v>56</v>
      </c>
      <c r="D5856" t="s">
        <v>9439</v>
      </c>
      <c r="E5856" t="str">
        <f>"3149900335124"</f>
        <v>0</v>
      </c>
      <c r="F5856" t="str">
        <f>"001100"</f>
        <v>0</v>
      </c>
      <c r="G5856" t="s">
        <v>21</v>
      </c>
    </row>
    <row r="5857" spans="1:7">
      <c r="A5857">
        <v>5856</v>
      </c>
      <c r="B5857" t="str">
        <f>"004234"</f>
        <v>0</v>
      </c>
      <c r="C5857" t="s">
        <v>8726</v>
      </c>
      <c r="D5857" t="s">
        <v>9440</v>
      </c>
      <c r="E5857" t="str">
        <f>"3141600010630"</f>
        <v>0</v>
      </c>
      <c r="F5857" t="str">
        <f>"001100"</f>
        <v>0</v>
      </c>
      <c r="G5857" t="s">
        <v>21</v>
      </c>
    </row>
    <row r="5858" spans="1:7">
      <c r="A5858">
        <v>5857</v>
      </c>
      <c r="B5858" t="str">
        <f>"004236"</f>
        <v>0</v>
      </c>
      <c r="C5858" t="s">
        <v>442</v>
      </c>
      <c r="D5858" t="s">
        <v>9441</v>
      </c>
      <c r="E5858" t="str">
        <f>"3141600052162"</f>
        <v>0</v>
      </c>
      <c r="F5858" t="str">
        <f>"001100"</f>
        <v>0</v>
      </c>
      <c r="G5858" t="s">
        <v>21</v>
      </c>
    </row>
    <row r="5859" spans="1:7">
      <c r="A5859">
        <v>5858</v>
      </c>
      <c r="B5859" t="str">
        <f>"005122"</f>
        <v>0</v>
      </c>
      <c r="C5859" t="s">
        <v>9442</v>
      </c>
      <c r="D5859" t="s">
        <v>9443</v>
      </c>
      <c r="E5859" t="str">
        <f>"3140100157878"</f>
        <v>0</v>
      </c>
      <c r="F5859" t="str">
        <f>"001100"</f>
        <v>0</v>
      </c>
      <c r="G5859" t="s">
        <v>21</v>
      </c>
    </row>
    <row r="5860" spans="1:7">
      <c r="A5860">
        <v>5859</v>
      </c>
      <c r="B5860" t="str">
        <f>"005642"</f>
        <v>0</v>
      </c>
      <c r="C5860" t="s">
        <v>9444</v>
      </c>
      <c r="D5860" t="s">
        <v>9445</v>
      </c>
      <c r="E5860" t="str">
        <f>"3102200993734"</f>
        <v>0</v>
      </c>
      <c r="F5860" t="str">
        <f>"001100"</f>
        <v>0</v>
      </c>
      <c r="G5860" t="s">
        <v>21</v>
      </c>
    </row>
    <row r="5861" spans="1:7">
      <c r="A5861">
        <v>5860</v>
      </c>
      <c r="B5861" t="str">
        <f>"005662"</f>
        <v>0</v>
      </c>
      <c r="C5861" t="s">
        <v>9446</v>
      </c>
      <c r="D5861" t="s">
        <v>9447</v>
      </c>
      <c r="E5861" t="str">
        <f>"3140900246310"</f>
        <v>0</v>
      </c>
      <c r="F5861" t="str">
        <f>"001100"</f>
        <v>0</v>
      </c>
      <c r="G5861" t="s">
        <v>21</v>
      </c>
    </row>
    <row r="5862" spans="1:7">
      <c r="A5862">
        <v>5861</v>
      </c>
      <c r="B5862" t="str">
        <f>"005704"</f>
        <v>0</v>
      </c>
      <c r="C5862" t="s">
        <v>3841</v>
      </c>
      <c r="D5862" t="s">
        <v>9448</v>
      </c>
      <c r="E5862" t="str">
        <f>"3140700029382"</f>
        <v>0</v>
      </c>
      <c r="F5862" t="str">
        <f>"001100"</f>
        <v>0</v>
      </c>
      <c r="G5862" t="s">
        <v>21</v>
      </c>
    </row>
    <row r="5863" spans="1:7">
      <c r="A5863">
        <v>5862</v>
      </c>
      <c r="B5863" t="str">
        <f>"005881"</f>
        <v>0</v>
      </c>
      <c r="C5863" t="s">
        <v>9449</v>
      </c>
      <c r="D5863" t="s">
        <v>9450</v>
      </c>
      <c r="E5863" t="str">
        <f>"3209900152142"</f>
        <v>0</v>
      </c>
      <c r="F5863" t="str">
        <f>"001100"</f>
        <v>0</v>
      </c>
      <c r="G5863" t="s">
        <v>21</v>
      </c>
    </row>
    <row r="5864" spans="1:7">
      <c r="A5864">
        <v>5863</v>
      </c>
      <c r="B5864" t="str">
        <f>"005930"</f>
        <v>0</v>
      </c>
      <c r="C5864" t="s">
        <v>178</v>
      </c>
      <c r="D5864" t="s">
        <v>8874</v>
      </c>
      <c r="E5864" t="str">
        <f>"3149900250455"</f>
        <v>0</v>
      </c>
      <c r="F5864" t="str">
        <f>"001100"</f>
        <v>0</v>
      </c>
      <c r="G5864" t="s">
        <v>21</v>
      </c>
    </row>
    <row r="5865" spans="1:7">
      <c r="A5865">
        <v>5864</v>
      </c>
      <c r="B5865" t="str">
        <f>"006165"</f>
        <v>0</v>
      </c>
      <c r="C5865" t="s">
        <v>6174</v>
      </c>
      <c r="D5865" t="s">
        <v>9451</v>
      </c>
      <c r="E5865" t="str">
        <f>"3140800017831"</f>
        <v>0</v>
      </c>
      <c r="F5865" t="str">
        <f>"001100"</f>
        <v>0</v>
      </c>
      <c r="G5865" t="s">
        <v>21</v>
      </c>
    </row>
    <row r="5866" spans="1:7">
      <c r="A5866">
        <v>5865</v>
      </c>
      <c r="B5866" t="str">
        <f>"006302"</f>
        <v>0</v>
      </c>
      <c r="C5866" t="s">
        <v>9452</v>
      </c>
      <c r="D5866" t="s">
        <v>9453</v>
      </c>
      <c r="E5866" t="str">
        <f>"3149900243971"</f>
        <v>0</v>
      </c>
      <c r="F5866" t="str">
        <f>"001100"</f>
        <v>0</v>
      </c>
      <c r="G5866" t="s">
        <v>21</v>
      </c>
    </row>
    <row r="5867" spans="1:7">
      <c r="A5867">
        <v>5866</v>
      </c>
      <c r="B5867" t="str">
        <f>"006811"</f>
        <v>0</v>
      </c>
      <c r="C5867" t="s">
        <v>9454</v>
      </c>
      <c r="D5867" t="s">
        <v>9455</v>
      </c>
      <c r="E5867" t="str">
        <f>"3570400734061"</f>
        <v>0</v>
      </c>
      <c r="F5867" t="str">
        <f>"001100"</f>
        <v>0</v>
      </c>
      <c r="G5867" t="s">
        <v>21</v>
      </c>
    </row>
    <row r="5868" spans="1:7">
      <c r="A5868">
        <v>5867</v>
      </c>
      <c r="B5868" t="str">
        <f>"006888"</f>
        <v>0</v>
      </c>
      <c r="C5868" t="s">
        <v>154</v>
      </c>
      <c r="D5868" t="s">
        <v>9456</v>
      </c>
      <c r="E5868" t="str">
        <f>"3190800081947"</f>
        <v>0</v>
      </c>
      <c r="F5868" t="str">
        <f>"001100"</f>
        <v>0</v>
      </c>
      <c r="G5868" t="s">
        <v>21</v>
      </c>
    </row>
    <row r="5869" spans="1:7">
      <c r="A5869">
        <v>5868</v>
      </c>
      <c r="B5869" t="str">
        <f>"007674"</f>
        <v>0</v>
      </c>
      <c r="C5869" t="s">
        <v>6681</v>
      </c>
      <c r="D5869" t="s">
        <v>9457</v>
      </c>
      <c r="E5869" t="str">
        <f>"3149900469708"</f>
        <v>0</v>
      </c>
      <c r="F5869" t="str">
        <f>"001100"</f>
        <v>0</v>
      </c>
      <c r="G5869" t="s">
        <v>21</v>
      </c>
    </row>
    <row r="5870" spans="1:7">
      <c r="A5870">
        <v>5869</v>
      </c>
      <c r="B5870" t="str">
        <f>"007726"</f>
        <v>0</v>
      </c>
      <c r="C5870" t="s">
        <v>2634</v>
      </c>
      <c r="D5870" t="s">
        <v>9458</v>
      </c>
      <c r="E5870" t="str">
        <f>"3239900070626"</f>
        <v>0</v>
      </c>
      <c r="F5870" t="str">
        <f>"001100"</f>
        <v>0</v>
      </c>
      <c r="G5870" t="s">
        <v>21</v>
      </c>
    </row>
    <row r="5871" spans="1:7">
      <c r="A5871">
        <v>5870</v>
      </c>
      <c r="B5871" t="str">
        <f>"007815"</f>
        <v>0</v>
      </c>
      <c r="C5871" t="s">
        <v>9103</v>
      </c>
      <c r="D5871" t="s">
        <v>9459</v>
      </c>
      <c r="E5871" t="str">
        <f>"3411300049228"</f>
        <v>0</v>
      </c>
      <c r="F5871" t="str">
        <f>"001100"</f>
        <v>0</v>
      </c>
      <c r="G5871" t="s">
        <v>21</v>
      </c>
    </row>
    <row r="5872" spans="1:7">
      <c r="A5872">
        <v>5871</v>
      </c>
      <c r="B5872" t="str">
        <f>"007816"</f>
        <v>0</v>
      </c>
      <c r="C5872" t="s">
        <v>9460</v>
      </c>
      <c r="D5872" t="s">
        <v>9459</v>
      </c>
      <c r="E5872" t="str">
        <f>"3411300049210"</f>
        <v>0</v>
      </c>
      <c r="F5872" t="str">
        <f>"001100"</f>
        <v>0</v>
      </c>
      <c r="G5872" t="s">
        <v>21</v>
      </c>
    </row>
    <row r="5873" spans="1:7">
      <c r="A5873">
        <v>5872</v>
      </c>
      <c r="B5873" t="str">
        <f>"008250"</f>
        <v>0</v>
      </c>
      <c r="C5873" t="s">
        <v>62</v>
      </c>
      <c r="D5873" t="s">
        <v>9461</v>
      </c>
      <c r="E5873" t="str">
        <f>"3140600372425"</f>
        <v>0</v>
      </c>
      <c r="F5873" t="str">
        <f>"001100"</f>
        <v>0</v>
      </c>
      <c r="G5873" t="s">
        <v>21</v>
      </c>
    </row>
    <row r="5874" spans="1:7">
      <c r="A5874">
        <v>5873</v>
      </c>
      <c r="B5874" t="str">
        <f>"008284"</f>
        <v>0</v>
      </c>
      <c r="C5874" t="s">
        <v>6446</v>
      </c>
      <c r="D5874" t="s">
        <v>9462</v>
      </c>
      <c r="E5874" t="str">
        <f>"3170100240180"</f>
        <v>0</v>
      </c>
      <c r="F5874" t="str">
        <f>"001100"</f>
        <v>0</v>
      </c>
      <c r="G5874" t="s">
        <v>21</v>
      </c>
    </row>
    <row r="5875" spans="1:7">
      <c r="A5875">
        <v>5874</v>
      </c>
      <c r="B5875" t="str">
        <f>"008427"</f>
        <v>0</v>
      </c>
      <c r="C5875" t="s">
        <v>9463</v>
      </c>
      <c r="D5875" t="s">
        <v>9464</v>
      </c>
      <c r="E5875" t="str">
        <f>"3140800142725"</f>
        <v>0</v>
      </c>
      <c r="F5875" t="str">
        <f>"001100"</f>
        <v>0</v>
      </c>
      <c r="G5875" t="s">
        <v>21</v>
      </c>
    </row>
    <row r="5876" spans="1:7">
      <c r="A5876">
        <v>5875</v>
      </c>
      <c r="B5876" t="str">
        <f>"008594"</f>
        <v>0</v>
      </c>
      <c r="C5876" t="s">
        <v>9465</v>
      </c>
      <c r="D5876" t="s">
        <v>9466</v>
      </c>
      <c r="E5876" t="str">
        <f>"4160800001593"</f>
        <v>0</v>
      </c>
      <c r="F5876" t="str">
        <f>"001100"</f>
        <v>0</v>
      </c>
      <c r="G5876" t="s">
        <v>21</v>
      </c>
    </row>
    <row r="5877" spans="1:7">
      <c r="A5877">
        <v>5876</v>
      </c>
      <c r="B5877" t="str">
        <f>"008654"</f>
        <v>0</v>
      </c>
      <c r="C5877" t="s">
        <v>458</v>
      </c>
      <c r="D5877" t="s">
        <v>9467</v>
      </c>
      <c r="E5877" t="str">
        <f>"3140500216081"</f>
        <v>0</v>
      </c>
      <c r="F5877" t="str">
        <f>"001100"</f>
        <v>0</v>
      </c>
      <c r="G5877" t="s">
        <v>21</v>
      </c>
    </row>
    <row r="5878" spans="1:7">
      <c r="A5878">
        <v>5877</v>
      </c>
      <c r="B5878" t="str">
        <f>"008933"</f>
        <v>0</v>
      </c>
      <c r="C5878" t="s">
        <v>837</v>
      </c>
      <c r="D5878" t="s">
        <v>9468</v>
      </c>
      <c r="E5878" t="str">
        <f>"3730101065378"</f>
        <v>0</v>
      </c>
      <c r="F5878" t="str">
        <f>"001100"</f>
        <v>0</v>
      </c>
      <c r="G5878" t="s">
        <v>21</v>
      </c>
    </row>
    <row r="5879" spans="1:7">
      <c r="A5879">
        <v>5878</v>
      </c>
      <c r="B5879" t="str">
        <f>"009773"</f>
        <v>0</v>
      </c>
      <c r="C5879" t="s">
        <v>442</v>
      </c>
      <c r="D5879" t="s">
        <v>9469</v>
      </c>
      <c r="E5879" t="str">
        <f>"3150200059886"</f>
        <v>0</v>
      </c>
      <c r="F5879" t="str">
        <f>"001100"</f>
        <v>0</v>
      </c>
      <c r="G5879" t="s">
        <v>21</v>
      </c>
    </row>
    <row r="5880" spans="1:7">
      <c r="A5880">
        <v>5879</v>
      </c>
      <c r="B5880" t="str">
        <f>"009806"</f>
        <v>0</v>
      </c>
      <c r="C5880" t="s">
        <v>2417</v>
      </c>
      <c r="D5880" t="s">
        <v>9470</v>
      </c>
      <c r="E5880" t="str">
        <f>"3100500873236"</f>
        <v>0</v>
      </c>
      <c r="F5880" t="str">
        <f>"001100"</f>
        <v>0</v>
      </c>
      <c r="G5880" t="s">
        <v>21</v>
      </c>
    </row>
    <row r="5881" spans="1:7">
      <c r="A5881">
        <v>5880</v>
      </c>
      <c r="B5881" t="str">
        <f>"010928"</f>
        <v>0</v>
      </c>
      <c r="C5881" t="s">
        <v>3801</v>
      </c>
      <c r="D5881" t="s">
        <v>9471</v>
      </c>
      <c r="E5881" t="str">
        <f>"3141400314058"</f>
        <v>0</v>
      </c>
      <c r="F5881" t="str">
        <f>"001100"</f>
        <v>0</v>
      </c>
      <c r="G5881" t="s">
        <v>21</v>
      </c>
    </row>
    <row r="5882" spans="1:7">
      <c r="A5882">
        <v>5881</v>
      </c>
      <c r="B5882" t="str">
        <f>"010935"</f>
        <v>0</v>
      </c>
      <c r="C5882" t="s">
        <v>5135</v>
      </c>
      <c r="D5882" t="s">
        <v>9472</v>
      </c>
      <c r="E5882" t="str">
        <f>"3149900442826"</f>
        <v>0</v>
      </c>
      <c r="F5882" t="str">
        <f>"001100"</f>
        <v>0</v>
      </c>
      <c r="G5882" t="s">
        <v>21</v>
      </c>
    </row>
    <row r="5883" spans="1:7">
      <c r="A5883">
        <v>5882</v>
      </c>
      <c r="B5883" t="str">
        <f>"011155"</f>
        <v>0</v>
      </c>
      <c r="C5883" t="s">
        <v>9473</v>
      </c>
      <c r="D5883" t="s">
        <v>9474</v>
      </c>
      <c r="E5883" t="str">
        <f>"3600800585240"</f>
        <v>0</v>
      </c>
      <c r="F5883" t="str">
        <f>"001100"</f>
        <v>0</v>
      </c>
      <c r="G5883" t="s">
        <v>21</v>
      </c>
    </row>
    <row r="5884" spans="1:7">
      <c r="A5884">
        <v>5883</v>
      </c>
      <c r="B5884" t="str">
        <f>"011390"</f>
        <v>0</v>
      </c>
      <c r="C5884" t="s">
        <v>154</v>
      </c>
      <c r="D5884" t="s">
        <v>9475</v>
      </c>
      <c r="E5884" t="str">
        <f>"3140200232863"</f>
        <v>0</v>
      </c>
      <c r="F5884" t="str">
        <f>"001100"</f>
        <v>0</v>
      </c>
      <c r="G5884" t="s">
        <v>21</v>
      </c>
    </row>
    <row r="5885" spans="1:7">
      <c r="A5885">
        <v>5884</v>
      </c>
      <c r="B5885" t="str">
        <f>"011415"</f>
        <v>0</v>
      </c>
      <c r="C5885" t="s">
        <v>7575</v>
      </c>
      <c r="D5885" t="s">
        <v>9476</v>
      </c>
      <c r="E5885" t="str">
        <f>"3700100106747"</f>
        <v>0</v>
      </c>
      <c r="F5885" t="str">
        <f>"001100"</f>
        <v>0</v>
      </c>
      <c r="G5885" t="s">
        <v>21</v>
      </c>
    </row>
    <row r="5886" spans="1:7">
      <c r="A5886">
        <v>5885</v>
      </c>
      <c r="B5886" t="str">
        <f>"011548"</f>
        <v>0</v>
      </c>
      <c r="C5886" t="s">
        <v>9477</v>
      </c>
      <c r="D5886" t="s">
        <v>9478</v>
      </c>
      <c r="E5886" t="str">
        <f>"3140900079952"</f>
        <v>0</v>
      </c>
      <c r="F5886" t="str">
        <f>"001100"</f>
        <v>0</v>
      </c>
      <c r="G5886" t="s">
        <v>21</v>
      </c>
    </row>
    <row r="5887" spans="1:7">
      <c r="A5887">
        <v>5886</v>
      </c>
      <c r="B5887" t="str">
        <f>"011743"</f>
        <v>0</v>
      </c>
      <c r="C5887" t="s">
        <v>9479</v>
      </c>
      <c r="D5887" t="s">
        <v>9480</v>
      </c>
      <c r="E5887" t="str">
        <f>"3149900032393"</f>
        <v>0</v>
      </c>
      <c r="F5887" t="str">
        <f>"001100"</f>
        <v>0</v>
      </c>
      <c r="G5887" t="s">
        <v>21</v>
      </c>
    </row>
    <row r="5888" spans="1:7">
      <c r="A5888">
        <v>5887</v>
      </c>
      <c r="B5888" t="str">
        <f>"012654"</f>
        <v>0</v>
      </c>
      <c r="C5888" t="s">
        <v>3776</v>
      </c>
      <c r="D5888" t="s">
        <v>9481</v>
      </c>
      <c r="E5888" t="str">
        <f>"3150300025631"</f>
        <v>0</v>
      </c>
      <c r="F5888" t="str">
        <f>"001100"</f>
        <v>0</v>
      </c>
      <c r="G5888" t="s">
        <v>21</v>
      </c>
    </row>
    <row r="5889" spans="1:7">
      <c r="A5889">
        <v>5888</v>
      </c>
      <c r="B5889" t="str">
        <f>"013040"</f>
        <v>0</v>
      </c>
      <c r="C5889" t="s">
        <v>9482</v>
      </c>
      <c r="D5889" t="s">
        <v>9483</v>
      </c>
      <c r="E5889" t="str">
        <f>"3149700024028"</f>
        <v>0</v>
      </c>
      <c r="F5889" t="str">
        <f>"001100"</f>
        <v>0</v>
      </c>
      <c r="G5889" t="s">
        <v>21</v>
      </c>
    </row>
    <row r="5890" spans="1:7">
      <c r="A5890">
        <v>5889</v>
      </c>
      <c r="B5890" t="str">
        <f>"013141"</f>
        <v>0</v>
      </c>
      <c r="C5890" t="s">
        <v>130</v>
      </c>
      <c r="D5890" t="s">
        <v>3368</v>
      </c>
      <c r="E5890" t="str">
        <f>"3220500010903"</f>
        <v>0</v>
      </c>
      <c r="F5890" t="str">
        <f>"001100"</f>
        <v>0</v>
      </c>
      <c r="G5890" t="s">
        <v>21</v>
      </c>
    </row>
    <row r="5891" spans="1:7">
      <c r="A5891">
        <v>5890</v>
      </c>
      <c r="B5891" t="str">
        <f>"013207"</f>
        <v>0</v>
      </c>
      <c r="C5891" t="s">
        <v>433</v>
      </c>
      <c r="D5891" t="s">
        <v>9484</v>
      </c>
      <c r="E5891" t="str">
        <f>"3141490001747"</f>
        <v>0</v>
      </c>
      <c r="F5891" t="str">
        <f>"001100"</f>
        <v>0</v>
      </c>
      <c r="G5891" t="s">
        <v>21</v>
      </c>
    </row>
    <row r="5892" spans="1:7">
      <c r="A5892">
        <v>5891</v>
      </c>
      <c r="B5892" t="str">
        <f>"013552"</f>
        <v>0</v>
      </c>
      <c r="C5892" t="s">
        <v>837</v>
      </c>
      <c r="D5892" t="s">
        <v>9485</v>
      </c>
      <c r="E5892" t="str">
        <f>"3180100434821"</f>
        <v>0</v>
      </c>
      <c r="F5892" t="str">
        <f>"001100"</f>
        <v>0</v>
      </c>
      <c r="G5892" t="s">
        <v>21</v>
      </c>
    </row>
    <row r="5893" spans="1:7">
      <c r="A5893">
        <v>5892</v>
      </c>
      <c r="B5893" t="str">
        <f>"013796"</f>
        <v>0</v>
      </c>
      <c r="C5893" t="s">
        <v>9486</v>
      </c>
      <c r="D5893" t="s">
        <v>9487</v>
      </c>
      <c r="E5893" t="str">
        <f>"3169800009691"</f>
        <v>0</v>
      </c>
      <c r="F5893" t="str">
        <f>"001100"</f>
        <v>0</v>
      </c>
      <c r="G5893" t="s">
        <v>21</v>
      </c>
    </row>
    <row r="5894" spans="1:7">
      <c r="A5894">
        <v>5893</v>
      </c>
      <c r="B5894" t="str">
        <f>"014034"</f>
        <v>0</v>
      </c>
      <c r="C5894" t="s">
        <v>1341</v>
      </c>
      <c r="D5894" t="s">
        <v>9488</v>
      </c>
      <c r="E5894" t="str">
        <f>"3601200148028"</f>
        <v>0</v>
      </c>
      <c r="F5894" t="str">
        <f>"001100"</f>
        <v>0</v>
      </c>
      <c r="G5894" t="s">
        <v>21</v>
      </c>
    </row>
    <row r="5895" spans="1:7">
      <c r="A5895">
        <v>5894</v>
      </c>
      <c r="B5895" t="str">
        <f>"014171"</f>
        <v>0</v>
      </c>
      <c r="C5895" t="s">
        <v>9489</v>
      </c>
      <c r="D5895" t="s">
        <v>9490</v>
      </c>
      <c r="E5895" t="str">
        <f>"3149900518211"</f>
        <v>0</v>
      </c>
      <c r="F5895" t="str">
        <f>"001100"</f>
        <v>0</v>
      </c>
      <c r="G5895" t="s">
        <v>21</v>
      </c>
    </row>
    <row r="5896" spans="1:7">
      <c r="A5896">
        <v>5895</v>
      </c>
      <c r="B5896" t="str">
        <f>"015720"</f>
        <v>0</v>
      </c>
      <c r="C5896" t="s">
        <v>9491</v>
      </c>
      <c r="D5896" t="s">
        <v>9492</v>
      </c>
      <c r="E5896" t="str">
        <f>"3141400036856"</f>
        <v>0</v>
      </c>
      <c r="F5896" t="str">
        <f>"001100"</f>
        <v>0</v>
      </c>
      <c r="G5896" t="s">
        <v>21</v>
      </c>
    </row>
    <row r="5897" spans="1:7">
      <c r="A5897">
        <v>5896</v>
      </c>
      <c r="B5897" t="str">
        <f>"015744"</f>
        <v>0</v>
      </c>
      <c r="C5897" t="s">
        <v>887</v>
      </c>
      <c r="D5897" t="s">
        <v>9493</v>
      </c>
      <c r="E5897" t="str">
        <f>"3149900259924"</f>
        <v>0</v>
      </c>
      <c r="F5897" t="str">
        <f>"001100"</f>
        <v>0</v>
      </c>
      <c r="G5897" t="s">
        <v>21</v>
      </c>
    </row>
    <row r="5898" spans="1:7">
      <c r="A5898">
        <v>5897</v>
      </c>
      <c r="B5898" t="str">
        <f>"015752"</f>
        <v>0</v>
      </c>
      <c r="C5898" t="s">
        <v>46</v>
      </c>
      <c r="D5898" t="s">
        <v>9494</v>
      </c>
      <c r="E5898" t="str">
        <f>"3660400581506"</f>
        <v>0</v>
      </c>
      <c r="F5898" t="str">
        <f>"001100"</f>
        <v>0</v>
      </c>
      <c r="G5898" t="s">
        <v>21</v>
      </c>
    </row>
    <row r="5899" spans="1:7">
      <c r="A5899">
        <v>5898</v>
      </c>
      <c r="B5899" t="str">
        <f>"015972"</f>
        <v>0</v>
      </c>
      <c r="C5899" t="s">
        <v>2987</v>
      </c>
      <c r="D5899" t="s">
        <v>9495</v>
      </c>
      <c r="E5899" t="str">
        <f>"3140500227598"</f>
        <v>0</v>
      </c>
      <c r="F5899" t="str">
        <f>"001100"</f>
        <v>0</v>
      </c>
      <c r="G5899" t="s">
        <v>21</v>
      </c>
    </row>
    <row r="5900" spans="1:7">
      <c r="A5900">
        <v>5899</v>
      </c>
      <c r="B5900" t="str">
        <f>"015977"</f>
        <v>0</v>
      </c>
      <c r="C5900" t="s">
        <v>9496</v>
      </c>
      <c r="D5900" t="s">
        <v>9497</v>
      </c>
      <c r="E5900" t="str">
        <f>"3140300021775"</f>
        <v>0</v>
      </c>
      <c r="F5900" t="str">
        <f>"001100"</f>
        <v>0</v>
      </c>
      <c r="G5900" t="s">
        <v>21</v>
      </c>
    </row>
    <row r="5901" spans="1:7">
      <c r="A5901">
        <v>5900</v>
      </c>
      <c r="B5901" t="str">
        <f>"016587"</f>
        <v>0</v>
      </c>
      <c r="C5901" t="s">
        <v>9498</v>
      </c>
      <c r="D5901" t="s">
        <v>9472</v>
      </c>
      <c r="E5901" t="str">
        <f>"3140100128827"</f>
        <v>0</v>
      </c>
      <c r="F5901" t="str">
        <f>"001100"</f>
        <v>0</v>
      </c>
      <c r="G5901" t="s">
        <v>21</v>
      </c>
    </row>
    <row r="5902" spans="1:7">
      <c r="A5902">
        <v>5901</v>
      </c>
      <c r="B5902" t="str">
        <f>"016886"</f>
        <v>0</v>
      </c>
      <c r="C5902" t="s">
        <v>9499</v>
      </c>
      <c r="D5902" t="s">
        <v>9500</v>
      </c>
      <c r="E5902" t="str">
        <f>"5140199000221"</f>
        <v>0</v>
      </c>
      <c r="F5902" t="str">
        <f>"001100"</f>
        <v>0</v>
      </c>
      <c r="G5902" t="s">
        <v>21</v>
      </c>
    </row>
    <row r="5903" spans="1:7">
      <c r="A5903">
        <v>5902</v>
      </c>
      <c r="B5903" t="str">
        <f>"017758"</f>
        <v>0</v>
      </c>
      <c r="C5903" t="s">
        <v>6192</v>
      </c>
      <c r="D5903" t="s">
        <v>9501</v>
      </c>
      <c r="E5903" t="str">
        <f>"3140100339984"</f>
        <v>0</v>
      </c>
      <c r="F5903" t="str">
        <f>"001100"</f>
        <v>0</v>
      </c>
      <c r="G5903" t="s">
        <v>21</v>
      </c>
    </row>
    <row r="5904" spans="1:7">
      <c r="A5904">
        <v>5903</v>
      </c>
      <c r="B5904" t="str">
        <f>"017892"</f>
        <v>0</v>
      </c>
      <c r="C5904" t="s">
        <v>789</v>
      </c>
      <c r="D5904" t="s">
        <v>9502</v>
      </c>
      <c r="E5904" t="str">
        <f>"3540500012237"</f>
        <v>0</v>
      </c>
      <c r="F5904" t="str">
        <f>"001100"</f>
        <v>0</v>
      </c>
      <c r="G5904" t="s">
        <v>21</v>
      </c>
    </row>
    <row r="5905" spans="1:7">
      <c r="A5905">
        <v>5904</v>
      </c>
      <c r="B5905" t="str">
        <f>"017997"</f>
        <v>0</v>
      </c>
      <c r="C5905" t="s">
        <v>9503</v>
      </c>
      <c r="D5905" t="s">
        <v>9504</v>
      </c>
      <c r="E5905" t="str">
        <f>"5140600001415"</f>
        <v>0</v>
      </c>
      <c r="F5905" t="str">
        <f>"001100"</f>
        <v>0</v>
      </c>
      <c r="G5905" t="s">
        <v>21</v>
      </c>
    </row>
    <row r="5906" spans="1:7">
      <c r="A5906">
        <v>5905</v>
      </c>
      <c r="B5906" t="str">
        <f>"019106"</f>
        <v>0</v>
      </c>
      <c r="C5906" t="s">
        <v>9438</v>
      </c>
      <c r="D5906" t="s">
        <v>9505</v>
      </c>
      <c r="E5906" t="str">
        <f>"3150100348789"</f>
        <v>0</v>
      </c>
      <c r="F5906" t="str">
        <f>"001100"</f>
        <v>0</v>
      </c>
      <c r="G5906" t="s">
        <v>21</v>
      </c>
    </row>
    <row r="5907" spans="1:7">
      <c r="A5907">
        <v>5906</v>
      </c>
      <c r="B5907" t="str">
        <f>"019260"</f>
        <v>0</v>
      </c>
      <c r="C5907" t="s">
        <v>4337</v>
      </c>
      <c r="D5907" t="s">
        <v>9506</v>
      </c>
      <c r="E5907" t="str">
        <f>"3149900461448"</f>
        <v>0</v>
      </c>
      <c r="F5907" t="str">
        <f>"001100"</f>
        <v>0</v>
      </c>
      <c r="G5907" t="s">
        <v>21</v>
      </c>
    </row>
    <row r="5908" spans="1:7">
      <c r="A5908">
        <v>5907</v>
      </c>
      <c r="B5908" t="str">
        <f>"019365"</f>
        <v>0</v>
      </c>
      <c r="C5908" t="s">
        <v>939</v>
      </c>
      <c r="D5908" t="s">
        <v>9507</v>
      </c>
      <c r="E5908" t="str">
        <f>"3141400177018"</f>
        <v>0</v>
      </c>
      <c r="F5908" t="str">
        <f>"001100"</f>
        <v>0</v>
      </c>
      <c r="G5908" t="s">
        <v>21</v>
      </c>
    </row>
    <row r="5909" spans="1:7">
      <c r="A5909">
        <v>5908</v>
      </c>
      <c r="B5909" t="str">
        <f>"019678"</f>
        <v>0</v>
      </c>
      <c r="C5909" t="s">
        <v>341</v>
      </c>
      <c r="D5909" t="s">
        <v>9508</v>
      </c>
      <c r="E5909" t="str">
        <f>"3180500639471"</f>
        <v>0</v>
      </c>
      <c r="F5909" t="str">
        <f>"001100"</f>
        <v>0</v>
      </c>
      <c r="G5909" t="s">
        <v>21</v>
      </c>
    </row>
    <row r="5910" spans="1:7">
      <c r="A5910">
        <v>5909</v>
      </c>
      <c r="B5910" t="str">
        <f>"021246"</f>
        <v>0</v>
      </c>
      <c r="C5910" t="s">
        <v>2360</v>
      </c>
      <c r="D5910" t="s">
        <v>9464</v>
      </c>
      <c r="E5910" t="str">
        <f>"3140800142695"</f>
        <v>0</v>
      </c>
      <c r="F5910" t="str">
        <f>"001100"</f>
        <v>0</v>
      </c>
      <c r="G5910" t="s">
        <v>21</v>
      </c>
    </row>
    <row r="5911" spans="1:7">
      <c r="A5911">
        <v>5910</v>
      </c>
      <c r="B5911" t="str">
        <f>"021547"</f>
        <v>0</v>
      </c>
      <c r="C5911" t="s">
        <v>9509</v>
      </c>
      <c r="D5911" t="s">
        <v>9510</v>
      </c>
      <c r="E5911" t="str">
        <f>"3149900075891"</f>
        <v>0</v>
      </c>
      <c r="F5911" t="str">
        <f>"001100"</f>
        <v>0</v>
      </c>
      <c r="G5911" t="s">
        <v>21</v>
      </c>
    </row>
    <row r="5912" spans="1:7">
      <c r="A5912">
        <v>5911</v>
      </c>
      <c r="B5912" t="str">
        <f>"023794"</f>
        <v>0</v>
      </c>
      <c r="C5912" t="s">
        <v>9511</v>
      </c>
      <c r="D5912" t="s">
        <v>9512</v>
      </c>
      <c r="E5912" t="str">
        <f>"3140100086911"</f>
        <v>0</v>
      </c>
      <c r="F5912" t="str">
        <f>"001100"</f>
        <v>0</v>
      </c>
      <c r="G5912" t="s">
        <v>21</v>
      </c>
    </row>
    <row r="5913" spans="1:7">
      <c r="A5913">
        <v>5912</v>
      </c>
      <c r="B5913" t="str">
        <f>"024301"</f>
        <v>0</v>
      </c>
      <c r="C5913" t="s">
        <v>9513</v>
      </c>
      <c r="D5913" t="s">
        <v>9514</v>
      </c>
      <c r="E5913" t="str">
        <f>"3140600033116"</f>
        <v>0</v>
      </c>
      <c r="F5913" t="str">
        <f>"001100"</f>
        <v>0</v>
      </c>
      <c r="G5913" t="s">
        <v>21</v>
      </c>
    </row>
    <row r="5914" spans="1:7">
      <c r="A5914">
        <v>5913</v>
      </c>
      <c r="B5914" t="str">
        <f>"026849"</f>
        <v>0</v>
      </c>
      <c r="C5914" t="s">
        <v>9515</v>
      </c>
      <c r="D5914" t="s">
        <v>9516</v>
      </c>
      <c r="E5914" t="str">
        <f>"3140800257433"</f>
        <v>0</v>
      </c>
      <c r="F5914" t="str">
        <f>"001100"</f>
        <v>0</v>
      </c>
      <c r="G5914" t="s">
        <v>21</v>
      </c>
    </row>
    <row r="5915" spans="1:7">
      <c r="A5915">
        <v>5914</v>
      </c>
      <c r="B5915" t="str">
        <f>"026982"</f>
        <v>0</v>
      </c>
      <c r="C5915" t="s">
        <v>3987</v>
      </c>
      <c r="D5915" t="s">
        <v>9517</v>
      </c>
      <c r="E5915" t="str">
        <f>"3180400351491"</f>
        <v>0</v>
      </c>
      <c r="F5915" t="str">
        <f>"001100"</f>
        <v>0</v>
      </c>
      <c r="G5915" t="s">
        <v>21</v>
      </c>
    </row>
    <row r="5916" spans="1:7">
      <c r="A5916">
        <v>5915</v>
      </c>
      <c r="B5916" t="str">
        <f>"026983"</f>
        <v>0</v>
      </c>
      <c r="C5916" t="s">
        <v>9518</v>
      </c>
      <c r="D5916" t="s">
        <v>9519</v>
      </c>
      <c r="E5916" t="str">
        <f>"3160600004361"</f>
        <v>0</v>
      </c>
      <c r="F5916" t="str">
        <f>"001100"</f>
        <v>0</v>
      </c>
      <c r="G5916" t="s">
        <v>21</v>
      </c>
    </row>
    <row r="5917" spans="1:7">
      <c r="A5917">
        <v>5916</v>
      </c>
      <c r="B5917" t="str">
        <f>"027020"</f>
        <v>0</v>
      </c>
      <c r="C5917" t="s">
        <v>767</v>
      </c>
      <c r="D5917" t="s">
        <v>9520</v>
      </c>
      <c r="E5917" t="str">
        <f>"3149900457980"</f>
        <v>0</v>
      </c>
      <c r="F5917" t="str">
        <f>"001100"</f>
        <v>0</v>
      </c>
      <c r="G5917" t="s">
        <v>21</v>
      </c>
    </row>
    <row r="5918" spans="1:7">
      <c r="A5918">
        <v>5917</v>
      </c>
      <c r="B5918" t="str">
        <f>"027297"</f>
        <v>0</v>
      </c>
      <c r="C5918" t="s">
        <v>802</v>
      </c>
      <c r="D5918" t="s">
        <v>8537</v>
      </c>
      <c r="E5918" t="str">
        <f>"3249900057433"</f>
        <v>0</v>
      </c>
      <c r="F5918" t="str">
        <f>"001100"</f>
        <v>0</v>
      </c>
      <c r="G5918" t="s">
        <v>21</v>
      </c>
    </row>
    <row r="5919" spans="1:7">
      <c r="A5919">
        <v>5918</v>
      </c>
      <c r="B5919" t="str">
        <f>"005814"</f>
        <v>0</v>
      </c>
      <c r="C5919" t="s">
        <v>9521</v>
      </c>
      <c r="D5919" t="s">
        <v>9522</v>
      </c>
      <c r="E5919" t="str">
        <f>"3100501545674"</f>
        <v>0</v>
      </c>
      <c r="F5919" t="str">
        <f>"001100"</f>
        <v>0</v>
      </c>
      <c r="G5919" t="s">
        <v>21</v>
      </c>
    </row>
    <row r="5920" spans="1:7">
      <c r="A5920">
        <v>5919</v>
      </c>
      <c r="B5920" t="str">
        <f>"013196"</f>
        <v>0</v>
      </c>
      <c r="C5920" t="s">
        <v>3765</v>
      </c>
      <c r="D5920" t="s">
        <v>9523</v>
      </c>
      <c r="E5920" t="str">
        <f>"3149900147557"</f>
        <v>0</v>
      </c>
      <c r="F5920" t="str">
        <f>"001100"</f>
        <v>0</v>
      </c>
      <c r="G5920" t="s">
        <v>21</v>
      </c>
    </row>
    <row r="5921" spans="1:7">
      <c r="A5921">
        <v>5920</v>
      </c>
      <c r="B5921" t="str">
        <f>"016620"</f>
        <v>0</v>
      </c>
      <c r="C5921" t="s">
        <v>8272</v>
      </c>
      <c r="D5921" t="s">
        <v>7677</v>
      </c>
      <c r="E5921" t="str">
        <f>"3120100607334"</f>
        <v>0</v>
      </c>
      <c r="F5921" t="str">
        <f>"001100"</f>
        <v>0</v>
      </c>
      <c r="G5921" t="s">
        <v>21</v>
      </c>
    </row>
    <row r="5922" spans="1:7">
      <c r="A5922">
        <v>5921</v>
      </c>
      <c r="B5922" t="str">
        <f>"016746"</f>
        <v>0</v>
      </c>
      <c r="C5922" t="s">
        <v>130</v>
      </c>
      <c r="D5922" t="s">
        <v>9524</v>
      </c>
      <c r="E5922" t="str">
        <f>"3170100103204"</f>
        <v>0</v>
      </c>
      <c r="F5922" t="str">
        <f>"001100"</f>
        <v>0</v>
      </c>
      <c r="G5922" t="s">
        <v>21</v>
      </c>
    </row>
    <row r="5923" spans="1:7">
      <c r="A5923">
        <v>5922</v>
      </c>
      <c r="B5923" t="str">
        <f>"002462"</f>
        <v>0</v>
      </c>
      <c r="C5923" t="s">
        <v>9525</v>
      </c>
      <c r="D5923" t="s">
        <v>9526</v>
      </c>
      <c r="E5923" t="str">
        <f>"3100600225473"</f>
        <v>0</v>
      </c>
      <c r="F5923" t="str">
        <f>"001100"</f>
        <v>0</v>
      </c>
      <c r="G5923" t="s">
        <v>21</v>
      </c>
    </row>
    <row r="5924" spans="1:7">
      <c r="A5924">
        <v>5923</v>
      </c>
      <c r="B5924" t="str">
        <f>"021494"</f>
        <v>0</v>
      </c>
      <c r="C5924" t="s">
        <v>9527</v>
      </c>
      <c r="D5924" t="s">
        <v>9528</v>
      </c>
      <c r="E5924" t="str">
        <f>"3100100364628"</f>
        <v>0</v>
      </c>
      <c r="F5924" t="str">
        <f>"001100"</f>
        <v>0</v>
      </c>
      <c r="G5924" t="s">
        <v>21</v>
      </c>
    </row>
    <row r="5925" spans="1:7">
      <c r="A5925">
        <v>5924</v>
      </c>
      <c r="B5925" t="str">
        <f>"026537"</f>
        <v>0</v>
      </c>
      <c r="C5925" t="s">
        <v>9529</v>
      </c>
      <c r="D5925" t="s">
        <v>9530</v>
      </c>
      <c r="E5925" t="str">
        <f>"1140900039652"</f>
        <v>0</v>
      </c>
      <c r="F5925" t="str">
        <f>"001100"</f>
        <v>0</v>
      </c>
      <c r="G5925" t="s">
        <v>21</v>
      </c>
    </row>
    <row r="5926" spans="1:7">
      <c r="A5926">
        <v>5925</v>
      </c>
      <c r="B5926" t="str">
        <f>"014893"</f>
        <v>0</v>
      </c>
      <c r="C5926" t="s">
        <v>9531</v>
      </c>
      <c r="D5926" t="s">
        <v>9532</v>
      </c>
      <c r="E5926" t="str">
        <f>"3140100213701"</f>
        <v>0</v>
      </c>
      <c r="F5926" t="str">
        <f>"001100"</f>
        <v>0</v>
      </c>
      <c r="G5926" t="s">
        <v>21</v>
      </c>
    </row>
    <row r="5927" spans="1:7">
      <c r="A5927">
        <v>5926</v>
      </c>
      <c r="B5927" t="str">
        <f>"022690"</f>
        <v>0</v>
      </c>
      <c r="C5927" t="s">
        <v>9533</v>
      </c>
      <c r="D5927" t="s">
        <v>9534</v>
      </c>
      <c r="E5927" t="str">
        <f>"1969900076133"</f>
        <v>0</v>
      </c>
      <c r="F5927" t="str">
        <f>"001100"</f>
        <v>0</v>
      </c>
      <c r="G5927" t="s">
        <v>21</v>
      </c>
    </row>
    <row r="5928" spans="1:7">
      <c r="A5928">
        <v>5927</v>
      </c>
      <c r="B5928" t="str">
        <f>"022849"</f>
        <v>0</v>
      </c>
      <c r="C5928" t="s">
        <v>9535</v>
      </c>
      <c r="D5928" t="s">
        <v>9536</v>
      </c>
      <c r="E5928" t="str">
        <f>"3412100194420"</f>
        <v>0</v>
      </c>
      <c r="F5928" t="str">
        <f>"001100"</f>
        <v>0</v>
      </c>
      <c r="G5928" t="s">
        <v>21</v>
      </c>
    </row>
    <row r="5929" spans="1:7">
      <c r="A5929">
        <v>5928</v>
      </c>
      <c r="B5929" t="str">
        <f>"024510"</f>
        <v>0</v>
      </c>
      <c r="C5929" t="s">
        <v>9537</v>
      </c>
      <c r="D5929" t="s">
        <v>9538</v>
      </c>
      <c r="E5929" t="str">
        <f>"3600700428380"</f>
        <v>0</v>
      </c>
      <c r="F5929" t="str">
        <f>"001100"</f>
        <v>0</v>
      </c>
      <c r="G5929" t="s">
        <v>21</v>
      </c>
    </row>
    <row r="5930" spans="1:7">
      <c r="A5930">
        <v>5929</v>
      </c>
      <c r="B5930" t="str">
        <f>"025288"</f>
        <v>0</v>
      </c>
      <c r="C5930" t="s">
        <v>9539</v>
      </c>
      <c r="D5930" t="s">
        <v>9540</v>
      </c>
      <c r="E5930" t="str">
        <f>"1100700299839"</f>
        <v>0</v>
      </c>
      <c r="F5930" t="str">
        <f>"001100"</f>
        <v>0</v>
      </c>
      <c r="G5930" t="s">
        <v>21</v>
      </c>
    </row>
    <row r="5931" spans="1:7">
      <c r="A5931">
        <v>5930</v>
      </c>
      <c r="B5931" t="str">
        <f>"010963"</f>
        <v>0</v>
      </c>
      <c r="C5931" t="s">
        <v>7166</v>
      </c>
      <c r="D5931" t="s">
        <v>9541</v>
      </c>
      <c r="E5931" t="str">
        <f>"3141300216569"</f>
        <v>0</v>
      </c>
      <c r="F5931" t="str">
        <f>"001100"</f>
        <v>0</v>
      </c>
      <c r="G5931" t="s">
        <v>21</v>
      </c>
    </row>
    <row r="5932" spans="1:7">
      <c r="A5932">
        <v>5931</v>
      </c>
      <c r="B5932" t="str">
        <f>"021390"</f>
        <v>0</v>
      </c>
      <c r="C5932" t="s">
        <v>9542</v>
      </c>
      <c r="D5932" t="s">
        <v>9543</v>
      </c>
      <c r="E5932" t="str">
        <f>"3459900009143"</f>
        <v>0</v>
      </c>
      <c r="F5932" t="str">
        <f>"001100"</f>
        <v>0</v>
      </c>
      <c r="G5932" t="s">
        <v>21</v>
      </c>
    </row>
    <row r="5933" spans="1:7">
      <c r="A5933">
        <v>5932</v>
      </c>
      <c r="B5933" t="str">
        <f>"024810"</f>
        <v>0</v>
      </c>
      <c r="C5933" t="s">
        <v>5063</v>
      </c>
      <c r="D5933" t="s">
        <v>9544</v>
      </c>
      <c r="E5933" t="str">
        <f>"3930500539436"</f>
        <v>0</v>
      </c>
      <c r="F5933" t="str">
        <f>"001100"</f>
        <v>0</v>
      </c>
      <c r="G5933" t="s">
        <v>21</v>
      </c>
    </row>
    <row r="5934" spans="1:7">
      <c r="A5934">
        <v>5933</v>
      </c>
      <c r="B5934" t="str">
        <f>"026018"</f>
        <v>0</v>
      </c>
      <c r="C5934" t="s">
        <v>3486</v>
      </c>
      <c r="D5934" t="s">
        <v>9545</v>
      </c>
      <c r="E5934" t="str">
        <f>"5720999004730"</f>
        <v>0</v>
      </c>
      <c r="F5934" t="str">
        <f>"001100"</f>
        <v>0</v>
      </c>
      <c r="G5934" t="s">
        <v>21</v>
      </c>
    </row>
    <row r="5935" spans="1:7">
      <c r="A5935">
        <v>5934</v>
      </c>
      <c r="B5935" t="str">
        <f>"026155"</f>
        <v>0</v>
      </c>
      <c r="C5935" t="s">
        <v>9546</v>
      </c>
      <c r="D5935" t="s">
        <v>9547</v>
      </c>
      <c r="E5935" t="str">
        <f>"1860100089080"</f>
        <v>0</v>
      </c>
      <c r="F5935" t="str">
        <f>"001100"</f>
        <v>0</v>
      </c>
      <c r="G5935" t="s">
        <v>21</v>
      </c>
    </row>
    <row r="5936" spans="1:7">
      <c r="A5936">
        <v>5935</v>
      </c>
      <c r="B5936" t="str">
        <f>"013333"</f>
        <v>0</v>
      </c>
      <c r="C5936" t="s">
        <v>9548</v>
      </c>
      <c r="D5936" t="s">
        <v>9549</v>
      </c>
      <c r="E5936" t="str">
        <f>"3860100969825"</f>
        <v>0</v>
      </c>
      <c r="F5936" t="str">
        <f>"001100"</f>
        <v>0</v>
      </c>
      <c r="G5936" t="s">
        <v>21</v>
      </c>
    </row>
    <row r="5937" spans="1:7">
      <c r="A5937">
        <v>5936</v>
      </c>
      <c r="B5937" t="str">
        <f>"027378"</f>
        <v>0</v>
      </c>
      <c r="C5937" t="s">
        <v>9550</v>
      </c>
      <c r="D5937" t="s">
        <v>9551</v>
      </c>
      <c r="E5937" t="str">
        <f>"3100901665537"</f>
        <v>0</v>
      </c>
      <c r="F5937" t="str">
        <f>"001100"</f>
        <v>0</v>
      </c>
      <c r="G5937" t="s">
        <v>21</v>
      </c>
    </row>
    <row r="5938" spans="1:7">
      <c r="A5938">
        <v>5937</v>
      </c>
      <c r="B5938" t="str">
        <f>"010324"</f>
        <v>0</v>
      </c>
      <c r="C5938" t="s">
        <v>5127</v>
      </c>
      <c r="D5938" t="s">
        <v>9552</v>
      </c>
      <c r="E5938" t="str">
        <f>"3141100050195"</f>
        <v>0</v>
      </c>
      <c r="F5938" t="str">
        <f>"001100"</f>
        <v>0</v>
      </c>
      <c r="G5938" t="s">
        <v>21</v>
      </c>
    </row>
    <row r="5939" spans="1:7">
      <c r="A5939">
        <v>5938</v>
      </c>
      <c r="B5939" t="str">
        <f>"011376"</f>
        <v>0</v>
      </c>
      <c r="C5939" t="s">
        <v>923</v>
      </c>
      <c r="D5939" t="s">
        <v>9553</v>
      </c>
      <c r="E5939" t="str">
        <f>"3160100813091"</f>
        <v>0</v>
      </c>
      <c r="F5939" t="str">
        <f>"001100"</f>
        <v>0</v>
      </c>
      <c r="G5939" t="s">
        <v>21</v>
      </c>
    </row>
    <row r="5940" spans="1:7">
      <c r="A5940">
        <v>5939</v>
      </c>
      <c r="B5940" t="str">
        <f>"011852"</f>
        <v>0</v>
      </c>
      <c r="C5940" t="s">
        <v>9554</v>
      </c>
      <c r="D5940" t="s">
        <v>9555</v>
      </c>
      <c r="E5940" t="str">
        <f>"3141400279716"</f>
        <v>0</v>
      </c>
      <c r="F5940" t="str">
        <f>"001100"</f>
        <v>0</v>
      </c>
      <c r="G5940" t="s">
        <v>21</v>
      </c>
    </row>
    <row r="5941" spans="1:7">
      <c r="A5941">
        <v>5940</v>
      </c>
      <c r="B5941" t="str">
        <f>"012054"</f>
        <v>0</v>
      </c>
      <c r="C5941" t="s">
        <v>9556</v>
      </c>
      <c r="D5941" t="s">
        <v>9557</v>
      </c>
      <c r="E5941" t="str">
        <f>"3140700052163"</f>
        <v>0</v>
      </c>
      <c r="F5941" t="str">
        <f>"001100"</f>
        <v>0</v>
      </c>
      <c r="G5941" t="s">
        <v>21</v>
      </c>
    </row>
    <row r="5942" spans="1:7">
      <c r="A5942">
        <v>5941</v>
      </c>
      <c r="B5942" t="str">
        <f>"012395"</f>
        <v>0</v>
      </c>
      <c r="C5942" t="s">
        <v>4257</v>
      </c>
      <c r="D5942" t="s">
        <v>9558</v>
      </c>
      <c r="E5942" t="str">
        <f>"3141100081601"</f>
        <v>0</v>
      </c>
      <c r="F5942" t="str">
        <f>"001100"</f>
        <v>0</v>
      </c>
      <c r="G5942" t="s">
        <v>21</v>
      </c>
    </row>
    <row r="5943" spans="1:7">
      <c r="A5943">
        <v>5942</v>
      </c>
      <c r="B5943" t="str">
        <f>"013933"</f>
        <v>0</v>
      </c>
      <c r="C5943" t="s">
        <v>2103</v>
      </c>
      <c r="D5943" t="s">
        <v>9559</v>
      </c>
      <c r="E5943" t="str">
        <f>"3140500238191"</f>
        <v>0</v>
      </c>
      <c r="F5943" t="str">
        <f>"001100"</f>
        <v>0</v>
      </c>
      <c r="G5943" t="s">
        <v>21</v>
      </c>
    </row>
    <row r="5944" spans="1:7">
      <c r="A5944">
        <v>5943</v>
      </c>
      <c r="B5944" t="str">
        <f>"014313"</f>
        <v>0</v>
      </c>
      <c r="C5944" t="s">
        <v>162</v>
      </c>
      <c r="D5944" t="s">
        <v>9560</v>
      </c>
      <c r="E5944" t="str">
        <f>"3140700286008"</f>
        <v>0</v>
      </c>
      <c r="F5944" t="str">
        <f>"001100"</f>
        <v>0</v>
      </c>
      <c r="G5944" t="s">
        <v>21</v>
      </c>
    </row>
    <row r="5945" spans="1:7">
      <c r="A5945">
        <v>5944</v>
      </c>
      <c r="B5945" t="str">
        <f>"014956"</f>
        <v>0</v>
      </c>
      <c r="C5945" t="s">
        <v>4225</v>
      </c>
      <c r="D5945" t="s">
        <v>924</v>
      </c>
      <c r="E5945" t="str">
        <f>"3140100161948"</f>
        <v>0</v>
      </c>
      <c r="F5945" t="str">
        <f>"001100"</f>
        <v>0</v>
      </c>
      <c r="G5945" t="s">
        <v>21</v>
      </c>
    </row>
    <row r="5946" spans="1:7">
      <c r="A5946">
        <v>5945</v>
      </c>
      <c r="B5946" t="str">
        <f>"015080"</f>
        <v>0</v>
      </c>
      <c r="C5946" t="s">
        <v>4868</v>
      </c>
      <c r="D5946" t="s">
        <v>9561</v>
      </c>
      <c r="E5946" t="str">
        <f>"3140100013761"</f>
        <v>0</v>
      </c>
      <c r="F5946" t="str">
        <f>"001100"</f>
        <v>0</v>
      </c>
      <c r="G5946" t="s">
        <v>21</v>
      </c>
    </row>
    <row r="5947" spans="1:7">
      <c r="A5947">
        <v>5946</v>
      </c>
      <c r="B5947" t="str">
        <f>"015737"</f>
        <v>0</v>
      </c>
      <c r="C5947" t="s">
        <v>9562</v>
      </c>
      <c r="D5947" t="s">
        <v>9563</v>
      </c>
      <c r="E5947" t="str">
        <f>"3149900057248"</f>
        <v>0</v>
      </c>
      <c r="F5947" t="str">
        <f>"001100"</f>
        <v>0</v>
      </c>
      <c r="G5947" t="s">
        <v>21</v>
      </c>
    </row>
    <row r="5948" spans="1:7">
      <c r="A5948">
        <v>5947</v>
      </c>
      <c r="B5948" t="str">
        <f>"017929"</f>
        <v>0</v>
      </c>
      <c r="C5948" t="s">
        <v>9564</v>
      </c>
      <c r="D5948" t="s">
        <v>9565</v>
      </c>
      <c r="E5948" t="str">
        <f>"3140700236281"</f>
        <v>0</v>
      </c>
      <c r="F5948" t="str">
        <f>"001100"</f>
        <v>0</v>
      </c>
      <c r="G5948" t="s">
        <v>21</v>
      </c>
    </row>
    <row r="5949" spans="1:7">
      <c r="A5949">
        <v>5948</v>
      </c>
      <c r="B5949" t="str">
        <f>"018152"</f>
        <v>0</v>
      </c>
      <c r="C5949" t="s">
        <v>9566</v>
      </c>
      <c r="D5949" t="s">
        <v>9567</v>
      </c>
      <c r="E5949" t="str">
        <f>"3801600567808"</f>
        <v>0</v>
      </c>
      <c r="F5949" t="str">
        <f>"001100"</f>
        <v>0</v>
      </c>
      <c r="G5949" t="s">
        <v>21</v>
      </c>
    </row>
    <row r="5950" spans="1:7">
      <c r="A5950">
        <v>5949</v>
      </c>
      <c r="B5950" t="str">
        <f>"018788"</f>
        <v>0</v>
      </c>
      <c r="C5950" t="s">
        <v>1335</v>
      </c>
      <c r="D5950" t="s">
        <v>9568</v>
      </c>
      <c r="E5950" t="str">
        <f>"3149900521041"</f>
        <v>0</v>
      </c>
      <c r="F5950" t="str">
        <f>"001100"</f>
        <v>0</v>
      </c>
      <c r="G5950" t="s">
        <v>21</v>
      </c>
    </row>
    <row r="5951" spans="1:7">
      <c r="A5951">
        <v>5950</v>
      </c>
      <c r="B5951" t="str">
        <f>"018847"</f>
        <v>0</v>
      </c>
      <c r="C5951" t="s">
        <v>9569</v>
      </c>
      <c r="D5951" t="s">
        <v>9570</v>
      </c>
      <c r="E5951" t="str">
        <f>"3140100113331"</f>
        <v>0</v>
      </c>
      <c r="F5951" t="str">
        <f>"001100"</f>
        <v>0</v>
      </c>
      <c r="G5951" t="s">
        <v>21</v>
      </c>
    </row>
    <row r="5952" spans="1:7">
      <c r="A5952">
        <v>5951</v>
      </c>
      <c r="B5952" t="str">
        <f>"019024"</f>
        <v>0</v>
      </c>
      <c r="C5952" t="s">
        <v>9571</v>
      </c>
      <c r="D5952" t="s">
        <v>9572</v>
      </c>
      <c r="E5952" t="str">
        <f>"3141400028497"</f>
        <v>0</v>
      </c>
      <c r="F5952" t="str">
        <f>"001100"</f>
        <v>0</v>
      </c>
      <c r="G5952" t="s">
        <v>21</v>
      </c>
    </row>
    <row r="5953" spans="1:7">
      <c r="A5953">
        <v>5952</v>
      </c>
      <c r="B5953" t="str">
        <f>"019151"</f>
        <v>0</v>
      </c>
      <c r="C5953" t="s">
        <v>2655</v>
      </c>
      <c r="D5953" t="s">
        <v>9573</v>
      </c>
      <c r="E5953" t="str">
        <f>"3140500181776"</f>
        <v>0</v>
      </c>
      <c r="F5953" t="str">
        <f>"001100"</f>
        <v>0</v>
      </c>
      <c r="G5953" t="s">
        <v>21</v>
      </c>
    </row>
    <row r="5954" spans="1:7">
      <c r="A5954">
        <v>5953</v>
      </c>
      <c r="B5954" t="str">
        <f>"019312"</f>
        <v>0</v>
      </c>
      <c r="C5954" t="s">
        <v>9574</v>
      </c>
      <c r="D5954" t="s">
        <v>9575</v>
      </c>
      <c r="E5954" t="str">
        <f>"3140600093992"</f>
        <v>0</v>
      </c>
      <c r="F5954" t="str">
        <f>"001100"</f>
        <v>0</v>
      </c>
      <c r="G5954" t="s">
        <v>21</v>
      </c>
    </row>
    <row r="5955" spans="1:7">
      <c r="A5955">
        <v>5954</v>
      </c>
      <c r="B5955" t="str">
        <f>"020016"</f>
        <v>0</v>
      </c>
      <c r="C5955" t="s">
        <v>6840</v>
      </c>
      <c r="D5955" t="s">
        <v>9576</v>
      </c>
      <c r="E5955" t="str">
        <f>"3140200321891"</f>
        <v>0</v>
      </c>
      <c r="F5955" t="str">
        <f>"001100"</f>
        <v>0</v>
      </c>
      <c r="G5955" t="s">
        <v>21</v>
      </c>
    </row>
    <row r="5956" spans="1:7">
      <c r="A5956">
        <v>5955</v>
      </c>
      <c r="B5956" t="str">
        <f>"020030"</f>
        <v>0</v>
      </c>
      <c r="C5956" t="s">
        <v>9577</v>
      </c>
      <c r="D5956" t="s">
        <v>9578</v>
      </c>
      <c r="E5956" t="str">
        <f>"3840600098564"</f>
        <v>0</v>
      </c>
      <c r="F5956" t="str">
        <f>"001100"</f>
        <v>0</v>
      </c>
      <c r="G5956" t="s">
        <v>21</v>
      </c>
    </row>
    <row r="5957" spans="1:7">
      <c r="A5957">
        <v>5956</v>
      </c>
      <c r="B5957" t="str">
        <f>"021436"</f>
        <v>0</v>
      </c>
      <c r="C5957" t="s">
        <v>9579</v>
      </c>
      <c r="D5957" t="s">
        <v>9580</v>
      </c>
      <c r="E5957" t="str">
        <f>"5730500050010"</f>
        <v>0</v>
      </c>
      <c r="F5957" t="str">
        <f>"001100"</f>
        <v>0</v>
      </c>
      <c r="G5957" t="s">
        <v>21</v>
      </c>
    </row>
    <row r="5958" spans="1:7">
      <c r="A5958">
        <v>5957</v>
      </c>
      <c r="B5958" t="str">
        <f>"021437"</f>
        <v>0</v>
      </c>
      <c r="C5958" t="s">
        <v>9581</v>
      </c>
      <c r="D5958" t="s">
        <v>9582</v>
      </c>
      <c r="E5958" t="str">
        <f>"5141299001483"</f>
        <v>0</v>
      </c>
      <c r="F5958" t="str">
        <f>"001100"</f>
        <v>0</v>
      </c>
      <c r="G5958" t="s">
        <v>21</v>
      </c>
    </row>
    <row r="5959" spans="1:7">
      <c r="A5959">
        <v>5958</v>
      </c>
      <c r="B5959" t="str">
        <f>"021726"</f>
        <v>0</v>
      </c>
      <c r="C5959" t="s">
        <v>9583</v>
      </c>
      <c r="D5959" t="s">
        <v>9584</v>
      </c>
      <c r="E5959" t="str">
        <f>"3309800329473"</f>
        <v>0</v>
      </c>
      <c r="F5959" t="str">
        <f>"001100"</f>
        <v>0</v>
      </c>
      <c r="G5959" t="s">
        <v>21</v>
      </c>
    </row>
    <row r="5960" spans="1:7">
      <c r="A5960">
        <v>5959</v>
      </c>
      <c r="B5960" t="str">
        <f>"022085"</f>
        <v>0</v>
      </c>
      <c r="C5960" t="s">
        <v>1151</v>
      </c>
      <c r="D5960" t="s">
        <v>9585</v>
      </c>
      <c r="E5960" t="str">
        <f>"3140400169138"</f>
        <v>0</v>
      </c>
      <c r="F5960" t="str">
        <f>"001100"</f>
        <v>0</v>
      </c>
      <c r="G5960" t="s">
        <v>21</v>
      </c>
    </row>
    <row r="5961" spans="1:7">
      <c r="A5961">
        <v>5960</v>
      </c>
      <c r="B5961" t="str">
        <f>"022339"</f>
        <v>0</v>
      </c>
      <c r="C5961" t="s">
        <v>9586</v>
      </c>
      <c r="D5961" t="s">
        <v>9587</v>
      </c>
      <c r="E5961" t="str">
        <f>"3160200054621"</f>
        <v>0</v>
      </c>
      <c r="F5961" t="str">
        <f>"001100"</f>
        <v>0</v>
      </c>
      <c r="G5961" t="s">
        <v>21</v>
      </c>
    </row>
    <row r="5962" spans="1:7">
      <c r="A5962">
        <v>5961</v>
      </c>
      <c r="B5962" t="str">
        <f>"022661"</f>
        <v>0</v>
      </c>
      <c r="C5962" t="s">
        <v>9588</v>
      </c>
      <c r="D5962" t="s">
        <v>9589</v>
      </c>
      <c r="E5962" t="str">
        <f>"3140900154377"</f>
        <v>0</v>
      </c>
      <c r="F5962" t="str">
        <f>"001100"</f>
        <v>0</v>
      </c>
      <c r="G5962" t="s">
        <v>21</v>
      </c>
    </row>
    <row r="5963" spans="1:7">
      <c r="A5963">
        <v>5962</v>
      </c>
      <c r="B5963" t="str">
        <f>"022729"</f>
        <v>0</v>
      </c>
      <c r="C5963" t="s">
        <v>864</v>
      </c>
      <c r="D5963" t="s">
        <v>9590</v>
      </c>
      <c r="E5963" t="str">
        <f>"1149900033491"</f>
        <v>0</v>
      </c>
      <c r="F5963" t="str">
        <f>"001100"</f>
        <v>0</v>
      </c>
      <c r="G5963" t="s">
        <v>21</v>
      </c>
    </row>
    <row r="5964" spans="1:7">
      <c r="A5964">
        <v>5963</v>
      </c>
      <c r="B5964" t="str">
        <f>"023536"</f>
        <v>0</v>
      </c>
      <c r="C5964" t="s">
        <v>9591</v>
      </c>
      <c r="D5964" t="s">
        <v>9592</v>
      </c>
      <c r="E5964" t="str">
        <f>"3141400206328"</f>
        <v>0</v>
      </c>
      <c r="F5964" t="str">
        <f>"001100"</f>
        <v>0</v>
      </c>
      <c r="G5964" t="s">
        <v>21</v>
      </c>
    </row>
    <row r="5965" spans="1:7">
      <c r="A5965">
        <v>5964</v>
      </c>
      <c r="B5965" t="str">
        <f>"023710"</f>
        <v>0</v>
      </c>
      <c r="C5965" t="s">
        <v>1727</v>
      </c>
      <c r="D5965" t="s">
        <v>9593</v>
      </c>
      <c r="E5965" t="str">
        <f>"3140100300565"</f>
        <v>0</v>
      </c>
      <c r="F5965" t="str">
        <f>"001100"</f>
        <v>0</v>
      </c>
      <c r="G5965" t="s">
        <v>21</v>
      </c>
    </row>
    <row r="5966" spans="1:7">
      <c r="A5966">
        <v>5965</v>
      </c>
      <c r="B5966" t="str">
        <f>"023851"</f>
        <v>0</v>
      </c>
      <c r="C5966" t="s">
        <v>9594</v>
      </c>
      <c r="D5966" t="s">
        <v>9595</v>
      </c>
      <c r="E5966" t="str">
        <f>"3140900170879"</f>
        <v>0</v>
      </c>
      <c r="F5966" t="str">
        <f>"001100"</f>
        <v>0</v>
      </c>
      <c r="G5966" t="s">
        <v>21</v>
      </c>
    </row>
    <row r="5967" spans="1:7">
      <c r="A5967">
        <v>5966</v>
      </c>
      <c r="B5967" t="str">
        <f>"024068"</f>
        <v>0</v>
      </c>
      <c r="C5967" t="s">
        <v>181</v>
      </c>
      <c r="D5967" t="s">
        <v>9596</v>
      </c>
      <c r="E5967" t="str">
        <f>"1129800057916"</f>
        <v>0</v>
      </c>
      <c r="F5967" t="str">
        <f>"001100"</f>
        <v>0</v>
      </c>
      <c r="G5967" t="s">
        <v>21</v>
      </c>
    </row>
    <row r="5968" spans="1:7">
      <c r="A5968">
        <v>5967</v>
      </c>
      <c r="B5968" t="str">
        <f>"024156"</f>
        <v>0</v>
      </c>
      <c r="C5968" t="s">
        <v>9597</v>
      </c>
      <c r="D5968" t="s">
        <v>9598</v>
      </c>
      <c r="E5968" t="str">
        <f>"1141200073930"</f>
        <v>0</v>
      </c>
      <c r="F5968" t="str">
        <f>"001100"</f>
        <v>0</v>
      </c>
      <c r="G5968" t="s">
        <v>21</v>
      </c>
    </row>
    <row r="5969" spans="1:7">
      <c r="A5969">
        <v>5968</v>
      </c>
      <c r="B5969" t="str">
        <f>"024157"</f>
        <v>0</v>
      </c>
      <c r="C5969" t="s">
        <v>9599</v>
      </c>
      <c r="D5969" t="s">
        <v>9600</v>
      </c>
      <c r="E5969" t="str">
        <f>"3450800332106"</f>
        <v>0</v>
      </c>
      <c r="F5969" t="str">
        <f>"001100"</f>
        <v>0</v>
      </c>
      <c r="G5969" t="s">
        <v>21</v>
      </c>
    </row>
    <row r="5970" spans="1:7">
      <c r="A5970">
        <v>5969</v>
      </c>
      <c r="B5970" t="str">
        <f>"024363"</f>
        <v>0</v>
      </c>
      <c r="C5970" t="s">
        <v>9601</v>
      </c>
      <c r="D5970" t="s">
        <v>9602</v>
      </c>
      <c r="E5970" t="str">
        <f>"5670700035775"</f>
        <v>0</v>
      </c>
      <c r="F5970" t="str">
        <f>"001100"</f>
        <v>0</v>
      </c>
      <c r="G5970" t="s">
        <v>21</v>
      </c>
    </row>
    <row r="5971" spans="1:7">
      <c r="A5971">
        <v>5970</v>
      </c>
      <c r="B5971" t="str">
        <f>"024630"</f>
        <v>0</v>
      </c>
      <c r="C5971" t="s">
        <v>9603</v>
      </c>
      <c r="D5971" t="s">
        <v>9604</v>
      </c>
      <c r="E5971" t="str">
        <f>"3420100462546"</f>
        <v>0</v>
      </c>
      <c r="F5971" t="str">
        <f>"001100"</f>
        <v>0</v>
      </c>
      <c r="G5971" t="s">
        <v>21</v>
      </c>
    </row>
    <row r="5972" spans="1:7">
      <c r="A5972">
        <v>5971</v>
      </c>
      <c r="B5972" t="str">
        <f>"024809"</f>
        <v>0</v>
      </c>
      <c r="C5972" t="s">
        <v>9605</v>
      </c>
      <c r="D5972" t="s">
        <v>9606</v>
      </c>
      <c r="E5972" t="str">
        <f>"1190500032260"</f>
        <v>0</v>
      </c>
      <c r="F5972" t="str">
        <f>"001100"</f>
        <v>0</v>
      </c>
      <c r="G5972" t="s">
        <v>21</v>
      </c>
    </row>
    <row r="5973" spans="1:7">
      <c r="A5973">
        <v>5972</v>
      </c>
      <c r="B5973" t="str">
        <f>"024813"</f>
        <v>0</v>
      </c>
      <c r="C5973" t="s">
        <v>9607</v>
      </c>
      <c r="D5973" t="s">
        <v>9608</v>
      </c>
      <c r="E5973" t="str">
        <f>"1149900052177"</f>
        <v>0</v>
      </c>
      <c r="F5973" t="str">
        <f>"001100"</f>
        <v>0</v>
      </c>
      <c r="G5973" t="s">
        <v>21</v>
      </c>
    </row>
    <row r="5974" spans="1:7">
      <c r="A5974">
        <v>5973</v>
      </c>
      <c r="B5974" t="str">
        <f>"025291"</f>
        <v>0</v>
      </c>
      <c r="C5974" t="s">
        <v>9609</v>
      </c>
      <c r="D5974" t="s">
        <v>9610</v>
      </c>
      <c r="E5974" t="str">
        <f>"3140500197150"</f>
        <v>0</v>
      </c>
      <c r="F5974" t="str">
        <f>"001100"</f>
        <v>0</v>
      </c>
      <c r="G5974" t="s">
        <v>21</v>
      </c>
    </row>
    <row r="5975" spans="1:7">
      <c r="A5975">
        <v>5974</v>
      </c>
      <c r="B5975" t="str">
        <f>"025441"</f>
        <v>0</v>
      </c>
      <c r="C5975" t="s">
        <v>9611</v>
      </c>
      <c r="D5975" t="s">
        <v>9612</v>
      </c>
      <c r="E5975" t="str">
        <f>"1100200028046"</f>
        <v>0</v>
      </c>
      <c r="F5975" t="str">
        <f>"001100"</f>
        <v>0</v>
      </c>
      <c r="G5975" t="s">
        <v>21</v>
      </c>
    </row>
    <row r="5976" spans="1:7">
      <c r="A5976">
        <v>5975</v>
      </c>
      <c r="B5976" t="str">
        <f>"025442"</f>
        <v>0</v>
      </c>
      <c r="C5976" t="s">
        <v>2678</v>
      </c>
      <c r="D5976" t="s">
        <v>6037</v>
      </c>
      <c r="E5976" t="str">
        <f>"1141000037409"</f>
        <v>0</v>
      </c>
      <c r="F5976" t="str">
        <f>"001100"</f>
        <v>0</v>
      </c>
      <c r="G5976" t="s">
        <v>21</v>
      </c>
    </row>
    <row r="5977" spans="1:7">
      <c r="A5977">
        <v>5976</v>
      </c>
      <c r="B5977" t="str">
        <f>"025549"</f>
        <v>0</v>
      </c>
      <c r="C5977" t="s">
        <v>9613</v>
      </c>
      <c r="D5977" t="s">
        <v>9614</v>
      </c>
      <c r="E5977" t="str">
        <f>"3141200309131"</f>
        <v>0</v>
      </c>
      <c r="F5977" t="str">
        <f>"001100"</f>
        <v>0</v>
      </c>
      <c r="G5977" t="s">
        <v>21</v>
      </c>
    </row>
    <row r="5978" spans="1:7">
      <c r="A5978">
        <v>5977</v>
      </c>
      <c r="B5978" t="str">
        <f>"026156"</f>
        <v>0</v>
      </c>
      <c r="C5978" t="s">
        <v>9615</v>
      </c>
      <c r="D5978" t="s">
        <v>9616</v>
      </c>
      <c r="E5978" t="str">
        <f>"1140600017611"</f>
        <v>0</v>
      </c>
      <c r="F5978" t="str">
        <f>"001100"</f>
        <v>0</v>
      </c>
      <c r="G5978" t="s">
        <v>21</v>
      </c>
    </row>
    <row r="5979" spans="1:7">
      <c r="A5979">
        <v>5978</v>
      </c>
      <c r="B5979" t="str">
        <f>"026157"</f>
        <v>0</v>
      </c>
      <c r="C5979" t="s">
        <v>9617</v>
      </c>
      <c r="D5979" t="s">
        <v>9618</v>
      </c>
      <c r="E5979" t="str">
        <f>"1409900664641"</f>
        <v>0</v>
      </c>
      <c r="F5979" t="str">
        <f>"001100"</f>
        <v>0</v>
      </c>
      <c r="G5979" t="s">
        <v>21</v>
      </c>
    </row>
    <row r="5980" spans="1:7">
      <c r="A5980">
        <v>5979</v>
      </c>
      <c r="B5980" t="str">
        <f>"026330"</f>
        <v>0</v>
      </c>
      <c r="C5980" t="s">
        <v>9619</v>
      </c>
      <c r="D5980" t="s">
        <v>9620</v>
      </c>
      <c r="E5980" t="str">
        <f>"1149900327788"</f>
        <v>0</v>
      </c>
      <c r="F5980" t="str">
        <f>"001100"</f>
        <v>0</v>
      </c>
      <c r="G5980" t="s">
        <v>21</v>
      </c>
    </row>
    <row r="5981" spans="1:7">
      <c r="A5981">
        <v>5980</v>
      </c>
      <c r="B5981" t="str">
        <f>"026366"</f>
        <v>0</v>
      </c>
      <c r="C5981" t="s">
        <v>9621</v>
      </c>
      <c r="D5981" t="s">
        <v>9622</v>
      </c>
      <c r="E5981" t="str">
        <f>"1309900025747"</f>
        <v>0</v>
      </c>
      <c r="F5981" t="str">
        <f>"001100"</f>
        <v>0</v>
      </c>
      <c r="G5981" t="s">
        <v>21</v>
      </c>
    </row>
    <row r="5982" spans="1:7">
      <c r="A5982">
        <v>5981</v>
      </c>
      <c r="B5982" t="str">
        <f>"026368"</f>
        <v>0</v>
      </c>
      <c r="C5982" t="s">
        <v>9623</v>
      </c>
      <c r="D5982" t="s">
        <v>9624</v>
      </c>
      <c r="E5982" t="str">
        <f>"1620200015357"</f>
        <v>0</v>
      </c>
      <c r="F5982" t="str">
        <f>"001100"</f>
        <v>0</v>
      </c>
      <c r="G5982" t="s">
        <v>21</v>
      </c>
    </row>
    <row r="5983" spans="1:7">
      <c r="A5983">
        <v>5982</v>
      </c>
      <c r="B5983" t="str">
        <f>"026641"</f>
        <v>0</v>
      </c>
      <c r="C5983" t="s">
        <v>9625</v>
      </c>
      <c r="D5983" t="s">
        <v>9626</v>
      </c>
      <c r="E5983" t="str">
        <f>"2190900017291"</f>
        <v>0</v>
      </c>
      <c r="F5983" t="str">
        <f>"001100"</f>
        <v>0</v>
      </c>
      <c r="G5983" t="s">
        <v>21</v>
      </c>
    </row>
    <row r="5984" spans="1:7">
      <c r="A5984">
        <v>5983</v>
      </c>
      <c r="B5984" t="str">
        <f>"027379"</f>
        <v>0</v>
      </c>
      <c r="C5984" t="s">
        <v>4109</v>
      </c>
      <c r="D5984" t="s">
        <v>9627</v>
      </c>
      <c r="E5984" t="str">
        <f>"1509901231772"</f>
        <v>0</v>
      </c>
      <c r="F5984" t="str">
        <f>"001100"</f>
        <v>0</v>
      </c>
      <c r="G5984" t="s">
        <v>21</v>
      </c>
    </row>
    <row r="5985" spans="1:7">
      <c r="A5985">
        <v>5984</v>
      </c>
      <c r="B5985" t="str">
        <f>"027382"</f>
        <v>0</v>
      </c>
      <c r="C5985" t="s">
        <v>5073</v>
      </c>
      <c r="D5985" t="s">
        <v>9628</v>
      </c>
      <c r="E5985" t="str">
        <f>"1130200145824"</f>
        <v>0</v>
      </c>
      <c r="F5985" t="str">
        <f>"001100"</f>
        <v>0</v>
      </c>
      <c r="G5985" t="s">
        <v>21</v>
      </c>
    </row>
    <row r="5986" spans="1:7">
      <c r="A5986">
        <v>5985</v>
      </c>
      <c r="B5986" t="str">
        <f>"017628"</f>
        <v>0</v>
      </c>
      <c r="C5986" t="s">
        <v>2292</v>
      </c>
      <c r="D5986" t="s">
        <v>9629</v>
      </c>
      <c r="E5986" t="str">
        <f>"3159800105976"</f>
        <v>0</v>
      </c>
      <c r="F5986" t="str">
        <f>"001100"</f>
        <v>0</v>
      </c>
      <c r="G5986" t="s">
        <v>21</v>
      </c>
    </row>
    <row r="5987" spans="1:7">
      <c r="A5987">
        <v>5986</v>
      </c>
      <c r="B5987" t="str">
        <f>"021264"</f>
        <v>0</v>
      </c>
      <c r="C5987" t="s">
        <v>9630</v>
      </c>
      <c r="D5987" t="s">
        <v>9631</v>
      </c>
      <c r="E5987" t="str">
        <f>"3150100086377"</f>
        <v>0</v>
      </c>
      <c r="F5987" t="str">
        <f>"001100"</f>
        <v>0</v>
      </c>
      <c r="G5987" t="s">
        <v>21</v>
      </c>
    </row>
    <row r="5988" spans="1:7">
      <c r="A5988">
        <v>5987</v>
      </c>
      <c r="B5988" t="str">
        <f>"011225"</f>
        <v>0</v>
      </c>
      <c r="C5988" t="s">
        <v>9632</v>
      </c>
      <c r="D5988" t="s">
        <v>9633</v>
      </c>
      <c r="E5988" t="str">
        <f>"3860800044212"</f>
        <v>0</v>
      </c>
      <c r="F5988" t="str">
        <f>"001100"</f>
        <v>0</v>
      </c>
      <c r="G5988" t="s">
        <v>21</v>
      </c>
    </row>
    <row r="5989" spans="1:7">
      <c r="A5989">
        <v>5988</v>
      </c>
      <c r="B5989" t="str">
        <f>"013932"</f>
        <v>0</v>
      </c>
      <c r="C5989" t="s">
        <v>1641</v>
      </c>
      <c r="D5989" t="s">
        <v>9634</v>
      </c>
      <c r="E5989" t="str">
        <f>"3160600621361"</f>
        <v>0</v>
      </c>
      <c r="F5989" t="str">
        <f>"001100"</f>
        <v>0</v>
      </c>
      <c r="G5989" t="s">
        <v>21</v>
      </c>
    </row>
    <row r="5990" spans="1:7">
      <c r="A5990">
        <v>5989</v>
      </c>
      <c r="B5990" t="str">
        <f>"022452"</f>
        <v>0</v>
      </c>
      <c r="C5990" t="s">
        <v>4492</v>
      </c>
      <c r="D5990" t="s">
        <v>5342</v>
      </c>
      <c r="E5990" t="str">
        <f>"3160100754965"</f>
        <v>0</v>
      </c>
      <c r="F5990" t="str">
        <f>"001100"</f>
        <v>0</v>
      </c>
      <c r="G5990" t="s">
        <v>21</v>
      </c>
    </row>
    <row r="5991" spans="1:7">
      <c r="A5991">
        <v>5990</v>
      </c>
      <c r="B5991" t="str">
        <f>"022991"</f>
        <v>0</v>
      </c>
      <c r="C5991" t="s">
        <v>9635</v>
      </c>
      <c r="D5991" t="s">
        <v>9636</v>
      </c>
      <c r="E5991" t="str">
        <f>"1160100253579"</f>
        <v>0</v>
      </c>
      <c r="F5991" t="str">
        <f>"001100"</f>
        <v>0</v>
      </c>
      <c r="G5991" t="s">
        <v>21</v>
      </c>
    </row>
    <row r="5992" spans="1:7">
      <c r="A5992">
        <v>5991</v>
      </c>
      <c r="B5992" t="str">
        <f>"019549"</f>
        <v>0</v>
      </c>
      <c r="C5992" t="s">
        <v>2815</v>
      </c>
      <c r="D5992" t="s">
        <v>9637</v>
      </c>
      <c r="E5992" t="str">
        <f>"3170600209851"</f>
        <v>0</v>
      </c>
      <c r="F5992" t="str">
        <f>"001100"</f>
        <v>0</v>
      </c>
      <c r="G5992" t="s">
        <v>21</v>
      </c>
    </row>
    <row r="5993" spans="1:7">
      <c r="A5993">
        <v>5992</v>
      </c>
      <c r="B5993" t="str">
        <f>"018224"</f>
        <v>0</v>
      </c>
      <c r="C5993" t="s">
        <v>9638</v>
      </c>
      <c r="D5993" t="s">
        <v>9639</v>
      </c>
      <c r="E5993" t="str">
        <f>"3190500021027"</f>
        <v>0</v>
      </c>
      <c r="F5993" t="str">
        <f>"001100"</f>
        <v>0</v>
      </c>
      <c r="G5993" t="s">
        <v>21</v>
      </c>
    </row>
    <row r="5994" spans="1:7">
      <c r="A5994">
        <v>5993</v>
      </c>
      <c r="B5994" t="str">
        <f>"022730"</f>
        <v>0</v>
      </c>
      <c r="C5994" t="s">
        <v>9640</v>
      </c>
      <c r="D5994" t="s">
        <v>8705</v>
      </c>
      <c r="E5994" t="str">
        <f>"3190600095715"</f>
        <v>0</v>
      </c>
      <c r="F5994" t="str">
        <f>"001100"</f>
        <v>0</v>
      </c>
      <c r="G5994" t="s">
        <v>21</v>
      </c>
    </row>
    <row r="5995" spans="1:7">
      <c r="A5995">
        <v>5994</v>
      </c>
      <c r="B5995" t="str">
        <f>"023852"</f>
        <v>0</v>
      </c>
      <c r="C5995" t="s">
        <v>9641</v>
      </c>
      <c r="D5995" t="s">
        <v>9642</v>
      </c>
      <c r="E5995" t="str">
        <f>"1190800021280"</f>
        <v>0</v>
      </c>
      <c r="F5995" t="str">
        <f>"001100"</f>
        <v>0</v>
      </c>
      <c r="G5995" t="s">
        <v>21</v>
      </c>
    </row>
    <row r="5996" spans="1:7">
      <c r="A5996">
        <v>5995</v>
      </c>
      <c r="B5996" t="str">
        <f>"025120"</f>
        <v>0</v>
      </c>
      <c r="C5996" t="s">
        <v>9643</v>
      </c>
      <c r="D5996" t="s">
        <v>9644</v>
      </c>
      <c r="E5996" t="str">
        <f>"1199900123538"</f>
        <v>0</v>
      </c>
      <c r="F5996" t="str">
        <f>"001100"</f>
        <v>0</v>
      </c>
      <c r="G5996" t="s">
        <v>21</v>
      </c>
    </row>
    <row r="5997" spans="1:7">
      <c r="A5997">
        <v>5996</v>
      </c>
      <c r="B5997" t="str">
        <f>"027380"</f>
        <v>0</v>
      </c>
      <c r="C5997" t="s">
        <v>9645</v>
      </c>
      <c r="D5997" t="s">
        <v>9646</v>
      </c>
      <c r="E5997" t="str">
        <f>"3170600589106"</f>
        <v>0</v>
      </c>
      <c r="F5997" t="str">
        <f>"001100"</f>
        <v>0</v>
      </c>
      <c r="G5997" t="s">
        <v>21</v>
      </c>
    </row>
    <row r="5998" spans="1:7">
      <c r="A5998">
        <v>5997</v>
      </c>
      <c r="B5998" t="str">
        <f>"012856"</f>
        <v>0</v>
      </c>
      <c r="C5998" t="s">
        <v>5962</v>
      </c>
      <c r="D5998" t="s">
        <v>9028</v>
      </c>
      <c r="E5998" t="str">
        <f>"3800101393617"</f>
        <v>0</v>
      </c>
      <c r="F5998" t="str">
        <f>"001100"</f>
        <v>0</v>
      </c>
      <c r="G5998" t="s">
        <v>21</v>
      </c>
    </row>
    <row r="5999" spans="1:7">
      <c r="A5999">
        <v>5998</v>
      </c>
      <c r="B5999" t="str">
        <f>"027458"</f>
        <v>0</v>
      </c>
      <c r="C5999" t="s">
        <v>9647</v>
      </c>
      <c r="D5999" t="s">
        <v>9648</v>
      </c>
      <c r="E5999" t="str">
        <f>"1219900113337"</f>
        <v>0</v>
      </c>
      <c r="F5999" t="str">
        <f>"001100"</f>
        <v>0</v>
      </c>
      <c r="G5999" t="s">
        <v>21</v>
      </c>
    </row>
    <row r="6000" spans="1:7">
      <c r="A6000">
        <v>5999</v>
      </c>
      <c r="B6000" t="str">
        <f>"026585"</f>
        <v>0</v>
      </c>
      <c r="C6000" t="s">
        <v>9649</v>
      </c>
      <c r="D6000" t="s">
        <v>9650</v>
      </c>
      <c r="E6000" t="str">
        <f>"1411400122753"</f>
        <v>0</v>
      </c>
      <c r="F6000" t="str">
        <f>"001100"</f>
        <v>0</v>
      </c>
      <c r="G6000" t="s">
        <v>21</v>
      </c>
    </row>
    <row r="6001" spans="1:7">
      <c r="A6001">
        <v>6000</v>
      </c>
      <c r="B6001" t="str">
        <f>"026733"</f>
        <v>0</v>
      </c>
      <c r="C6001" t="s">
        <v>9651</v>
      </c>
      <c r="D6001" t="s">
        <v>9652</v>
      </c>
      <c r="E6001" t="str">
        <f>"1409600134639"</f>
        <v>0</v>
      </c>
      <c r="F6001" t="str">
        <f>"001100"</f>
        <v>0</v>
      </c>
      <c r="G6001" t="s">
        <v>21</v>
      </c>
    </row>
    <row r="6002" spans="1:7">
      <c r="A6002">
        <v>6001</v>
      </c>
      <c r="B6002" t="str">
        <f>"026731"</f>
        <v>0</v>
      </c>
      <c r="C6002" t="s">
        <v>9653</v>
      </c>
      <c r="D6002" t="s">
        <v>9654</v>
      </c>
      <c r="E6002" t="str">
        <f>"1509900768870"</f>
        <v>0</v>
      </c>
      <c r="F6002" t="str">
        <f>"001100"</f>
        <v>0</v>
      </c>
      <c r="G6002" t="s">
        <v>21</v>
      </c>
    </row>
    <row r="6003" spans="1:7">
      <c r="A6003">
        <v>6002</v>
      </c>
      <c r="B6003" t="str">
        <f>"023593"</f>
        <v>0</v>
      </c>
      <c r="C6003" t="s">
        <v>1244</v>
      </c>
      <c r="D6003" t="s">
        <v>9655</v>
      </c>
      <c r="E6003" t="str">
        <f>"1540400054705"</f>
        <v>0</v>
      </c>
      <c r="F6003" t="str">
        <f>"001100"</f>
        <v>0</v>
      </c>
      <c r="G6003" t="s">
        <v>21</v>
      </c>
    </row>
    <row r="6004" spans="1:7">
      <c r="A6004">
        <v>6003</v>
      </c>
      <c r="B6004" t="str">
        <f>"026036"</f>
        <v>0</v>
      </c>
      <c r="C6004" t="s">
        <v>247</v>
      </c>
      <c r="D6004" t="s">
        <v>9656</v>
      </c>
      <c r="E6004" t="str">
        <f>"1609900236265"</f>
        <v>0</v>
      </c>
      <c r="F6004" t="str">
        <f>"001100"</f>
        <v>0</v>
      </c>
      <c r="G6004" t="s">
        <v>21</v>
      </c>
    </row>
    <row r="6005" spans="1:7">
      <c r="A6005">
        <v>6004</v>
      </c>
      <c r="B6005" t="str">
        <f>"024509"</f>
        <v>0</v>
      </c>
      <c r="C6005" t="s">
        <v>9657</v>
      </c>
      <c r="D6005" t="s">
        <v>9658</v>
      </c>
      <c r="E6005" t="str">
        <f>"2610400001871"</f>
        <v>0</v>
      </c>
      <c r="F6005" t="str">
        <f>"001100"</f>
        <v>0</v>
      </c>
      <c r="G6005" t="s">
        <v>21</v>
      </c>
    </row>
    <row r="6006" spans="1:7">
      <c r="A6006">
        <v>6005</v>
      </c>
      <c r="B6006" t="str">
        <f>"027457"</f>
        <v>0</v>
      </c>
      <c r="C6006" t="s">
        <v>9659</v>
      </c>
      <c r="D6006" t="s">
        <v>9660</v>
      </c>
      <c r="E6006" t="str">
        <f>"3660600130591"</f>
        <v>0</v>
      </c>
      <c r="F6006" t="str">
        <f>"001100"</f>
        <v>0</v>
      </c>
      <c r="G6006" t="s">
        <v>21</v>
      </c>
    </row>
    <row r="6007" spans="1:7">
      <c r="A6007">
        <v>6006</v>
      </c>
      <c r="B6007" t="str">
        <f>"022523"</f>
        <v>0</v>
      </c>
      <c r="C6007" t="s">
        <v>9661</v>
      </c>
      <c r="D6007" t="s">
        <v>9662</v>
      </c>
      <c r="E6007" t="str">
        <f>"3710900518560"</f>
        <v>0</v>
      </c>
      <c r="F6007" t="str">
        <f>"001100"</f>
        <v>0</v>
      </c>
      <c r="G6007" t="s">
        <v>21</v>
      </c>
    </row>
    <row r="6008" spans="1:7">
      <c r="A6008">
        <v>6007</v>
      </c>
      <c r="B6008" t="str">
        <f>"024052"</f>
        <v>0</v>
      </c>
      <c r="C6008" t="s">
        <v>9663</v>
      </c>
      <c r="D6008" t="s">
        <v>9664</v>
      </c>
      <c r="E6008" t="str">
        <f>"1729900001020"</f>
        <v>0</v>
      </c>
      <c r="F6008" t="str">
        <f>"001100"</f>
        <v>0</v>
      </c>
      <c r="G6008" t="s">
        <v>21</v>
      </c>
    </row>
    <row r="6009" spans="1:7">
      <c r="A6009">
        <v>6008</v>
      </c>
      <c r="B6009" t="str">
        <f>"025119"</f>
        <v>0</v>
      </c>
      <c r="C6009" t="s">
        <v>9665</v>
      </c>
      <c r="D6009" t="s">
        <v>9666</v>
      </c>
      <c r="E6009" t="str">
        <f>"1720400088381"</f>
        <v>0</v>
      </c>
      <c r="F6009" t="str">
        <f>"001100"</f>
        <v>0</v>
      </c>
      <c r="G6009" t="s">
        <v>21</v>
      </c>
    </row>
    <row r="6010" spans="1:7">
      <c r="A6010">
        <v>6009</v>
      </c>
      <c r="B6010" t="str">
        <f>"025290"</f>
        <v>0</v>
      </c>
      <c r="C6010" t="s">
        <v>9667</v>
      </c>
      <c r="D6010" t="s">
        <v>9668</v>
      </c>
      <c r="E6010" t="str">
        <f>"1729900097680"</f>
        <v>0</v>
      </c>
      <c r="F6010" t="str">
        <f>"001100"</f>
        <v>0</v>
      </c>
      <c r="G6010" t="s">
        <v>21</v>
      </c>
    </row>
    <row r="6011" spans="1:7">
      <c r="A6011">
        <v>6010</v>
      </c>
      <c r="B6011" t="str">
        <f>"025614"</f>
        <v>0</v>
      </c>
      <c r="C6011" t="s">
        <v>9669</v>
      </c>
      <c r="D6011" t="s">
        <v>6991</v>
      </c>
      <c r="E6011" t="str">
        <f>"1720400090980"</f>
        <v>0</v>
      </c>
      <c r="F6011" t="str">
        <f>"001100"</f>
        <v>0</v>
      </c>
      <c r="G6011" t="s">
        <v>21</v>
      </c>
    </row>
    <row r="6012" spans="1:7">
      <c r="A6012">
        <v>6011</v>
      </c>
      <c r="B6012" t="str">
        <f>"026542"</f>
        <v>0</v>
      </c>
      <c r="C6012" t="s">
        <v>7988</v>
      </c>
      <c r="D6012" t="s">
        <v>9670</v>
      </c>
      <c r="E6012" t="str">
        <f>"1720200078722"</f>
        <v>0</v>
      </c>
      <c r="F6012" t="str">
        <f>"001100"</f>
        <v>0</v>
      </c>
      <c r="G6012" t="s">
        <v>21</v>
      </c>
    </row>
    <row r="6013" spans="1:7">
      <c r="A6013">
        <v>6012</v>
      </c>
      <c r="B6013" t="str">
        <f>"026735"</f>
        <v>0</v>
      </c>
      <c r="C6013" t="s">
        <v>2141</v>
      </c>
      <c r="D6013" t="s">
        <v>9671</v>
      </c>
      <c r="E6013" t="str">
        <f>"3720300332325"</f>
        <v>0</v>
      </c>
      <c r="F6013" t="str">
        <f>"001100"</f>
        <v>0</v>
      </c>
      <c r="G6013" t="s">
        <v>21</v>
      </c>
    </row>
    <row r="6014" spans="1:7">
      <c r="A6014">
        <v>6013</v>
      </c>
      <c r="B6014" t="str">
        <f>"027377"</f>
        <v>0</v>
      </c>
      <c r="C6014" t="s">
        <v>9672</v>
      </c>
      <c r="D6014" t="s">
        <v>9673</v>
      </c>
      <c r="E6014" t="str">
        <f>"1149900313736"</f>
        <v>0</v>
      </c>
      <c r="F6014" t="str">
        <f>"001100"</f>
        <v>0</v>
      </c>
      <c r="G6014" t="s">
        <v>21</v>
      </c>
    </row>
    <row r="6015" spans="1:7">
      <c r="A6015">
        <v>6014</v>
      </c>
      <c r="B6015" t="str">
        <f>"027381"</f>
        <v>0</v>
      </c>
      <c r="C6015" t="s">
        <v>9674</v>
      </c>
      <c r="D6015" t="s">
        <v>9675</v>
      </c>
      <c r="E6015" t="str">
        <f>"3220100165403"</f>
        <v>0</v>
      </c>
      <c r="F6015" t="str">
        <f>"001100"</f>
        <v>0</v>
      </c>
      <c r="G6015" t="s">
        <v>21</v>
      </c>
    </row>
    <row r="6016" spans="1:7">
      <c r="A6016">
        <v>6015</v>
      </c>
      <c r="B6016" t="str">
        <f>"024808"</f>
        <v>0</v>
      </c>
      <c r="C6016" t="s">
        <v>9676</v>
      </c>
      <c r="D6016" t="s">
        <v>9677</v>
      </c>
      <c r="E6016" t="str">
        <f>"1779900057351"</f>
        <v>0</v>
      </c>
      <c r="F6016" t="str">
        <f>"001100"</f>
        <v>0</v>
      </c>
      <c r="G6016" t="s">
        <v>21</v>
      </c>
    </row>
    <row r="6017" spans="1:7">
      <c r="A6017">
        <v>6016</v>
      </c>
      <c r="B6017" t="str">
        <f>"027556"</f>
        <v>0</v>
      </c>
      <c r="C6017" t="s">
        <v>9678</v>
      </c>
      <c r="D6017" t="s">
        <v>9679</v>
      </c>
      <c r="E6017" t="str">
        <f>"1650900068941"</f>
        <v>0</v>
      </c>
      <c r="F6017" t="str">
        <f>"001100"</f>
        <v>0</v>
      </c>
      <c r="G6017" t="s">
        <v>21</v>
      </c>
    </row>
    <row r="6018" spans="1:7">
      <c r="A6018">
        <v>6017</v>
      </c>
      <c r="B6018" t="str">
        <f>"027590"</f>
        <v>0</v>
      </c>
      <c r="C6018" t="s">
        <v>9680</v>
      </c>
      <c r="D6018" t="s">
        <v>9681</v>
      </c>
      <c r="E6018" t="str">
        <f>"1102001822852"</f>
        <v>0</v>
      </c>
      <c r="F6018" t="str">
        <f>"001100"</f>
        <v>0</v>
      </c>
      <c r="G6018" t="s">
        <v>21</v>
      </c>
    </row>
    <row r="6019" spans="1:7">
      <c r="A6019">
        <v>6018</v>
      </c>
      <c r="B6019" t="str">
        <f>"027591"</f>
        <v>0</v>
      </c>
      <c r="C6019" t="s">
        <v>403</v>
      </c>
      <c r="D6019" t="s">
        <v>9682</v>
      </c>
      <c r="E6019" t="str">
        <f>"5301400086874"</f>
        <v>0</v>
      </c>
      <c r="F6019" t="str">
        <f>"001100"</f>
        <v>0</v>
      </c>
      <c r="G6019" t="s">
        <v>21</v>
      </c>
    </row>
    <row r="6020" spans="1:7">
      <c r="A6020">
        <v>6019</v>
      </c>
      <c r="B6020" t="str">
        <f>"000630"</f>
        <v>0</v>
      </c>
      <c r="C6020" t="s">
        <v>1972</v>
      </c>
      <c r="D6020" t="s">
        <v>9683</v>
      </c>
      <c r="E6020" t="str">
        <f>"3829900053467"</f>
        <v>0</v>
      </c>
      <c r="F6020" t="str">
        <f>"001110"</f>
        <v>0</v>
      </c>
      <c r="G6020" t="s">
        <v>21</v>
      </c>
    </row>
    <row r="6021" spans="1:7">
      <c r="A6021">
        <v>6020</v>
      </c>
      <c r="B6021" t="str">
        <f>"000718"</f>
        <v>0</v>
      </c>
      <c r="C6021" t="s">
        <v>3894</v>
      </c>
      <c r="D6021" t="s">
        <v>9684</v>
      </c>
      <c r="E6021" t="str">
        <f>"3760100054941"</f>
        <v>0</v>
      </c>
      <c r="F6021" t="str">
        <f>"001110"</f>
        <v>0</v>
      </c>
      <c r="G6021" t="s">
        <v>21</v>
      </c>
    </row>
    <row r="6022" spans="1:7">
      <c r="A6022">
        <v>6021</v>
      </c>
      <c r="B6022" t="str">
        <f>"001549"</f>
        <v>0</v>
      </c>
      <c r="C6022" t="s">
        <v>9685</v>
      </c>
      <c r="D6022" t="s">
        <v>9686</v>
      </c>
      <c r="E6022" t="str">
        <f>"3820700028134"</f>
        <v>0</v>
      </c>
      <c r="F6022" t="str">
        <f>"001110"</f>
        <v>0</v>
      </c>
      <c r="G6022" t="s">
        <v>21</v>
      </c>
    </row>
    <row r="6023" spans="1:7">
      <c r="A6023">
        <v>6022</v>
      </c>
      <c r="B6023" t="str">
        <f>"002006"</f>
        <v>0</v>
      </c>
      <c r="C6023" t="s">
        <v>352</v>
      </c>
      <c r="D6023" t="s">
        <v>9687</v>
      </c>
      <c r="E6023" t="str">
        <f>"3829900025773"</f>
        <v>0</v>
      </c>
      <c r="F6023" t="str">
        <f>"001110"</f>
        <v>0</v>
      </c>
      <c r="G6023" t="s">
        <v>21</v>
      </c>
    </row>
    <row r="6024" spans="1:7">
      <c r="A6024">
        <v>6023</v>
      </c>
      <c r="B6024" t="str">
        <f>"004226"</f>
        <v>0</v>
      </c>
      <c r="C6024" t="s">
        <v>9688</v>
      </c>
      <c r="D6024" t="s">
        <v>9689</v>
      </c>
      <c r="E6024" t="str">
        <f>"3820300017003"</f>
        <v>0</v>
      </c>
      <c r="F6024" t="str">
        <f>"001110"</f>
        <v>0</v>
      </c>
      <c r="G6024" t="s">
        <v>21</v>
      </c>
    </row>
    <row r="6025" spans="1:7">
      <c r="A6025">
        <v>6024</v>
      </c>
      <c r="B6025" t="str">
        <f>"004276"</f>
        <v>0</v>
      </c>
      <c r="C6025" t="s">
        <v>470</v>
      </c>
      <c r="D6025" t="s">
        <v>9690</v>
      </c>
      <c r="E6025" t="str">
        <f>"3120600308441"</f>
        <v>0</v>
      </c>
      <c r="F6025" t="str">
        <f>"001110"</f>
        <v>0</v>
      </c>
      <c r="G6025" t="s">
        <v>21</v>
      </c>
    </row>
    <row r="6026" spans="1:7">
      <c r="A6026">
        <v>6025</v>
      </c>
      <c r="B6026" t="str">
        <f>"005340"</f>
        <v>0</v>
      </c>
      <c r="C6026" t="s">
        <v>447</v>
      </c>
      <c r="D6026" t="s">
        <v>9691</v>
      </c>
      <c r="E6026" t="str">
        <f>"3820800251218"</f>
        <v>0</v>
      </c>
      <c r="F6026" t="str">
        <f>"001110"</f>
        <v>0</v>
      </c>
      <c r="G6026" t="s">
        <v>21</v>
      </c>
    </row>
    <row r="6027" spans="1:7">
      <c r="A6027">
        <v>6026</v>
      </c>
      <c r="B6027" t="str">
        <f>"005647"</f>
        <v>0</v>
      </c>
      <c r="C6027" t="s">
        <v>9692</v>
      </c>
      <c r="D6027" t="s">
        <v>9693</v>
      </c>
      <c r="E6027" t="str">
        <f>"3820700027944"</f>
        <v>0</v>
      </c>
      <c r="F6027" t="str">
        <f>"001110"</f>
        <v>0</v>
      </c>
      <c r="G6027" t="s">
        <v>21</v>
      </c>
    </row>
    <row r="6028" spans="1:7">
      <c r="A6028">
        <v>6027</v>
      </c>
      <c r="B6028" t="str">
        <f>"005694"</f>
        <v>0</v>
      </c>
      <c r="C6028" t="s">
        <v>9694</v>
      </c>
      <c r="D6028" t="s">
        <v>9695</v>
      </c>
      <c r="E6028" t="str">
        <f>"3820100217661"</f>
        <v>0</v>
      </c>
      <c r="F6028" t="str">
        <f>"001110"</f>
        <v>0</v>
      </c>
      <c r="G6028" t="s">
        <v>21</v>
      </c>
    </row>
    <row r="6029" spans="1:7">
      <c r="A6029">
        <v>6028</v>
      </c>
      <c r="B6029" t="str">
        <f>"005852"</f>
        <v>0</v>
      </c>
      <c r="C6029" t="s">
        <v>9696</v>
      </c>
      <c r="D6029" t="s">
        <v>9697</v>
      </c>
      <c r="E6029" t="str">
        <f>"3820400259114"</f>
        <v>0</v>
      </c>
      <c r="F6029" t="str">
        <f>"001110"</f>
        <v>0</v>
      </c>
      <c r="G6029" t="s">
        <v>21</v>
      </c>
    </row>
    <row r="6030" spans="1:7">
      <c r="A6030">
        <v>6029</v>
      </c>
      <c r="B6030" t="str">
        <f>"005981"</f>
        <v>0</v>
      </c>
      <c r="C6030" t="s">
        <v>447</v>
      </c>
      <c r="D6030" t="s">
        <v>9698</v>
      </c>
      <c r="E6030" t="str">
        <f>"3801200072755"</f>
        <v>0</v>
      </c>
      <c r="F6030" t="str">
        <f>"001110"</f>
        <v>0</v>
      </c>
      <c r="G6030" t="s">
        <v>21</v>
      </c>
    </row>
    <row r="6031" spans="1:7">
      <c r="A6031">
        <v>6030</v>
      </c>
      <c r="B6031" t="str">
        <f>"006360"</f>
        <v>0</v>
      </c>
      <c r="C6031" t="s">
        <v>9699</v>
      </c>
      <c r="D6031" t="s">
        <v>9700</v>
      </c>
      <c r="E6031" t="str">
        <f>"3800101959629"</f>
        <v>0</v>
      </c>
      <c r="F6031" t="str">
        <f>"001110"</f>
        <v>0</v>
      </c>
      <c r="G6031" t="s">
        <v>21</v>
      </c>
    </row>
    <row r="6032" spans="1:7">
      <c r="A6032">
        <v>6031</v>
      </c>
      <c r="B6032" t="str">
        <f>"006922"</f>
        <v>0</v>
      </c>
      <c r="C6032" t="s">
        <v>9701</v>
      </c>
      <c r="D6032" t="s">
        <v>9702</v>
      </c>
      <c r="E6032" t="str">
        <f>"3820100074160"</f>
        <v>0</v>
      </c>
      <c r="F6032" t="str">
        <f>"001110"</f>
        <v>0</v>
      </c>
      <c r="G6032" t="s">
        <v>21</v>
      </c>
    </row>
    <row r="6033" spans="1:7">
      <c r="A6033">
        <v>6032</v>
      </c>
      <c r="B6033" t="str">
        <f>"007016"</f>
        <v>0</v>
      </c>
      <c r="C6033" t="s">
        <v>9703</v>
      </c>
      <c r="D6033" t="s">
        <v>9689</v>
      </c>
      <c r="E6033" t="str">
        <f>"3820300017011"</f>
        <v>0</v>
      </c>
      <c r="F6033" t="str">
        <f>"001110"</f>
        <v>0</v>
      </c>
      <c r="G6033" t="s">
        <v>21</v>
      </c>
    </row>
    <row r="6034" spans="1:7">
      <c r="A6034">
        <v>6033</v>
      </c>
      <c r="B6034" t="str">
        <f>"007017"</f>
        <v>0</v>
      </c>
      <c r="C6034" t="s">
        <v>5556</v>
      </c>
      <c r="D6034" t="s">
        <v>9687</v>
      </c>
      <c r="E6034" t="str">
        <f>"3820800222692"</f>
        <v>0</v>
      </c>
      <c r="F6034" t="str">
        <f>"001110"</f>
        <v>0</v>
      </c>
      <c r="G6034" t="s">
        <v>21</v>
      </c>
    </row>
    <row r="6035" spans="1:7">
      <c r="A6035">
        <v>6034</v>
      </c>
      <c r="B6035" t="str">
        <f>"007018"</f>
        <v>0</v>
      </c>
      <c r="C6035" t="s">
        <v>9704</v>
      </c>
      <c r="D6035" t="s">
        <v>9705</v>
      </c>
      <c r="E6035" t="str">
        <f>"3820800139574"</f>
        <v>0</v>
      </c>
      <c r="F6035" t="str">
        <f>"001110"</f>
        <v>0</v>
      </c>
      <c r="G6035" t="s">
        <v>21</v>
      </c>
    </row>
    <row r="6036" spans="1:7">
      <c r="A6036">
        <v>6035</v>
      </c>
      <c r="B6036" t="str">
        <f>"007020"</f>
        <v>0</v>
      </c>
      <c r="C6036" t="s">
        <v>9706</v>
      </c>
      <c r="D6036" t="s">
        <v>9707</v>
      </c>
      <c r="E6036" t="str">
        <f>"3829900025790"</f>
        <v>0</v>
      </c>
      <c r="F6036" t="str">
        <f>"001110"</f>
        <v>0</v>
      </c>
      <c r="G6036" t="s">
        <v>21</v>
      </c>
    </row>
    <row r="6037" spans="1:7">
      <c r="A6037">
        <v>6036</v>
      </c>
      <c r="B6037" t="str">
        <f>"008160"</f>
        <v>0</v>
      </c>
      <c r="C6037" t="s">
        <v>9708</v>
      </c>
      <c r="D6037" t="s">
        <v>9709</v>
      </c>
      <c r="E6037" t="str">
        <f>"3829900053742"</f>
        <v>0</v>
      </c>
      <c r="F6037" t="str">
        <f>"001110"</f>
        <v>0</v>
      </c>
      <c r="G6037" t="s">
        <v>21</v>
      </c>
    </row>
    <row r="6038" spans="1:7">
      <c r="A6038">
        <v>6037</v>
      </c>
      <c r="B6038" t="str">
        <f>"008492"</f>
        <v>0</v>
      </c>
      <c r="C6038" t="s">
        <v>2303</v>
      </c>
      <c r="D6038" t="s">
        <v>9710</v>
      </c>
      <c r="E6038" t="str">
        <f>"3670700195741"</f>
        <v>0</v>
      </c>
      <c r="F6038" t="str">
        <f>"001110"</f>
        <v>0</v>
      </c>
      <c r="G6038" t="s">
        <v>21</v>
      </c>
    </row>
    <row r="6039" spans="1:7">
      <c r="A6039">
        <v>6038</v>
      </c>
      <c r="B6039" t="str">
        <f>"008919"</f>
        <v>0</v>
      </c>
      <c r="C6039" t="s">
        <v>1981</v>
      </c>
      <c r="D6039" t="s">
        <v>9711</v>
      </c>
      <c r="E6039" t="str">
        <f>"3820500143614"</f>
        <v>0</v>
      </c>
      <c r="F6039" t="str">
        <f>"001110"</f>
        <v>0</v>
      </c>
      <c r="G6039" t="s">
        <v>21</v>
      </c>
    </row>
    <row r="6040" spans="1:7">
      <c r="A6040">
        <v>6039</v>
      </c>
      <c r="B6040" t="str">
        <f>"008920"</f>
        <v>0</v>
      </c>
      <c r="C6040" t="s">
        <v>2360</v>
      </c>
      <c r="D6040" t="s">
        <v>6692</v>
      </c>
      <c r="E6040" t="str">
        <f>"3829800104621"</f>
        <v>0</v>
      </c>
      <c r="F6040" t="str">
        <f>"001110"</f>
        <v>0</v>
      </c>
      <c r="G6040" t="s">
        <v>21</v>
      </c>
    </row>
    <row r="6041" spans="1:7">
      <c r="A6041">
        <v>6040</v>
      </c>
      <c r="B6041" t="str">
        <f>"009706"</f>
        <v>0</v>
      </c>
      <c r="C6041" t="s">
        <v>8893</v>
      </c>
      <c r="D6041" t="s">
        <v>9712</v>
      </c>
      <c r="E6041" t="str">
        <f>"3850400096797"</f>
        <v>0</v>
      </c>
      <c r="F6041" t="str">
        <f>"001110"</f>
        <v>0</v>
      </c>
      <c r="G6041" t="s">
        <v>21</v>
      </c>
    </row>
    <row r="6042" spans="1:7">
      <c r="A6042">
        <v>6041</v>
      </c>
      <c r="B6042" t="str">
        <f>"011012"</f>
        <v>0</v>
      </c>
      <c r="C6042" t="s">
        <v>6203</v>
      </c>
      <c r="D6042" t="s">
        <v>9713</v>
      </c>
      <c r="E6042" t="str">
        <f>"3829800042749"</f>
        <v>0</v>
      </c>
      <c r="F6042" t="str">
        <f>"001110"</f>
        <v>0</v>
      </c>
      <c r="G6042" t="s">
        <v>21</v>
      </c>
    </row>
    <row r="6043" spans="1:7">
      <c r="A6043">
        <v>6042</v>
      </c>
      <c r="B6043" t="str">
        <f>"011319"</f>
        <v>0</v>
      </c>
      <c r="C6043" t="s">
        <v>9714</v>
      </c>
      <c r="D6043" t="s">
        <v>9715</v>
      </c>
      <c r="E6043" t="str">
        <f>"3841000018072"</f>
        <v>0</v>
      </c>
      <c r="F6043" t="str">
        <f>"001110"</f>
        <v>0</v>
      </c>
      <c r="G6043" t="s">
        <v>21</v>
      </c>
    </row>
    <row r="6044" spans="1:7">
      <c r="A6044">
        <v>6043</v>
      </c>
      <c r="B6044" t="str">
        <f>"011423"</f>
        <v>0</v>
      </c>
      <c r="C6044" t="s">
        <v>4130</v>
      </c>
      <c r="D6044" t="s">
        <v>9716</v>
      </c>
      <c r="E6044" t="str">
        <f>"3960300032346"</f>
        <v>0</v>
      </c>
      <c r="F6044" t="str">
        <f>"001110"</f>
        <v>0</v>
      </c>
      <c r="G6044" t="s">
        <v>21</v>
      </c>
    </row>
    <row r="6045" spans="1:7">
      <c r="A6045">
        <v>6044</v>
      </c>
      <c r="B6045" t="str">
        <f>"014023"</f>
        <v>0</v>
      </c>
      <c r="C6045" t="s">
        <v>9717</v>
      </c>
      <c r="D6045" t="s">
        <v>9718</v>
      </c>
      <c r="E6045" t="str">
        <f>"3809800165107"</f>
        <v>0</v>
      </c>
      <c r="F6045" t="str">
        <f>"001110"</f>
        <v>0</v>
      </c>
      <c r="G6045" t="s">
        <v>21</v>
      </c>
    </row>
    <row r="6046" spans="1:7">
      <c r="A6046">
        <v>6045</v>
      </c>
      <c r="B6046" t="str">
        <f>"014791"</f>
        <v>0</v>
      </c>
      <c r="C6046" t="s">
        <v>110</v>
      </c>
      <c r="D6046" t="s">
        <v>9719</v>
      </c>
      <c r="E6046" t="str">
        <f>"3820500162155"</f>
        <v>0</v>
      </c>
      <c r="F6046" t="str">
        <f>"001110"</f>
        <v>0</v>
      </c>
      <c r="G6046" t="s">
        <v>21</v>
      </c>
    </row>
    <row r="6047" spans="1:7">
      <c r="A6047">
        <v>6046</v>
      </c>
      <c r="B6047" t="str">
        <f>"013249"</f>
        <v>0</v>
      </c>
      <c r="C6047" t="s">
        <v>2333</v>
      </c>
      <c r="D6047" t="s">
        <v>2418</v>
      </c>
      <c r="E6047" t="str">
        <f>"3829900055001"</f>
        <v>0</v>
      </c>
      <c r="F6047" t="str">
        <f>"001110"</f>
        <v>0</v>
      </c>
      <c r="G6047" t="s">
        <v>21</v>
      </c>
    </row>
    <row r="6048" spans="1:7">
      <c r="A6048">
        <v>6047</v>
      </c>
      <c r="B6048" t="str">
        <f>"005276"</f>
        <v>0</v>
      </c>
      <c r="C6048" t="s">
        <v>9720</v>
      </c>
      <c r="D6048" t="s">
        <v>9721</v>
      </c>
      <c r="E6048" t="str">
        <f>"3820100196320"</f>
        <v>0</v>
      </c>
      <c r="F6048" t="str">
        <f>"001110"</f>
        <v>0</v>
      </c>
      <c r="G6048" t="s">
        <v>21</v>
      </c>
    </row>
    <row r="6049" spans="1:7">
      <c r="A6049">
        <v>6048</v>
      </c>
      <c r="B6049" t="str">
        <f>"021179"</f>
        <v>0</v>
      </c>
      <c r="C6049" t="s">
        <v>9722</v>
      </c>
      <c r="D6049" t="s">
        <v>9723</v>
      </c>
      <c r="E6049" t="str">
        <f>"3800900109553"</f>
        <v>0</v>
      </c>
      <c r="F6049" t="str">
        <f>"001110"</f>
        <v>0</v>
      </c>
      <c r="G6049" t="s">
        <v>21</v>
      </c>
    </row>
    <row r="6050" spans="1:7">
      <c r="A6050">
        <v>6049</v>
      </c>
      <c r="B6050" t="str">
        <f>"025785"</f>
        <v>0</v>
      </c>
      <c r="C6050" t="s">
        <v>9724</v>
      </c>
      <c r="D6050" t="s">
        <v>9725</v>
      </c>
      <c r="E6050" t="str">
        <f>"1229900257118"</f>
        <v>0</v>
      </c>
      <c r="F6050" t="str">
        <f>"001110"</f>
        <v>0</v>
      </c>
      <c r="G6050" t="s">
        <v>21</v>
      </c>
    </row>
    <row r="6051" spans="1:7">
      <c r="A6051">
        <v>6050</v>
      </c>
      <c r="B6051" t="str">
        <f>"024817"</f>
        <v>0</v>
      </c>
      <c r="C6051" t="s">
        <v>9726</v>
      </c>
      <c r="D6051" t="s">
        <v>9727</v>
      </c>
      <c r="E6051" t="str">
        <f>"2810600001911"</f>
        <v>0</v>
      </c>
      <c r="F6051" t="str">
        <f>"001110"</f>
        <v>0</v>
      </c>
      <c r="G6051" t="s">
        <v>21</v>
      </c>
    </row>
    <row r="6052" spans="1:7">
      <c r="A6052">
        <v>6051</v>
      </c>
      <c r="B6052" t="str">
        <f>"004426"</f>
        <v>0</v>
      </c>
      <c r="C6052" t="s">
        <v>9728</v>
      </c>
      <c r="D6052" t="s">
        <v>9729</v>
      </c>
      <c r="E6052" t="str">
        <f>"3820800141790"</f>
        <v>0</v>
      </c>
      <c r="F6052" t="str">
        <f>"001110"</f>
        <v>0</v>
      </c>
      <c r="G6052" t="s">
        <v>21</v>
      </c>
    </row>
    <row r="6053" spans="1:7">
      <c r="A6053">
        <v>6052</v>
      </c>
      <c r="B6053" t="str">
        <f>"008823"</f>
        <v>0</v>
      </c>
      <c r="C6053" t="s">
        <v>9730</v>
      </c>
      <c r="D6053" t="s">
        <v>9731</v>
      </c>
      <c r="E6053" t="str">
        <f>"3820100035610"</f>
        <v>0</v>
      </c>
      <c r="F6053" t="str">
        <f>"001110"</f>
        <v>0</v>
      </c>
      <c r="G6053" t="s">
        <v>21</v>
      </c>
    </row>
    <row r="6054" spans="1:7">
      <c r="A6054">
        <v>6053</v>
      </c>
      <c r="B6054" t="str">
        <f>"010169"</f>
        <v>0</v>
      </c>
      <c r="C6054" t="s">
        <v>9732</v>
      </c>
      <c r="D6054" t="s">
        <v>9733</v>
      </c>
      <c r="E6054" t="str">
        <f>"5330290009608"</f>
        <v>0</v>
      </c>
      <c r="F6054" t="str">
        <f>"001110"</f>
        <v>0</v>
      </c>
      <c r="G6054" t="s">
        <v>21</v>
      </c>
    </row>
    <row r="6055" spans="1:7">
      <c r="A6055">
        <v>6054</v>
      </c>
      <c r="B6055" t="str">
        <f>"010609"</f>
        <v>0</v>
      </c>
      <c r="C6055" t="s">
        <v>28</v>
      </c>
      <c r="D6055" t="s">
        <v>9734</v>
      </c>
      <c r="E6055" t="str">
        <f>"3860100699992"</f>
        <v>0</v>
      </c>
      <c r="F6055" t="str">
        <f>"001110"</f>
        <v>0</v>
      </c>
      <c r="G6055" t="s">
        <v>21</v>
      </c>
    </row>
    <row r="6056" spans="1:7">
      <c r="A6056">
        <v>6055</v>
      </c>
      <c r="B6056" t="str">
        <f>"011008"</f>
        <v>0</v>
      </c>
      <c r="C6056" t="s">
        <v>798</v>
      </c>
      <c r="D6056" t="s">
        <v>340</v>
      </c>
      <c r="E6056" t="str">
        <f>"4250600001394"</f>
        <v>0</v>
      </c>
      <c r="F6056" t="str">
        <f>"001110"</f>
        <v>0</v>
      </c>
      <c r="G6056" t="s">
        <v>21</v>
      </c>
    </row>
    <row r="6057" spans="1:7">
      <c r="A6057">
        <v>6056</v>
      </c>
      <c r="B6057" t="str">
        <f>"015990"</f>
        <v>0</v>
      </c>
      <c r="C6057" t="s">
        <v>9735</v>
      </c>
      <c r="D6057" t="s">
        <v>9736</v>
      </c>
      <c r="E6057" t="str">
        <f>"3800400111834"</f>
        <v>0</v>
      </c>
      <c r="F6057" t="str">
        <f>"001110"</f>
        <v>0</v>
      </c>
      <c r="G6057" t="s">
        <v>21</v>
      </c>
    </row>
    <row r="6058" spans="1:7">
      <c r="A6058">
        <v>6057</v>
      </c>
      <c r="B6058" t="str">
        <f>"019561"</f>
        <v>0</v>
      </c>
      <c r="C6058" t="s">
        <v>1229</v>
      </c>
      <c r="D6058" t="s">
        <v>988</v>
      </c>
      <c r="E6058" t="str">
        <f>"3820500173394"</f>
        <v>0</v>
      </c>
      <c r="F6058" t="str">
        <f>"001110"</f>
        <v>0</v>
      </c>
      <c r="G6058" t="s">
        <v>21</v>
      </c>
    </row>
    <row r="6059" spans="1:7">
      <c r="A6059">
        <v>6058</v>
      </c>
      <c r="B6059" t="str">
        <f>"020525"</f>
        <v>0</v>
      </c>
      <c r="C6059" t="s">
        <v>9737</v>
      </c>
      <c r="D6059" t="s">
        <v>9738</v>
      </c>
      <c r="E6059" t="str">
        <f>"2820700016880"</f>
        <v>0</v>
      </c>
      <c r="F6059" t="str">
        <f>"001110"</f>
        <v>0</v>
      </c>
      <c r="G6059" t="s">
        <v>21</v>
      </c>
    </row>
    <row r="6060" spans="1:7">
      <c r="A6060">
        <v>6059</v>
      </c>
      <c r="B6060" t="str">
        <f>"021518"</f>
        <v>0</v>
      </c>
      <c r="C6060" t="s">
        <v>9739</v>
      </c>
      <c r="D6060" t="s">
        <v>9740</v>
      </c>
      <c r="E6060" t="str">
        <f>"3770400346557"</f>
        <v>0</v>
      </c>
      <c r="F6060" t="str">
        <f>"001110"</f>
        <v>0</v>
      </c>
      <c r="G6060" t="s">
        <v>21</v>
      </c>
    </row>
    <row r="6061" spans="1:7">
      <c r="A6061">
        <v>6060</v>
      </c>
      <c r="B6061" t="str">
        <f>"022327"</f>
        <v>0</v>
      </c>
      <c r="C6061" t="s">
        <v>9741</v>
      </c>
      <c r="D6061" t="s">
        <v>9742</v>
      </c>
      <c r="E6061" t="str">
        <f>"3820100213071"</f>
        <v>0</v>
      </c>
      <c r="F6061" t="str">
        <f>"001110"</f>
        <v>0</v>
      </c>
      <c r="G6061" t="s">
        <v>21</v>
      </c>
    </row>
    <row r="6062" spans="1:7">
      <c r="A6062">
        <v>6061</v>
      </c>
      <c r="B6062" t="str">
        <f>"022999"</f>
        <v>0</v>
      </c>
      <c r="C6062" t="s">
        <v>9743</v>
      </c>
      <c r="D6062" t="s">
        <v>9744</v>
      </c>
      <c r="E6062" t="str">
        <f>"1770400039143"</f>
        <v>0</v>
      </c>
      <c r="F6062" t="str">
        <f>"001110"</f>
        <v>0</v>
      </c>
      <c r="G6062" t="s">
        <v>21</v>
      </c>
    </row>
    <row r="6063" spans="1:7">
      <c r="A6063">
        <v>6062</v>
      </c>
      <c r="B6063" t="str">
        <f>"024815"</f>
        <v>0</v>
      </c>
      <c r="C6063" t="s">
        <v>9745</v>
      </c>
      <c r="D6063" t="s">
        <v>9746</v>
      </c>
      <c r="E6063" t="str">
        <f>"1820400002397"</f>
        <v>0</v>
      </c>
      <c r="F6063" t="str">
        <f>"001110"</f>
        <v>0</v>
      </c>
      <c r="G6063" t="s">
        <v>21</v>
      </c>
    </row>
    <row r="6064" spans="1:7">
      <c r="A6064">
        <v>6063</v>
      </c>
      <c r="B6064" t="str">
        <f>"024816"</f>
        <v>0</v>
      </c>
      <c r="C6064" t="s">
        <v>9747</v>
      </c>
      <c r="D6064" t="s">
        <v>9748</v>
      </c>
      <c r="E6064" t="str">
        <f>"1829900053274"</f>
        <v>0</v>
      </c>
      <c r="F6064" t="str">
        <f>"001110"</f>
        <v>0</v>
      </c>
      <c r="G6064" t="s">
        <v>21</v>
      </c>
    </row>
    <row r="6065" spans="1:7">
      <c r="A6065">
        <v>6064</v>
      </c>
      <c r="B6065" t="str">
        <f>"025174"</f>
        <v>0</v>
      </c>
      <c r="C6065" t="s">
        <v>9749</v>
      </c>
      <c r="D6065" t="s">
        <v>9750</v>
      </c>
      <c r="E6065" t="str">
        <f>"3820100197946"</f>
        <v>0</v>
      </c>
      <c r="F6065" t="str">
        <f>"001110"</f>
        <v>0</v>
      </c>
      <c r="G6065" t="s">
        <v>21</v>
      </c>
    </row>
    <row r="6066" spans="1:7">
      <c r="A6066">
        <v>6065</v>
      </c>
      <c r="B6066" t="str">
        <f>"025922"</f>
        <v>0</v>
      </c>
      <c r="C6066" t="s">
        <v>9751</v>
      </c>
      <c r="D6066" t="s">
        <v>9752</v>
      </c>
      <c r="E6066" t="str">
        <f>"1119900397247"</f>
        <v>0</v>
      </c>
      <c r="F6066" t="str">
        <f>"001110"</f>
        <v>0</v>
      </c>
      <c r="G6066" t="s">
        <v>21</v>
      </c>
    </row>
    <row r="6067" spans="1:7">
      <c r="A6067">
        <v>6066</v>
      </c>
      <c r="B6067" t="str">
        <f>"026430"</f>
        <v>0</v>
      </c>
      <c r="C6067" t="s">
        <v>9753</v>
      </c>
      <c r="D6067" t="s">
        <v>9754</v>
      </c>
      <c r="E6067" t="str">
        <f>"3770400449224"</f>
        <v>0</v>
      </c>
      <c r="F6067" t="str">
        <f>"001110"</f>
        <v>0</v>
      </c>
      <c r="G6067" t="s">
        <v>21</v>
      </c>
    </row>
    <row r="6068" spans="1:7">
      <c r="A6068">
        <v>6067</v>
      </c>
      <c r="B6068" t="str">
        <f>"027479"</f>
        <v>0</v>
      </c>
      <c r="C6068" t="s">
        <v>9755</v>
      </c>
      <c r="D6068" t="s">
        <v>9756</v>
      </c>
      <c r="E6068" t="str">
        <f>"1620300093261"</f>
        <v>0</v>
      </c>
      <c r="F6068" t="str">
        <f>"001110"</f>
        <v>0</v>
      </c>
      <c r="G6068" t="s">
        <v>21</v>
      </c>
    </row>
    <row r="6069" spans="1:7">
      <c r="A6069">
        <v>6068</v>
      </c>
      <c r="B6069" t="str">
        <f>"020579"</f>
        <v>0</v>
      </c>
      <c r="C6069" t="s">
        <v>4041</v>
      </c>
      <c r="D6069" t="s">
        <v>9757</v>
      </c>
      <c r="E6069" t="str">
        <f>"3820800174108"</f>
        <v>0</v>
      </c>
      <c r="F6069" t="str">
        <f>"001110"</f>
        <v>0</v>
      </c>
      <c r="G6069" t="s">
        <v>21</v>
      </c>
    </row>
    <row r="6070" spans="1:7">
      <c r="A6070">
        <v>6069</v>
      </c>
      <c r="B6070" t="str">
        <f>"025123"</f>
        <v>0</v>
      </c>
      <c r="C6070" t="s">
        <v>1011</v>
      </c>
      <c r="D6070" t="s">
        <v>9758</v>
      </c>
      <c r="E6070" t="str">
        <f>"1839900230061"</f>
        <v>0</v>
      </c>
      <c r="F6070" t="str">
        <f>"001110"</f>
        <v>0</v>
      </c>
      <c r="G6070" t="s">
        <v>21</v>
      </c>
    </row>
    <row r="6071" spans="1:7">
      <c r="A6071">
        <v>6070</v>
      </c>
      <c r="B6071" t="str">
        <f>"025786"</f>
        <v>0</v>
      </c>
      <c r="C6071" t="s">
        <v>5061</v>
      </c>
      <c r="D6071" t="s">
        <v>9759</v>
      </c>
      <c r="E6071" t="str">
        <f>"3800900732277"</f>
        <v>0</v>
      </c>
      <c r="F6071" t="str">
        <f>"001110"</f>
        <v>0</v>
      </c>
      <c r="G6071" t="s">
        <v>21</v>
      </c>
    </row>
    <row r="6072" spans="1:7">
      <c r="A6072">
        <v>6071</v>
      </c>
      <c r="B6072" t="str">
        <f>"026739"</f>
        <v>0</v>
      </c>
      <c r="C6072" t="s">
        <v>9760</v>
      </c>
      <c r="D6072" t="s">
        <v>9761</v>
      </c>
      <c r="E6072" t="str">
        <f>"1839900294018"</f>
        <v>0</v>
      </c>
      <c r="F6072" t="str">
        <f>"001110"</f>
        <v>0</v>
      </c>
      <c r="G6072" t="s">
        <v>21</v>
      </c>
    </row>
    <row r="6073" spans="1:7">
      <c r="A6073">
        <v>6072</v>
      </c>
      <c r="B6073" t="str">
        <f>"021394"</f>
        <v>0</v>
      </c>
      <c r="C6073" t="s">
        <v>9762</v>
      </c>
      <c r="D6073" t="s">
        <v>9763</v>
      </c>
      <c r="E6073" t="str">
        <f>"3841700029018"</f>
        <v>0</v>
      </c>
      <c r="F6073" t="str">
        <f>"001110"</f>
        <v>0</v>
      </c>
      <c r="G6073" t="s">
        <v>21</v>
      </c>
    </row>
    <row r="6074" spans="1:7">
      <c r="A6074">
        <v>6073</v>
      </c>
      <c r="B6074" t="str">
        <f>"025499"</f>
        <v>0</v>
      </c>
      <c r="C6074" t="s">
        <v>9764</v>
      </c>
      <c r="D6074" t="s">
        <v>9765</v>
      </c>
      <c r="E6074" t="str">
        <f>"1840790003938"</f>
        <v>0</v>
      </c>
      <c r="F6074" t="str">
        <f>"001110"</f>
        <v>0</v>
      </c>
      <c r="G6074" t="s">
        <v>21</v>
      </c>
    </row>
    <row r="6075" spans="1:7">
      <c r="A6075">
        <v>6074</v>
      </c>
      <c r="B6075" t="str">
        <f>"025926"</f>
        <v>0</v>
      </c>
      <c r="C6075" t="s">
        <v>9766</v>
      </c>
      <c r="D6075" t="s">
        <v>9767</v>
      </c>
      <c r="E6075" t="str">
        <f>"1840800016387"</f>
        <v>0</v>
      </c>
      <c r="F6075" t="str">
        <f>"001110"</f>
        <v>0</v>
      </c>
      <c r="G6075" t="s">
        <v>21</v>
      </c>
    </row>
    <row r="6076" spans="1:7">
      <c r="A6076">
        <v>6075</v>
      </c>
      <c r="B6076" t="str">
        <f>"027151"</f>
        <v>0</v>
      </c>
      <c r="C6076" t="s">
        <v>9768</v>
      </c>
      <c r="D6076" t="s">
        <v>9769</v>
      </c>
      <c r="E6076" t="str">
        <f>"1841800054549"</f>
        <v>0</v>
      </c>
      <c r="F6076" t="str">
        <f>"001110"</f>
        <v>0</v>
      </c>
      <c r="G6076" t="s">
        <v>21</v>
      </c>
    </row>
    <row r="6077" spans="1:7">
      <c r="A6077">
        <v>6076</v>
      </c>
      <c r="B6077" t="str">
        <f>"024635"</f>
        <v>0</v>
      </c>
      <c r="C6077" t="s">
        <v>9232</v>
      </c>
      <c r="D6077" t="s">
        <v>9770</v>
      </c>
      <c r="E6077" t="str">
        <f>"3860600018293"</f>
        <v>0</v>
      </c>
      <c r="F6077" t="str">
        <f>"001110"</f>
        <v>0</v>
      </c>
      <c r="G6077" t="s">
        <v>21</v>
      </c>
    </row>
    <row r="6078" spans="1:7">
      <c r="A6078">
        <v>6077</v>
      </c>
      <c r="B6078" t="str">
        <f>"026159"</f>
        <v>0</v>
      </c>
      <c r="C6078" t="s">
        <v>2022</v>
      </c>
      <c r="D6078" t="s">
        <v>9771</v>
      </c>
      <c r="E6078" t="str">
        <f>"3920100694868"</f>
        <v>0</v>
      </c>
      <c r="F6078" t="str">
        <f>"001110"</f>
        <v>0</v>
      </c>
      <c r="G6078" t="s">
        <v>21</v>
      </c>
    </row>
    <row r="6079" spans="1:7">
      <c r="A6079">
        <v>6078</v>
      </c>
      <c r="B6079" t="str">
        <f>"018654"</f>
        <v>0</v>
      </c>
      <c r="C6079" t="s">
        <v>2331</v>
      </c>
      <c r="D6079" t="s">
        <v>6098</v>
      </c>
      <c r="E6079" t="str">
        <f>"3920600423847"</f>
        <v>0</v>
      </c>
      <c r="F6079" t="str">
        <f>"001110"</f>
        <v>0</v>
      </c>
      <c r="G6079" t="s">
        <v>21</v>
      </c>
    </row>
    <row r="6080" spans="1:7">
      <c r="A6080">
        <v>6079</v>
      </c>
      <c r="B6080" t="str">
        <f>"026734"</f>
        <v>0</v>
      </c>
      <c r="C6080" t="s">
        <v>9772</v>
      </c>
      <c r="D6080" t="s">
        <v>9773</v>
      </c>
      <c r="E6080" t="str">
        <f>"1920200009885"</f>
        <v>0</v>
      </c>
      <c r="F6080" t="str">
        <f>"001110"</f>
        <v>0</v>
      </c>
      <c r="G6080" t="s">
        <v>21</v>
      </c>
    </row>
    <row r="6081" spans="1:7">
      <c r="A6081">
        <v>6080</v>
      </c>
      <c r="B6081" t="str">
        <f>"027150"</f>
        <v>0</v>
      </c>
      <c r="C6081" t="s">
        <v>1718</v>
      </c>
      <c r="D6081" t="s">
        <v>9774</v>
      </c>
      <c r="E6081" t="str">
        <f>"3920600754797"</f>
        <v>0</v>
      </c>
      <c r="F6081" t="str">
        <f>"001110"</f>
        <v>0</v>
      </c>
      <c r="G6081" t="s">
        <v>21</v>
      </c>
    </row>
    <row r="6082" spans="1:7">
      <c r="A6082">
        <v>6081</v>
      </c>
      <c r="B6082" t="str">
        <f>"027149"</f>
        <v>0</v>
      </c>
      <c r="C6082" t="s">
        <v>5662</v>
      </c>
      <c r="D6082" t="s">
        <v>9775</v>
      </c>
      <c r="E6082" t="str">
        <f>"3930500765541"</f>
        <v>0</v>
      </c>
      <c r="F6082" t="str">
        <f>"001110"</f>
        <v>0</v>
      </c>
      <c r="G6082" t="s">
        <v>21</v>
      </c>
    </row>
    <row r="6083" spans="1:7">
      <c r="A6083">
        <v>6082</v>
      </c>
      <c r="B6083" t="str">
        <f>"026738"</f>
        <v>0</v>
      </c>
      <c r="C6083" t="s">
        <v>9776</v>
      </c>
      <c r="D6083" t="s">
        <v>8358</v>
      </c>
      <c r="E6083" t="str">
        <f>"1941000026604"</f>
        <v>0</v>
      </c>
      <c r="F6083" t="str">
        <f>"001110"</f>
        <v>0</v>
      </c>
      <c r="G6083" t="s">
        <v>21</v>
      </c>
    </row>
    <row r="6084" spans="1:7">
      <c r="A6084">
        <v>6083</v>
      </c>
      <c r="B6084" t="str">
        <f>"021255"</f>
        <v>0</v>
      </c>
      <c r="C6084" t="s">
        <v>9777</v>
      </c>
      <c r="D6084" t="s">
        <v>9778</v>
      </c>
      <c r="E6084" t="str">
        <f>"3969800053243"</f>
        <v>0</v>
      </c>
      <c r="F6084" t="str">
        <f>"001110"</f>
        <v>0</v>
      </c>
      <c r="G6084" t="s">
        <v>21</v>
      </c>
    </row>
    <row r="6085" spans="1:7">
      <c r="A6085">
        <v>6084</v>
      </c>
      <c r="B6085" t="str">
        <f>"027557"</f>
        <v>0</v>
      </c>
      <c r="C6085" t="s">
        <v>9779</v>
      </c>
      <c r="D6085" t="s">
        <v>7206</v>
      </c>
      <c r="E6085" t="str">
        <f>"1809900167903"</f>
        <v>0</v>
      </c>
      <c r="F6085" t="str">
        <f>"001110"</f>
        <v>0</v>
      </c>
      <c r="G6085" t="s">
        <v>21</v>
      </c>
    </row>
    <row r="6086" spans="1:7">
      <c r="A6086">
        <v>6085</v>
      </c>
      <c r="B6086" t="str">
        <f>"027558"</f>
        <v>0</v>
      </c>
      <c r="C6086" t="s">
        <v>9780</v>
      </c>
      <c r="D6086" t="s">
        <v>9781</v>
      </c>
      <c r="E6086" t="str">
        <f>"1910300005377"</f>
        <v>0</v>
      </c>
      <c r="F6086" t="str">
        <f>"001110"</f>
        <v>0</v>
      </c>
      <c r="G6086" t="s">
        <v>21</v>
      </c>
    </row>
    <row r="6087" spans="1:7">
      <c r="A6087">
        <v>6086</v>
      </c>
      <c r="B6087" t="str">
        <f>"000162"</f>
        <v>0</v>
      </c>
      <c r="C6087" t="s">
        <v>2783</v>
      </c>
      <c r="D6087" t="s">
        <v>9782</v>
      </c>
      <c r="E6087" t="str">
        <f>"3930100864674"</f>
        <v>0</v>
      </c>
      <c r="F6087" t="str">
        <f>"001130"</f>
        <v>0</v>
      </c>
      <c r="G6087" t="s">
        <v>21</v>
      </c>
    </row>
    <row r="6088" spans="1:7">
      <c r="A6088">
        <v>6087</v>
      </c>
      <c r="B6088" t="str">
        <f>"001288"</f>
        <v>0</v>
      </c>
      <c r="C6088" t="s">
        <v>44</v>
      </c>
      <c r="D6088" t="s">
        <v>9783</v>
      </c>
      <c r="E6088" t="str">
        <f>"3249900130858"</f>
        <v>0</v>
      </c>
      <c r="F6088" t="str">
        <f>"001130"</f>
        <v>0</v>
      </c>
      <c r="G6088" t="s">
        <v>21</v>
      </c>
    </row>
    <row r="6089" spans="1:7">
      <c r="A6089">
        <v>6088</v>
      </c>
      <c r="B6089" t="str">
        <f>"001694"</f>
        <v>0</v>
      </c>
      <c r="C6089" t="s">
        <v>9784</v>
      </c>
      <c r="D6089" t="s">
        <v>7188</v>
      </c>
      <c r="E6089" t="str">
        <f>"3939900147649"</f>
        <v>0</v>
      </c>
      <c r="F6089" t="str">
        <f>"001130"</f>
        <v>0</v>
      </c>
      <c r="G6089" t="s">
        <v>21</v>
      </c>
    </row>
    <row r="6090" spans="1:7">
      <c r="A6090">
        <v>6089</v>
      </c>
      <c r="B6090" t="str">
        <f>"001697"</f>
        <v>0</v>
      </c>
      <c r="C6090" t="s">
        <v>4577</v>
      </c>
      <c r="D6090" t="s">
        <v>8499</v>
      </c>
      <c r="E6090" t="str">
        <f>"3939900144216"</f>
        <v>0</v>
      </c>
      <c r="F6090" t="str">
        <f>"001130"</f>
        <v>0</v>
      </c>
      <c r="G6090" t="s">
        <v>21</v>
      </c>
    </row>
    <row r="6091" spans="1:7">
      <c r="A6091">
        <v>6090</v>
      </c>
      <c r="B6091" t="str">
        <f>"001796"</f>
        <v>0</v>
      </c>
      <c r="C6091" t="s">
        <v>9785</v>
      </c>
      <c r="D6091" t="s">
        <v>9786</v>
      </c>
      <c r="E6091" t="str">
        <f>"3939900201597"</f>
        <v>0</v>
      </c>
      <c r="F6091" t="str">
        <f>"001130"</f>
        <v>0</v>
      </c>
      <c r="G6091" t="s">
        <v>21</v>
      </c>
    </row>
    <row r="6092" spans="1:7">
      <c r="A6092">
        <v>6091</v>
      </c>
      <c r="B6092" t="str">
        <f>"002347"</f>
        <v>0</v>
      </c>
      <c r="C6092" t="s">
        <v>9787</v>
      </c>
      <c r="D6092" t="s">
        <v>9788</v>
      </c>
      <c r="E6092" t="str">
        <f>"5930100001940"</f>
        <v>0</v>
      </c>
      <c r="F6092" t="str">
        <f>"001130"</f>
        <v>0</v>
      </c>
      <c r="G6092" t="s">
        <v>21</v>
      </c>
    </row>
    <row r="6093" spans="1:7">
      <c r="A6093">
        <v>6092</v>
      </c>
      <c r="B6093" t="str">
        <f>"002389"</f>
        <v>0</v>
      </c>
      <c r="C6093" t="s">
        <v>7719</v>
      </c>
      <c r="D6093" t="s">
        <v>9789</v>
      </c>
      <c r="E6093" t="str">
        <f>"5939900001594"</f>
        <v>0</v>
      </c>
      <c r="F6093" t="str">
        <f>"001130"</f>
        <v>0</v>
      </c>
      <c r="G6093" t="s">
        <v>21</v>
      </c>
    </row>
    <row r="6094" spans="1:7">
      <c r="A6094">
        <v>6093</v>
      </c>
      <c r="B6094" t="str">
        <f>"003047"</f>
        <v>0</v>
      </c>
      <c r="C6094" t="s">
        <v>9790</v>
      </c>
      <c r="D6094" t="s">
        <v>9791</v>
      </c>
      <c r="E6094" t="str">
        <f>"3930500591250"</f>
        <v>0</v>
      </c>
      <c r="F6094" t="str">
        <f>"001130"</f>
        <v>0</v>
      </c>
      <c r="G6094" t="s">
        <v>21</v>
      </c>
    </row>
    <row r="6095" spans="1:7">
      <c r="A6095">
        <v>6094</v>
      </c>
      <c r="B6095" t="str">
        <f>"003176"</f>
        <v>0</v>
      </c>
      <c r="C6095" t="s">
        <v>9111</v>
      </c>
      <c r="D6095" t="s">
        <v>9792</v>
      </c>
      <c r="E6095" t="str">
        <f>"3930500933673"</f>
        <v>0</v>
      </c>
      <c r="F6095" t="str">
        <f>"001130"</f>
        <v>0</v>
      </c>
      <c r="G6095" t="s">
        <v>21</v>
      </c>
    </row>
    <row r="6096" spans="1:7">
      <c r="A6096">
        <v>6095</v>
      </c>
      <c r="B6096" t="str">
        <f>"003742"</f>
        <v>0</v>
      </c>
      <c r="C6096" t="s">
        <v>3212</v>
      </c>
      <c r="D6096" t="s">
        <v>9793</v>
      </c>
      <c r="E6096" t="str">
        <f>"3920600579448"</f>
        <v>0</v>
      </c>
      <c r="F6096" t="str">
        <f>"001130"</f>
        <v>0</v>
      </c>
      <c r="G6096" t="s">
        <v>21</v>
      </c>
    </row>
    <row r="6097" spans="1:7">
      <c r="A6097">
        <v>6096</v>
      </c>
      <c r="B6097" t="str">
        <f>"004786"</f>
        <v>0</v>
      </c>
      <c r="C6097" t="s">
        <v>590</v>
      </c>
      <c r="D6097" t="s">
        <v>9792</v>
      </c>
      <c r="E6097" t="str">
        <f>"3930500933681"</f>
        <v>0</v>
      </c>
      <c r="F6097" t="str">
        <f>"001130"</f>
        <v>0</v>
      </c>
      <c r="G6097" t="s">
        <v>21</v>
      </c>
    </row>
    <row r="6098" spans="1:7">
      <c r="A6098">
        <v>6097</v>
      </c>
      <c r="B6098" t="str">
        <f>"005119"</f>
        <v>0</v>
      </c>
      <c r="C6098" t="s">
        <v>4622</v>
      </c>
      <c r="D6098" t="s">
        <v>9794</v>
      </c>
      <c r="E6098" t="str">
        <f>"3930100564824"</f>
        <v>0</v>
      </c>
      <c r="F6098" t="str">
        <f>"001130"</f>
        <v>0</v>
      </c>
      <c r="G6098" t="s">
        <v>21</v>
      </c>
    </row>
    <row r="6099" spans="1:7">
      <c r="A6099">
        <v>6098</v>
      </c>
      <c r="B6099" t="str">
        <f>"005121"</f>
        <v>0</v>
      </c>
      <c r="C6099" t="s">
        <v>3411</v>
      </c>
      <c r="D6099" t="s">
        <v>9795</v>
      </c>
      <c r="E6099" t="str">
        <f>"5939990002935"</f>
        <v>0</v>
      </c>
      <c r="F6099" t="str">
        <f>"001130"</f>
        <v>0</v>
      </c>
      <c r="G6099" t="s">
        <v>21</v>
      </c>
    </row>
    <row r="6100" spans="1:7">
      <c r="A6100">
        <v>6099</v>
      </c>
      <c r="B6100" t="str">
        <f>"005515"</f>
        <v>0</v>
      </c>
      <c r="C6100" t="s">
        <v>9796</v>
      </c>
      <c r="D6100" t="s">
        <v>9797</v>
      </c>
      <c r="E6100" t="str">
        <f>"3909900765555"</f>
        <v>0</v>
      </c>
      <c r="F6100" t="str">
        <f>"001130"</f>
        <v>0</v>
      </c>
      <c r="G6100" t="s">
        <v>21</v>
      </c>
    </row>
    <row r="6101" spans="1:7">
      <c r="A6101">
        <v>6100</v>
      </c>
      <c r="B6101" t="str">
        <f>"005845"</f>
        <v>0</v>
      </c>
      <c r="C6101" t="s">
        <v>590</v>
      </c>
      <c r="D6101" t="s">
        <v>9798</v>
      </c>
      <c r="E6101" t="str">
        <f>"3930600378752"</f>
        <v>0</v>
      </c>
      <c r="F6101" t="str">
        <f>"001130"</f>
        <v>0</v>
      </c>
      <c r="G6101" t="s">
        <v>21</v>
      </c>
    </row>
    <row r="6102" spans="1:7">
      <c r="A6102">
        <v>6101</v>
      </c>
      <c r="B6102" t="str">
        <f>"005863"</f>
        <v>0</v>
      </c>
      <c r="C6102" t="s">
        <v>9799</v>
      </c>
      <c r="D6102" t="s">
        <v>9800</v>
      </c>
      <c r="E6102" t="str">
        <f>"3930300047513"</f>
        <v>0</v>
      </c>
      <c r="F6102" t="str">
        <f>"001130"</f>
        <v>0</v>
      </c>
      <c r="G6102" t="s">
        <v>21</v>
      </c>
    </row>
    <row r="6103" spans="1:7">
      <c r="A6103">
        <v>6102</v>
      </c>
      <c r="B6103" t="str">
        <f>"005901"</f>
        <v>0</v>
      </c>
      <c r="C6103" t="s">
        <v>9801</v>
      </c>
      <c r="D6103" t="s">
        <v>7212</v>
      </c>
      <c r="E6103" t="str">
        <f>"3900300323367"</f>
        <v>0</v>
      </c>
      <c r="F6103" t="str">
        <f>"001130"</f>
        <v>0</v>
      </c>
      <c r="G6103" t="s">
        <v>21</v>
      </c>
    </row>
    <row r="6104" spans="1:7">
      <c r="A6104">
        <v>6103</v>
      </c>
      <c r="B6104" t="str">
        <f>"006388"</f>
        <v>0</v>
      </c>
      <c r="C6104" t="s">
        <v>9802</v>
      </c>
      <c r="D6104" t="s">
        <v>9803</v>
      </c>
      <c r="E6104" t="str">
        <f>"3930300238670"</f>
        <v>0</v>
      </c>
      <c r="F6104" t="str">
        <f>"001130"</f>
        <v>0</v>
      </c>
      <c r="G6104" t="s">
        <v>21</v>
      </c>
    </row>
    <row r="6105" spans="1:7">
      <c r="A6105">
        <v>6104</v>
      </c>
      <c r="B6105" t="str">
        <f>"006612"</f>
        <v>0</v>
      </c>
      <c r="C6105" t="s">
        <v>9804</v>
      </c>
      <c r="D6105" t="s">
        <v>9805</v>
      </c>
      <c r="E6105" t="str">
        <f>"3930100366313"</f>
        <v>0</v>
      </c>
      <c r="F6105" t="str">
        <f>"001130"</f>
        <v>0</v>
      </c>
      <c r="G6105" t="s">
        <v>21</v>
      </c>
    </row>
    <row r="6106" spans="1:7">
      <c r="A6106">
        <v>6105</v>
      </c>
      <c r="B6106" t="str">
        <f>"006845"</f>
        <v>0</v>
      </c>
      <c r="C6106" t="s">
        <v>2349</v>
      </c>
      <c r="D6106" t="s">
        <v>9806</v>
      </c>
      <c r="E6106" t="str">
        <f>"3930800120538"</f>
        <v>0</v>
      </c>
      <c r="F6106" t="str">
        <f>"001130"</f>
        <v>0</v>
      </c>
      <c r="G6106" t="s">
        <v>21</v>
      </c>
    </row>
    <row r="6107" spans="1:7">
      <c r="A6107">
        <v>6106</v>
      </c>
      <c r="B6107" t="str">
        <f>"007057"</f>
        <v>0</v>
      </c>
      <c r="C6107" t="s">
        <v>9807</v>
      </c>
      <c r="D6107" t="s">
        <v>9808</v>
      </c>
      <c r="E6107" t="str">
        <f>"3930800271692"</f>
        <v>0</v>
      </c>
      <c r="F6107" t="str">
        <f>"001130"</f>
        <v>0</v>
      </c>
      <c r="G6107" t="s">
        <v>21</v>
      </c>
    </row>
    <row r="6108" spans="1:7">
      <c r="A6108">
        <v>6107</v>
      </c>
      <c r="B6108" t="str">
        <f>"007163"</f>
        <v>0</v>
      </c>
      <c r="C6108" t="s">
        <v>9809</v>
      </c>
      <c r="D6108" t="s">
        <v>9810</v>
      </c>
      <c r="E6108" t="str">
        <f>"3960500287976"</f>
        <v>0</v>
      </c>
      <c r="F6108" t="str">
        <f>"001130"</f>
        <v>0</v>
      </c>
      <c r="G6108" t="s">
        <v>21</v>
      </c>
    </row>
    <row r="6109" spans="1:7">
      <c r="A6109">
        <v>6108</v>
      </c>
      <c r="B6109" t="str">
        <f>"007171"</f>
        <v>0</v>
      </c>
      <c r="C6109" t="s">
        <v>9811</v>
      </c>
      <c r="D6109" t="s">
        <v>9812</v>
      </c>
      <c r="E6109" t="str">
        <f>"3930600019370"</f>
        <v>0</v>
      </c>
      <c r="F6109" t="str">
        <f>"001130"</f>
        <v>0</v>
      </c>
      <c r="G6109" t="s">
        <v>21</v>
      </c>
    </row>
    <row r="6110" spans="1:7">
      <c r="A6110">
        <v>6109</v>
      </c>
      <c r="B6110" t="str">
        <f>"007298"</f>
        <v>0</v>
      </c>
      <c r="C6110" t="s">
        <v>7281</v>
      </c>
      <c r="D6110" t="s">
        <v>9813</v>
      </c>
      <c r="E6110" t="str">
        <f>"3930300238653"</f>
        <v>0</v>
      </c>
      <c r="F6110" t="str">
        <f>"001130"</f>
        <v>0</v>
      </c>
      <c r="G6110" t="s">
        <v>21</v>
      </c>
    </row>
    <row r="6111" spans="1:7">
      <c r="A6111">
        <v>6110</v>
      </c>
      <c r="B6111" t="str">
        <f>"007935"</f>
        <v>0</v>
      </c>
      <c r="C6111" t="s">
        <v>767</v>
      </c>
      <c r="D6111" t="s">
        <v>9814</v>
      </c>
      <c r="E6111" t="str">
        <f>"3929900256898"</f>
        <v>0</v>
      </c>
      <c r="F6111" t="str">
        <f>"001130"</f>
        <v>0</v>
      </c>
      <c r="G6111" t="s">
        <v>21</v>
      </c>
    </row>
    <row r="6112" spans="1:7">
      <c r="A6112">
        <v>6111</v>
      </c>
      <c r="B6112" t="str">
        <f>"007988"</f>
        <v>0</v>
      </c>
      <c r="C6112" t="s">
        <v>4317</v>
      </c>
      <c r="D6112" t="s">
        <v>9815</v>
      </c>
      <c r="E6112" t="str">
        <f>"3930300378323"</f>
        <v>0</v>
      </c>
      <c r="F6112" t="str">
        <f>"001130"</f>
        <v>0</v>
      </c>
      <c r="G6112" t="s">
        <v>21</v>
      </c>
    </row>
    <row r="6113" spans="1:7">
      <c r="A6113">
        <v>6112</v>
      </c>
      <c r="B6113" t="str">
        <f>"008530"</f>
        <v>0</v>
      </c>
      <c r="C6113" t="s">
        <v>9816</v>
      </c>
      <c r="D6113" t="s">
        <v>3526</v>
      </c>
      <c r="E6113" t="str">
        <f>"3920300476651"</f>
        <v>0</v>
      </c>
      <c r="F6113" t="str">
        <f>"001130"</f>
        <v>0</v>
      </c>
      <c r="G6113" t="s">
        <v>21</v>
      </c>
    </row>
    <row r="6114" spans="1:7">
      <c r="A6114">
        <v>6113</v>
      </c>
      <c r="B6114" t="str">
        <f>"008818"</f>
        <v>0</v>
      </c>
      <c r="C6114" t="s">
        <v>9817</v>
      </c>
      <c r="D6114" t="s">
        <v>9818</v>
      </c>
      <c r="E6114" t="str">
        <f>"4930100002298"</f>
        <v>0</v>
      </c>
      <c r="F6114" t="str">
        <f>"001130"</f>
        <v>0</v>
      </c>
      <c r="G6114" t="s">
        <v>21</v>
      </c>
    </row>
    <row r="6115" spans="1:7">
      <c r="A6115">
        <v>6114</v>
      </c>
      <c r="B6115" t="str">
        <f>"008821"</f>
        <v>0</v>
      </c>
      <c r="C6115" t="s">
        <v>9819</v>
      </c>
      <c r="D6115" t="s">
        <v>9820</v>
      </c>
      <c r="E6115" t="str">
        <f>"4930100002247"</f>
        <v>0</v>
      </c>
      <c r="F6115" t="str">
        <f>"001130"</f>
        <v>0</v>
      </c>
      <c r="G6115" t="s">
        <v>21</v>
      </c>
    </row>
    <row r="6116" spans="1:7">
      <c r="A6116">
        <v>6115</v>
      </c>
      <c r="B6116" t="str">
        <f>"009113"</f>
        <v>0</v>
      </c>
      <c r="C6116" t="s">
        <v>6006</v>
      </c>
      <c r="D6116" t="s">
        <v>6090</v>
      </c>
      <c r="E6116" t="str">
        <f>"3959900103781"</f>
        <v>0</v>
      </c>
      <c r="F6116" t="str">
        <f>"001130"</f>
        <v>0</v>
      </c>
      <c r="G6116" t="s">
        <v>21</v>
      </c>
    </row>
    <row r="6117" spans="1:7">
      <c r="A6117">
        <v>6116</v>
      </c>
      <c r="B6117" t="str">
        <f>"009586"</f>
        <v>0</v>
      </c>
      <c r="C6117" t="s">
        <v>9821</v>
      </c>
      <c r="D6117" t="s">
        <v>6730</v>
      </c>
      <c r="E6117" t="str">
        <f>"3810400257341"</f>
        <v>0</v>
      </c>
      <c r="F6117" t="str">
        <f>"001130"</f>
        <v>0</v>
      </c>
      <c r="G6117" t="s">
        <v>21</v>
      </c>
    </row>
    <row r="6118" spans="1:7">
      <c r="A6118">
        <v>6117</v>
      </c>
      <c r="B6118" t="str">
        <f>"010065"</f>
        <v>0</v>
      </c>
      <c r="C6118" t="s">
        <v>1926</v>
      </c>
      <c r="D6118" t="s">
        <v>9822</v>
      </c>
      <c r="E6118" t="str">
        <f>"3940600053098"</f>
        <v>0</v>
      </c>
      <c r="F6118" t="str">
        <f>"001130"</f>
        <v>0</v>
      </c>
      <c r="G6118" t="s">
        <v>21</v>
      </c>
    </row>
    <row r="6119" spans="1:7">
      <c r="A6119">
        <v>6118</v>
      </c>
      <c r="B6119" t="str">
        <f>"010174"</f>
        <v>0</v>
      </c>
      <c r="C6119" t="s">
        <v>9823</v>
      </c>
      <c r="D6119" t="s">
        <v>9824</v>
      </c>
      <c r="E6119" t="str">
        <f>"3819900118020"</f>
        <v>0</v>
      </c>
      <c r="F6119" t="str">
        <f>"001130"</f>
        <v>0</v>
      </c>
      <c r="G6119" t="s">
        <v>21</v>
      </c>
    </row>
    <row r="6120" spans="1:7">
      <c r="A6120">
        <v>6119</v>
      </c>
      <c r="B6120" t="str">
        <f>"010275"</f>
        <v>0</v>
      </c>
      <c r="C6120" t="s">
        <v>352</v>
      </c>
      <c r="D6120" t="s">
        <v>9825</v>
      </c>
      <c r="E6120" t="str">
        <f>"3960400047132"</f>
        <v>0</v>
      </c>
      <c r="F6120" t="str">
        <f>"001130"</f>
        <v>0</v>
      </c>
      <c r="G6120" t="s">
        <v>21</v>
      </c>
    </row>
    <row r="6121" spans="1:7">
      <c r="A6121">
        <v>6120</v>
      </c>
      <c r="B6121" t="str">
        <f>"010302"</f>
        <v>0</v>
      </c>
      <c r="C6121" t="s">
        <v>2791</v>
      </c>
      <c r="D6121" t="s">
        <v>9824</v>
      </c>
      <c r="E6121" t="str">
        <f>"3480300403667"</f>
        <v>0</v>
      </c>
      <c r="F6121" t="str">
        <f>"001130"</f>
        <v>0</v>
      </c>
      <c r="G6121" t="s">
        <v>21</v>
      </c>
    </row>
    <row r="6122" spans="1:7">
      <c r="A6122">
        <v>6121</v>
      </c>
      <c r="B6122" t="str">
        <f>"010632"</f>
        <v>0</v>
      </c>
      <c r="C6122" t="s">
        <v>4824</v>
      </c>
      <c r="D6122" t="s">
        <v>9826</v>
      </c>
      <c r="E6122" t="str">
        <f>"3801200093001"</f>
        <v>0</v>
      </c>
      <c r="F6122" t="str">
        <f>"001130"</f>
        <v>0</v>
      </c>
      <c r="G6122" t="s">
        <v>21</v>
      </c>
    </row>
    <row r="6123" spans="1:7">
      <c r="A6123">
        <v>6122</v>
      </c>
      <c r="B6123" t="str">
        <f>"010656"</f>
        <v>0</v>
      </c>
      <c r="C6123" t="s">
        <v>9827</v>
      </c>
      <c r="D6123" t="s">
        <v>9828</v>
      </c>
      <c r="E6123" t="str">
        <f>"3939900150461"</f>
        <v>0</v>
      </c>
      <c r="F6123" t="str">
        <f>"001130"</f>
        <v>0</v>
      </c>
      <c r="G6123" t="s">
        <v>21</v>
      </c>
    </row>
    <row r="6124" spans="1:7">
      <c r="A6124">
        <v>6123</v>
      </c>
      <c r="B6124" t="str">
        <f>"011498"</f>
        <v>0</v>
      </c>
      <c r="C6124" t="s">
        <v>5390</v>
      </c>
      <c r="D6124" t="s">
        <v>9829</v>
      </c>
      <c r="E6124" t="str">
        <f>"3930100176255"</f>
        <v>0</v>
      </c>
      <c r="F6124" t="str">
        <f>"001130"</f>
        <v>0</v>
      </c>
      <c r="G6124" t="s">
        <v>21</v>
      </c>
    </row>
    <row r="6125" spans="1:7">
      <c r="A6125">
        <v>6124</v>
      </c>
      <c r="B6125" t="str">
        <f>"011538"</f>
        <v>0</v>
      </c>
      <c r="C6125" t="s">
        <v>719</v>
      </c>
      <c r="D6125" t="s">
        <v>9830</v>
      </c>
      <c r="E6125" t="str">
        <f>"3930700070172"</f>
        <v>0</v>
      </c>
      <c r="F6125" t="str">
        <f>"001130"</f>
        <v>0</v>
      </c>
      <c r="G6125" t="s">
        <v>21</v>
      </c>
    </row>
    <row r="6126" spans="1:7">
      <c r="A6126">
        <v>6125</v>
      </c>
      <c r="B6126" t="str">
        <f>"012203"</f>
        <v>0</v>
      </c>
      <c r="C6126" t="s">
        <v>5717</v>
      </c>
      <c r="D6126" t="s">
        <v>9831</v>
      </c>
      <c r="E6126" t="str">
        <f>"3909900026973"</f>
        <v>0</v>
      </c>
      <c r="F6126" t="str">
        <f>"001130"</f>
        <v>0</v>
      </c>
      <c r="G6126" t="s">
        <v>21</v>
      </c>
    </row>
    <row r="6127" spans="1:7">
      <c r="A6127">
        <v>6126</v>
      </c>
      <c r="B6127" t="str">
        <f>"012206"</f>
        <v>0</v>
      </c>
      <c r="C6127" t="s">
        <v>9832</v>
      </c>
      <c r="D6127" t="s">
        <v>9833</v>
      </c>
      <c r="E6127" t="str">
        <f>"3930500900422"</f>
        <v>0</v>
      </c>
      <c r="F6127" t="str">
        <f>"001130"</f>
        <v>0</v>
      </c>
      <c r="G6127" t="s">
        <v>21</v>
      </c>
    </row>
    <row r="6128" spans="1:7">
      <c r="A6128">
        <v>6127</v>
      </c>
      <c r="B6128" t="str">
        <f>"012790"</f>
        <v>0</v>
      </c>
      <c r="C6128" t="s">
        <v>9834</v>
      </c>
      <c r="D6128" t="s">
        <v>9835</v>
      </c>
      <c r="E6128" t="str">
        <f>"3930501035539"</f>
        <v>0</v>
      </c>
      <c r="F6128" t="str">
        <f>"001130"</f>
        <v>0</v>
      </c>
      <c r="G6128" t="s">
        <v>21</v>
      </c>
    </row>
    <row r="6129" spans="1:7">
      <c r="A6129">
        <v>6128</v>
      </c>
      <c r="B6129" t="str">
        <f>"012845"</f>
        <v>0</v>
      </c>
      <c r="C6129" t="s">
        <v>273</v>
      </c>
      <c r="D6129" t="s">
        <v>9836</v>
      </c>
      <c r="E6129" t="str">
        <f>"3480600129447"</f>
        <v>0</v>
      </c>
      <c r="F6129" t="str">
        <f>"001130"</f>
        <v>0</v>
      </c>
      <c r="G6129" t="s">
        <v>21</v>
      </c>
    </row>
    <row r="6130" spans="1:7">
      <c r="A6130">
        <v>6129</v>
      </c>
      <c r="B6130" t="str">
        <f>"012958"</f>
        <v>0</v>
      </c>
      <c r="C6130" t="s">
        <v>9837</v>
      </c>
      <c r="D6130" t="s">
        <v>9838</v>
      </c>
      <c r="E6130" t="str">
        <f>"3809900590608"</f>
        <v>0</v>
      </c>
      <c r="F6130" t="str">
        <f>"001130"</f>
        <v>0</v>
      </c>
      <c r="G6130" t="s">
        <v>21</v>
      </c>
    </row>
    <row r="6131" spans="1:7">
      <c r="A6131">
        <v>6130</v>
      </c>
      <c r="B6131" t="str">
        <f>"013159"</f>
        <v>0</v>
      </c>
      <c r="C6131" t="s">
        <v>9839</v>
      </c>
      <c r="D6131" t="s">
        <v>9840</v>
      </c>
      <c r="E6131" t="str">
        <f>"3930400071866"</f>
        <v>0</v>
      </c>
      <c r="F6131" t="str">
        <f>"001130"</f>
        <v>0</v>
      </c>
      <c r="G6131" t="s">
        <v>21</v>
      </c>
    </row>
    <row r="6132" spans="1:7">
      <c r="A6132">
        <v>6131</v>
      </c>
      <c r="B6132" t="str">
        <f>"013323"</f>
        <v>0</v>
      </c>
      <c r="C6132" t="s">
        <v>2232</v>
      </c>
      <c r="D6132" t="s">
        <v>9841</v>
      </c>
      <c r="E6132" t="str">
        <f>"3930800071073"</f>
        <v>0</v>
      </c>
      <c r="F6132" t="str">
        <f>"001130"</f>
        <v>0</v>
      </c>
      <c r="G6132" t="s">
        <v>21</v>
      </c>
    </row>
    <row r="6133" spans="1:7">
      <c r="A6133">
        <v>6132</v>
      </c>
      <c r="B6133" t="str">
        <f>"013463"</f>
        <v>0</v>
      </c>
      <c r="C6133" t="s">
        <v>379</v>
      </c>
      <c r="D6133" t="s">
        <v>8311</v>
      </c>
      <c r="E6133" t="str">
        <f>"3930300609848"</f>
        <v>0</v>
      </c>
      <c r="F6133" t="str">
        <f>"001130"</f>
        <v>0</v>
      </c>
      <c r="G6133" t="s">
        <v>21</v>
      </c>
    </row>
    <row r="6134" spans="1:7">
      <c r="A6134">
        <v>6133</v>
      </c>
      <c r="B6134" t="str">
        <f>"013714"</f>
        <v>0</v>
      </c>
      <c r="C6134" t="s">
        <v>837</v>
      </c>
      <c r="D6134" t="s">
        <v>9842</v>
      </c>
      <c r="E6134" t="str">
        <f>"3800800504825"</f>
        <v>0</v>
      </c>
      <c r="F6134" t="str">
        <f>"001130"</f>
        <v>0</v>
      </c>
      <c r="G6134" t="s">
        <v>21</v>
      </c>
    </row>
    <row r="6135" spans="1:7">
      <c r="A6135">
        <v>6134</v>
      </c>
      <c r="B6135" t="str">
        <f>"014449"</f>
        <v>0</v>
      </c>
      <c r="C6135" t="s">
        <v>162</v>
      </c>
      <c r="D6135" t="s">
        <v>9843</v>
      </c>
      <c r="E6135" t="str">
        <f>"3949800047456"</f>
        <v>0</v>
      </c>
      <c r="F6135" t="str">
        <f>"001130"</f>
        <v>0</v>
      </c>
      <c r="G6135" t="s">
        <v>21</v>
      </c>
    </row>
    <row r="6136" spans="1:7">
      <c r="A6136">
        <v>6135</v>
      </c>
      <c r="B6136" t="str">
        <f>"019202"</f>
        <v>0</v>
      </c>
      <c r="C6136" t="s">
        <v>126</v>
      </c>
      <c r="D6136" t="s">
        <v>9844</v>
      </c>
      <c r="E6136" t="str">
        <f>"3930100155428"</f>
        <v>0</v>
      </c>
      <c r="F6136" t="str">
        <f>"001130"</f>
        <v>0</v>
      </c>
      <c r="G6136" t="s">
        <v>21</v>
      </c>
    </row>
    <row r="6137" spans="1:7">
      <c r="A6137">
        <v>6136</v>
      </c>
      <c r="B6137" t="str">
        <f>"008740"</f>
        <v>0</v>
      </c>
      <c r="C6137" t="s">
        <v>587</v>
      </c>
      <c r="D6137" t="s">
        <v>9845</v>
      </c>
      <c r="E6137" t="str">
        <f>"3939900252701"</f>
        <v>0</v>
      </c>
      <c r="F6137" t="str">
        <f>"001130"</f>
        <v>0</v>
      </c>
      <c r="G6137" t="s">
        <v>21</v>
      </c>
    </row>
    <row r="6138" spans="1:7">
      <c r="A6138">
        <v>6137</v>
      </c>
      <c r="B6138" t="str">
        <f>"014175"</f>
        <v>0</v>
      </c>
      <c r="C6138" t="s">
        <v>4967</v>
      </c>
      <c r="D6138" t="s">
        <v>9846</v>
      </c>
      <c r="E6138" t="str">
        <f>"3930100857341"</f>
        <v>0</v>
      </c>
      <c r="F6138" t="str">
        <f>"001130"</f>
        <v>0</v>
      </c>
      <c r="G6138" t="s">
        <v>21</v>
      </c>
    </row>
    <row r="6139" spans="1:7">
      <c r="A6139">
        <v>6138</v>
      </c>
      <c r="B6139" t="str">
        <f>"015505"</f>
        <v>0</v>
      </c>
      <c r="C6139" t="s">
        <v>9847</v>
      </c>
      <c r="D6139" t="s">
        <v>317</v>
      </c>
      <c r="E6139" t="str">
        <f>"3930200007731"</f>
        <v>0</v>
      </c>
      <c r="F6139" t="str">
        <f>"001130"</f>
        <v>0</v>
      </c>
      <c r="G6139" t="s">
        <v>21</v>
      </c>
    </row>
    <row r="6140" spans="1:7">
      <c r="A6140">
        <v>6139</v>
      </c>
      <c r="B6140" t="str">
        <f>"018083"</f>
        <v>0</v>
      </c>
      <c r="C6140" t="s">
        <v>2345</v>
      </c>
      <c r="D6140" t="s">
        <v>9848</v>
      </c>
      <c r="E6140" t="str">
        <f>"3930100955467"</f>
        <v>0</v>
      </c>
      <c r="F6140" t="str">
        <f>"001130"</f>
        <v>0</v>
      </c>
      <c r="G6140" t="s">
        <v>21</v>
      </c>
    </row>
    <row r="6141" spans="1:7">
      <c r="A6141">
        <v>6140</v>
      </c>
      <c r="B6141" t="str">
        <f>"025752"</f>
        <v>0</v>
      </c>
      <c r="C6141" t="s">
        <v>5845</v>
      </c>
      <c r="D6141" t="s">
        <v>9849</v>
      </c>
      <c r="E6141" t="str">
        <f>"1939900244087"</f>
        <v>0</v>
      </c>
      <c r="F6141" t="str">
        <f>"001130"</f>
        <v>0</v>
      </c>
      <c r="G6141" t="s">
        <v>21</v>
      </c>
    </row>
    <row r="6142" spans="1:7">
      <c r="A6142">
        <v>6141</v>
      </c>
      <c r="B6142" t="str">
        <f>"012104"</f>
        <v>0</v>
      </c>
      <c r="C6142" t="s">
        <v>9850</v>
      </c>
      <c r="D6142" t="s">
        <v>9851</v>
      </c>
      <c r="E6142" t="str">
        <f>"3102100055350"</f>
        <v>0</v>
      </c>
      <c r="F6142" t="str">
        <f>"001130"</f>
        <v>0</v>
      </c>
      <c r="G6142" t="s">
        <v>21</v>
      </c>
    </row>
    <row r="6143" spans="1:7">
      <c r="A6143">
        <v>6142</v>
      </c>
      <c r="B6143" t="str">
        <f>"001870"</f>
        <v>0</v>
      </c>
      <c r="C6143" t="s">
        <v>197</v>
      </c>
      <c r="D6143" t="s">
        <v>9852</v>
      </c>
      <c r="E6143" t="str">
        <f>"3929900041093"</f>
        <v>0</v>
      </c>
      <c r="F6143" t="str">
        <f>"001130"</f>
        <v>0</v>
      </c>
      <c r="G6143" t="s">
        <v>21</v>
      </c>
    </row>
    <row r="6144" spans="1:7">
      <c r="A6144">
        <v>6143</v>
      </c>
      <c r="B6144" t="str">
        <f>"011482"</f>
        <v>0</v>
      </c>
      <c r="C6144" t="s">
        <v>341</v>
      </c>
      <c r="D6144" t="s">
        <v>9853</v>
      </c>
      <c r="E6144" t="str">
        <f>"3900700576521"</f>
        <v>0</v>
      </c>
      <c r="F6144" t="str">
        <f>"001130"</f>
        <v>0</v>
      </c>
      <c r="G6144" t="s">
        <v>21</v>
      </c>
    </row>
    <row r="6145" spans="1:7">
      <c r="A6145">
        <v>6144</v>
      </c>
      <c r="B6145" t="str">
        <f>"026510"</f>
        <v>0</v>
      </c>
      <c r="C6145" t="s">
        <v>9854</v>
      </c>
      <c r="D6145" t="s">
        <v>9855</v>
      </c>
      <c r="E6145" t="str">
        <f>"3760500040212"</f>
        <v>0</v>
      </c>
      <c r="F6145" t="str">
        <f>"001130"</f>
        <v>0</v>
      </c>
      <c r="G6145" t="s">
        <v>21</v>
      </c>
    </row>
    <row r="6146" spans="1:7">
      <c r="A6146">
        <v>6145</v>
      </c>
      <c r="B6146" t="str">
        <f>"026741"</f>
        <v>0</v>
      </c>
      <c r="C6146" t="s">
        <v>9856</v>
      </c>
      <c r="D6146" t="s">
        <v>9857</v>
      </c>
      <c r="E6146" t="str">
        <f>"1800700040367"</f>
        <v>0</v>
      </c>
      <c r="F6146" t="str">
        <f>"001130"</f>
        <v>0</v>
      </c>
      <c r="G6146" t="s">
        <v>21</v>
      </c>
    </row>
    <row r="6147" spans="1:7">
      <c r="A6147">
        <v>6146</v>
      </c>
      <c r="B6147" t="str">
        <f>"026742"</f>
        <v>0</v>
      </c>
      <c r="C6147" t="s">
        <v>8745</v>
      </c>
      <c r="D6147" t="s">
        <v>5472</v>
      </c>
      <c r="E6147" t="str">
        <f>"1809700113273"</f>
        <v>0</v>
      </c>
      <c r="F6147" t="str">
        <f>"001130"</f>
        <v>0</v>
      </c>
      <c r="G6147" t="s">
        <v>21</v>
      </c>
    </row>
    <row r="6148" spans="1:7">
      <c r="A6148">
        <v>6147</v>
      </c>
      <c r="B6148" t="str">
        <f>"021338"</f>
        <v>0</v>
      </c>
      <c r="C6148" t="s">
        <v>3736</v>
      </c>
      <c r="D6148" t="s">
        <v>9858</v>
      </c>
      <c r="E6148" t="str">
        <f>"3900100060354"</f>
        <v>0</v>
      </c>
      <c r="F6148" t="str">
        <f>"001130"</f>
        <v>0</v>
      </c>
      <c r="G6148" t="s">
        <v>21</v>
      </c>
    </row>
    <row r="6149" spans="1:7">
      <c r="A6149">
        <v>6148</v>
      </c>
      <c r="B6149" t="str">
        <f>"011712"</f>
        <v>0</v>
      </c>
      <c r="C6149" t="s">
        <v>2310</v>
      </c>
      <c r="D6149" t="s">
        <v>9853</v>
      </c>
      <c r="E6149" t="str">
        <f>"3210100111427"</f>
        <v>0</v>
      </c>
      <c r="F6149" t="str">
        <f>"001130"</f>
        <v>0</v>
      </c>
      <c r="G6149" t="s">
        <v>21</v>
      </c>
    </row>
    <row r="6150" spans="1:7">
      <c r="A6150">
        <v>6149</v>
      </c>
      <c r="B6150" t="str">
        <f>"013925"</f>
        <v>0</v>
      </c>
      <c r="C6150" t="s">
        <v>9859</v>
      </c>
      <c r="D6150" t="s">
        <v>9860</v>
      </c>
      <c r="E6150" t="str">
        <f>"3909800394717"</f>
        <v>0</v>
      </c>
      <c r="F6150" t="str">
        <f>"001130"</f>
        <v>0</v>
      </c>
      <c r="G6150" t="s">
        <v>21</v>
      </c>
    </row>
    <row r="6151" spans="1:7">
      <c r="A6151">
        <v>6150</v>
      </c>
      <c r="B6151" t="str">
        <f>"022577"</f>
        <v>0</v>
      </c>
      <c r="C6151" t="s">
        <v>5800</v>
      </c>
      <c r="D6151" t="s">
        <v>9861</v>
      </c>
      <c r="E6151" t="str">
        <f>"3900200468142"</f>
        <v>0</v>
      </c>
      <c r="F6151" t="str">
        <f>"001130"</f>
        <v>0</v>
      </c>
      <c r="G6151" t="s">
        <v>21</v>
      </c>
    </row>
    <row r="6152" spans="1:7">
      <c r="A6152">
        <v>6151</v>
      </c>
      <c r="B6152" t="str">
        <f>"023087"</f>
        <v>0</v>
      </c>
      <c r="C6152" t="s">
        <v>9862</v>
      </c>
      <c r="D6152" t="s">
        <v>9863</v>
      </c>
      <c r="E6152" t="str">
        <f>"3900900018085"</f>
        <v>0</v>
      </c>
      <c r="F6152" t="str">
        <f>"001130"</f>
        <v>0</v>
      </c>
      <c r="G6152" t="s">
        <v>21</v>
      </c>
    </row>
    <row r="6153" spans="1:7">
      <c r="A6153">
        <v>6152</v>
      </c>
      <c r="B6153" t="str">
        <f>"023918"</f>
        <v>0</v>
      </c>
      <c r="C6153" t="s">
        <v>767</v>
      </c>
      <c r="D6153" t="s">
        <v>6595</v>
      </c>
      <c r="E6153" t="str">
        <f>"3940500145357"</f>
        <v>0</v>
      </c>
      <c r="F6153" t="str">
        <f>"001130"</f>
        <v>0</v>
      </c>
      <c r="G6153" t="s">
        <v>21</v>
      </c>
    </row>
    <row r="6154" spans="1:7">
      <c r="A6154">
        <v>6153</v>
      </c>
      <c r="B6154" t="str">
        <f>"025928"</f>
        <v>0</v>
      </c>
      <c r="C6154" t="s">
        <v>7403</v>
      </c>
      <c r="D6154" t="s">
        <v>9864</v>
      </c>
      <c r="E6154" t="str">
        <f>"1909800516361"</f>
        <v>0</v>
      </c>
      <c r="F6154" t="str">
        <f>"001130"</f>
        <v>0</v>
      </c>
      <c r="G6154" t="s">
        <v>21</v>
      </c>
    </row>
    <row r="6155" spans="1:7">
      <c r="A6155">
        <v>6154</v>
      </c>
      <c r="B6155" t="str">
        <f>"026185"</f>
        <v>0</v>
      </c>
      <c r="C6155" t="s">
        <v>9865</v>
      </c>
      <c r="D6155" t="s">
        <v>9866</v>
      </c>
      <c r="E6155" t="str">
        <f>"1909800686231"</f>
        <v>0</v>
      </c>
      <c r="F6155" t="str">
        <f>"001130"</f>
        <v>0</v>
      </c>
      <c r="G6155" t="s">
        <v>21</v>
      </c>
    </row>
    <row r="6156" spans="1:7">
      <c r="A6156">
        <v>6155</v>
      </c>
      <c r="B6156" t="str">
        <f>"026743"</f>
        <v>0</v>
      </c>
      <c r="C6156" t="s">
        <v>9867</v>
      </c>
      <c r="D6156" t="s">
        <v>9868</v>
      </c>
      <c r="E6156" t="str">
        <f>"1900900087331"</f>
        <v>0</v>
      </c>
      <c r="F6156" t="str">
        <f>"001130"</f>
        <v>0</v>
      </c>
      <c r="G6156" t="s">
        <v>21</v>
      </c>
    </row>
    <row r="6157" spans="1:7">
      <c r="A6157">
        <v>6156</v>
      </c>
      <c r="B6157" t="str">
        <f>"026745"</f>
        <v>0</v>
      </c>
      <c r="C6157" t="s">
        <v>9869</v>
      </c>
      <c r="D6157" t="s">
        <v>9870</v>
      </c>
      <c r="E6157" t="str">
        <f>"1909800478264"</f>
        <v>0</v>
      </c>
      <c r="F6157" t="str">
        <f>"001130"</f>
        <v>0</v>
      </c>
      <c r="G6157" t="s">
        <v>21</v>
      </c>
    </row>
    <row r="6158" spans="1:7">
      <c r="A6158">
        <v>6157</v>
      </c>
      <c r="B6158" t="str">
        <f>"026900"</f>
        <v>0</v>
      </c>
      <c r="C6158" t="s">
        <v>9871</v>
      </c>
      <c r="D6158" t="s">
        <v>9872</v>
      </c>
      <c r="E6158" t="str">
        <f>"1900799000868"</f>
        <v>0</v>
      </c>
      <c r="F6158" t="str">
        <f>"001130"</f>
        <v>0</v>
      </c>
      <c r="G6158" t="s">
        <v>21</v>
      </c>
    </row>
    <row r="6159" spans="1:7">
      <c r="A6159">
        <v>6158</v>
      </c>
      <c r="B6159" t="str">
        <f>"027285"</f>
        <v>0</v>
      </c>
      <c r="C6159" t="s">
        <v>9873</v>
      </c>
      <c r="D6159" t="s">
        <v>5973</v>
      </c>
      <c r="E6159" t="str">
        <f>"3900900087796"</f>
        <v>0</v>
      </c>
      <c r="F6159" t="str">
        <f>"001130"</f>
        <v>0</v>
      </c>
      <c r="G6159" t="s">
        <v>21</v>
      </c>
    </row>
    <row r="6160" spans="1:7">
      <c r="A6160">
        <v>6159</v>
      </c>
      <c r="B6160" t="str">
        <f>"022827"</f>
        <v>0</v>
      </c>
      <c r="C6160" t="s">
        <v>9874</v>
      </c>
      <c r="D6160" t="s">
        <v>9875</v>
      </c>
      <c r="E6160" t="str">
        <f>"3910300045600"</f>
        <v>0</v>
      </c>
      <c r="F6160" t="str">
        <f>"001130"</f>
        <v>0</v>
      </c>
      <c r="G6160" t="s">
        <v>21</v>
      </c>
    </row>
    <row r="6161" spans="1:7">
      <c r="A6161">
        <v>6160</v>
      </c>
      <c r="B6161" t="str">
        <f>"026369"</f>
        <v>0</v>
      </c>
      <c r="C6161" t="s">
        <v>9876</v>
      </c>
      <c r="D6161" t="s">
        <v>9877</v>
      </c>
      <c r="E6161" t="str">
        <f>"1909800285351"</f>
        <v>0</v>
      </c>
      <c r="F6161" t="str">
        <f>"001130"</f>
        <v>0</v>
      </c>
      <c r="G6161" t="s">
        <v>21</v>
      </c>
    </row>
    <row r="6162" spans="1:7">
      <c r="A6162">
        <v>6161</v>
      </c>
      <c r="B6162" t="str">
        <f>"022302"</f>
        <v>0</v>
      </c>
      <c r="C6162" t="s">
        <v>9619</v>
      </c>
      <c r="D6162" t="s">
        <v>9878</v>
      </c>
      <c r="E6162" t="str">
        <f>"3920600408431"</f>
        <v>0</v>
      </c>
      <c r="F6162" t="str">
        <f>"001130"</f>
        <v>0</v>
      </c>
      <c r="G6162" t="s">
        <v>21</v>
      </c>
    </row>
    <row r="6163" spans="1:7">
      <c r="A6163">
        <v>6162</v>
      </c>
      <c r="B6163" t="str">
        <f>"010230"</f>
        <v>0</v>
      </c>
      <c r="C6163" t="s">
        <v>9879</v>
      </c>
      <c r="D6163" t="s">
        <v>9880</v>
      </c>
      <c r="E6163" t="str">
        <f>"3960600340259"</f>
        <v>0</v>
      </c>
      <c r="F6163" t="str">
        <f>"001130"</f>
        <v>0</v>
      </c>
      <c r="G6163" t="s">
        <v>21</v>
      </c>
    </row>
    <row r="6164" spans="1:7">
      <c r="A6164">
        <v>6163</v>
      </c>
      <c r="B6164" t="str">
        <f>"013569"</f>
        <v>0</v>
      </c>
      <c r="C6164" t="s">
        <v>352</v>
      </c>
      <c r="D6164" t="s">
        <v>9881</v>
      </c>
      <c r="E6164" t="str">
        <f>"3930100765781"</f>
        <v>0</v>
      </c>
      <c r="F6164" t="str">
        <f>"001130"</f>
        <v>0</v>
      </c>
      <c r="G6164" t="s">
        <v>21</v>
      </c>
    </row>
    <row r="6165" spans="1:7">
      <c r="A6165">
        <v>6164</v>
      </c>
      <c r="B6165" t="str">
        <f>"014351"</f>
        <v>0</v>
      </c>
      <c r="C6165" t="s">
        <v>9882</v>
      </c>
      <c r="D6165" t="s">
        <v>9883</v>
      </c>
      <c r="E6165" t="str">
        <f>"3930300073905"</f>
        <v>0</v>
      </c>
      <c r="F6165" t="str">
        <f>"001130"</f>
        <v>0</v>
      </c>
      <c r="G6165" t="s">
        <v>21</v>
      </c>
    </row>
    <row r="6166" spans="1:7">
      <c r="A6166">
        <v>6165</v>
      </c>
      <c r="B6166" t="str">
        <f>"014842"</f>
        <v>0</v>
      </c>
      <c r="C6166" t="s">
        <v>9884</v>
      </c>
      <c r="D6166" t="s">
        <v>9885</v>
      </c>
      <c r="E6166" t="str">
        <f>"3800700441112"</f>
        <v>0</v>
      </c>
      <c r="F6166" t="str">
        <f>"001130"</f>
        <v>0</v>
      </c>
      <c r="G6166" t="s">
        <v>21</v>
      </c>
    </row>
    <row r="6167" spans="1:7">
      <c r="A6167">
        <v>6166</v>
      </c>
      <c r="B6167" t="str">
        <f>"015576"</f>
        <v>0</v>
      </c>
      <c r="C6167" t="s">
        <v>417</v>
      </c>
      <c r="D6167" t="s">
        <v>9886</v>
      </c>
      <c r="E6167" t="str">
        <f>"3909900306631"</f>
        <v>0</v>
      </c>
      <c r="F6167" t="str">
        <f>"001130"</f>
        <v>0</v>
      </c>
      <c r="G6167" t="s">
        <v>21</v>
      </c>
    </row>
    <row r="6168" spans="1:7">
      <c r="A6168">
        <v>6167</v>
      </c>
      <c r="B6168" t="str">
        <f>"016532"</f>
        <v>0</v>
      </c>
      <c r="C6168" t="s">
        <v>767</v>
      </c>
      <c r="D6168" t="s">
        <v>9887</v>
      </c>
      <c r="E6168" t="str">
        <f>"3930501060584"</f>
        <v>0</v>
      </c>
      <c r="F6168" t="str">
        <f>"001130"</f>
        <v>0</v>
      </c>
      <c r="G6168" t="s">
        <v>21</v>
      </c>
    </row>
    <row r="6169" spans="1:7">
      <c r="A6169">
        <v>6168</v>
      </c>
      <c r="B6169" t="str">
        <f>"016627"</f>
        <v>0</v>
      </c>
      <c r="C6169" t="s">
        <v>365</v>
      </c>
      <c r="D6169" t="s">
        <v>9888</v>
      </c>
      <c r="E6169" t="str">
        <f>"3930100603595"</f>
        <v>0</v>
      </c>
      <c r="F6169" t="str">
        <f>"001130"</f>
        <v>0</v>
      </c>
      <c r="G6169" t="s">
        <v>21</v>
      </c>
    </row>
    <row r="6170" spans="1:7">
      <c r="A6170">
        <v>6169</v>
      </c>
      <c r="B6170" t="str">
        <f>"016866"</f>
        <v>0</v>
      </c>
      <c r="C6170" t="s">
        <v>9889</v>
      </c>
      <c r="D6170" t="s">
        <v>7222</v>
      </c>
      <c r="E6170" t="str">
        <f>"5810100025432"</f>
        <v>0</v>
      </c>
      <c r="F6170" t="str">
        <f>"001130"</f>
        <v>0</v>
      </c>
      <c r="G6170" t="s">
        <v>21</v>
      </c>
    </row>
    <row r="6171" spans="1:7">
      <c r="A6171">
        <v>6170</v>
      </c>
      <c r="B6171" t="str">
        <f>"017070"</f>
        <v>0</v>
      </c>
      <c r="C6171" t="s">
        <v>9890</v>
      </c>
      <c r="D6171" t="s">
        <v>9891</v>
      </c>
      <c r="E6171" t="str">
        <f>"3930500772238"</f>
        <v>0</v>
      </c>
      <c r="F6171" t="str">
        <f>"001130"</f>
        <v>0</v>
      </c>
      <c r="G6171" t="s">
        <v>21</v>
      </c>
    </row>
    <row r="6172" spans="1:7">
      <c r="A6172">
        <v>6171</v>
      </c>
      <c r="B6172" t="str">
        <f>"017177"</f>
        <v>0</v>
      </c>
      <c r="C6172" t="s">
        <v>9892</v>
      </c>
      <c r="D6172" t="s">
        <v>9893</v>
      </c>
      <c r="E6172" t="str">
        <f>"3900900360204"</f>
        <v>0</v>
      </c>
      <c r="F6172" t="str">
        <f>"001130"</f>
        <v>0</v>
      </c>
      <c r="G6172" t="s">
        <v>21</v>
      </c>
    </row>
    <row r="6173" spans="1:7">
      <c r="A6173">
        <v>6172</v>
      </c>
      <c r="B6173" t="str">
        <f>"017570"</f>
        <v>0</v>
      </c>
      <c r="C6173" t="s">
        <v>8384</v>
      </c>
      <c r="D6173" t="s">
        <v>9894</v>
      </c>
      <c r="E6173" t="str">
        <f>"3800900109499"</f>
        <v>0</v>
      </c>
      <c r="F6173" t="str">
        <f>"001130"</f>
        <v>0</v>
      </c>
      <c r="G6173" t="s">
        <v>21</v>
      </c>
    </row>
    <row r="6174" spans="1:7">
      <c r="A6174">
        <v>6173</v>
      </c>
      <c r="B6174" t="str">
        <f>"018069"</f>
        <v>0</v>
      </c>
      <c r="C6174" t="s">
        <v>237</v>
      </c>
      <c r="D6174" t="s">
        <v>9895</v>
      </c>
      <c r="E6174" t="str">
        <f>"3939900237664"</f>
        <v>0</v>
      </c>
      <c r="F6174" t="str">
        <f>"001130"</f>
        <v>0</v>
      </c>
      <c r="G6174" t="s">
        <v>21</v>
      </c>
    </row>
    <row r="6175" spans="1:7">
      <c r="A6175">
        <v>6174</v>
      </c>
      <c r="B6175" t="str">
        <f>"018344"</f>
        <v>0</v>
      </c>
      <c r="C6175" t="s">
        <v>9896</v>
      </c>
      <c r="D6175" t="s">
        <v>9893</v>
      </c>
      <c r="E6175" t="str">
        <f>"3969900037011"</f>
        <v>0</v>
      </c>
      <c r="F6175" t="str">
        <f>"001130"</f>
        <v>0</v>
      </c>
      <c r="G6175" t="s">
        <v>21</v>
      </c>
    </row>
    <row r="6176" spans="1:7">
      <c r="A6176">
        <v>6175</v>
      </c>
      <c r="B6176" t="str">
        <f>"018465"</f>
        <v>0</v>
      </c>
      <c r="C6176" t="s">
        <v>2634</v>
      </c>
      <c r="D6176" t="s">
        <v>9897</v>
      </c>
      <c r="E6176" t="str">
        <f>"3930100366364"</f>
        <v>0</v>
      </c>
      <c r="F6176" t="str">
        <f>"001130"</f>
        <v>0</v>
      </c>
      <c r="G6176" t="s">
        <v>21</v>
      </c>
    </row>
    <row r="6177" spans="1:7">
      <c r="A6177">
        <v>6176</v>
      </c>
      <c r="B6177" t="str">
        <f>"018482"</f>
        <v>0</v>
      </c>
      <c r="C6177" t="s">
        <v>9898</v>
      </c>
      <c r="D6177" t="s">
        <v>9899</v>
      </c>
      <c r="E6177" t="str">
        <f>"3809900069584"</f>
        <v>0</v>
      </c>
      <c r="F6177" t="str">
        <f>"001130"</f>
        <v>0</v>
      </c>
      <c r="G6177" t="s">
        <v>21</v>
      </c>
    </row>
    <row r="6178" spans="1:7">
      <c r="A6178">
        <v>6177</v>
      </c>
      <c r="B6178" t="str">
        <f>"018874"</f>
        <v>0</v>
      </c>
      <c r="C6178" t="s">
        <v>9900</v>
      </c>
      <c r="D6178" t="s">
        <v>9848</v>
      </c>
      <c r="E6178" t="str">
        <f>"3930100955441"</f>
        <v>0</v>
      </c>
      <c r="F6178" t="str">
        <f>"001130"</f>
        <v>0</v>
      </c>
      <c r="G6178" t="s">
        <v>21</v>
      </c>
    </row>
    <row r="6179" spans="1:7">
      <c r="A6179">
        <v>6178</v>
      </c>
      <c r="B6179" t="str">
        <f>"019303"</f>
        <v>0</v>
      </c>
      <c r="C6179" t="s">
        <v>3457</v>
      </c>
      <c r="D6179" t="s">
        <v>9901</v>
      </c>
      <c r="E6179" t="str">
        <f>"3939900303349"</f>
        <v>0</v>
      </c>
      <c r="F6179" t="str">
        <f>"001130"</f>
        <v>0</v>
      </c>
      <c r="G6179" t="s">
        <v>21</v>
      </c>
    </row>
    <row r="6180" spans="1:7">
      <c r="A6180">
        <v>6179</v>
      </c>
      <c r="B6180" t="str">
        <f>"019376"</f>
        <v>0</v>
      </c>
      <c r="C6180" t="s">
        <v>9902</v>
      </c>
      <c r="D6180" t="s">
        <v>9903</v>
      </c>
      <c r="E6180" t="str">
        <f>"3930100375398"</f>
        <v>0</v>
      </c>
      <c r="F6180" t="str">
        <f>"001130"</f>
        <v>0</v>
      </c>
      <c r="G6180" t="s">
        <v>21</v>
      </c>
    </row>
    <row r="6181" spans="1:7">
      <c r="A6181">
        <v>6180</v>
      </c>
      <c r="B6181" t="str">
        <f>"019487"</f>
        <v>0</v>
      </c>
      <c r="C6181" t="s">
        <v>6636</v>
      </c>
      <c r="D6181" t="s">
        <v>9904</v>
      </c>
      <c r="E6181" t="str">
        <f>"3930100866812"</f>
        <v>0</v>
      </c>
      <c r="F6181" t="str">
        <f>"001130"</f>
        <v>0</v>
      </c>
      <c r="G6181" t="s">
        <v>21</v>
      </c>
    </row>
    <row r="6182" spans="1:7">
      <c r="A6182">
        <v>6181</v>
      </c>
      <c r="B6182" t="str">
        <f>"019860"</f>
        <v>0</v>
      </c>
      <c r="C6182" t="s">
        <v>9905</v>
      </c>
      <c r="D6182" t="s">
        <v>9906</v>
      </c>
      <c r="E6182" t="str">
        <f>"3930300097791"</f>
        <v>0</v>
      </c>
      <c r="F6182" t="str">
        <f>"001130"</f>
        <v>0</v>
      </c>
      <c r="G6182" t="s">
        <v>21</v>
      </c>
    </row>
    <row r="6183" spans="1:7">
      <c r="A6183">
        <v>6182</v>
      </c>
      <c r="B6183" t="str">
        <f>"020632"</f>
        <v>0</v>
      </c>
      <c r="C6183" t="s">
        <v>9907</v>
      </c>
      <c r="D6183" t="s">
        <v>9908</v>
      </c>
      <c r="E6183" t="str">
        <f>"3939900184196"</f>
        <v>0</v>
      </c>
      <c r="F6183" t="str">
        <f>"001130"</f>
        <v>0</v>
      </c>
      <c r="G6183" t="s">
        <v>21</v>
      </c>
    </row>
    <row r="6184" spans="1:7">
      <c r="A6184">
        <v>6183</v>
      </c>
      <c r="B6184" t="str">
        <f>"020649"</f>
        <v>0</v>
      </c>
      <c r="C6184" t="s">
        <v>9909</v>
      </c>
      <c r="D6184" t="s">
        <v>9910</v>
      </c>
      <c r="E6184" t="str">
        <f>"3930200223352"</f>
        <v>0</v>
      </c>
      <c r="F6184" t="str">
        <f>"001130"</f>
        <v>0</v>
      </c>
      <c r="G6184" t="s">
        <v>21</v>
      </c>
    </row>
    <row r="6185" spans="1:7">
      <c r="A6185">
        <v>6184</v>
      </c>
      <c r="B6185" t="str">
        <f>"020753"</f>
        <v>0</v>
      </c>
      <c r="C6185" t="s">
        <v>1260</v>
      </c>
      <c r="D6185" t="s">
        <v>9911</v>
      </c>
      <c r="E6185" t="str">
        <f>"3930100594979"</f>
        <v>0</v>
      </c>
      <c r="F6185" t="str">
        <f>"001130"</f>
        <v>0</v>
      </c>
      <c r="G6185" t="s">
        <v>21</v>
      </c>
    </row>
    <row r="6186" spans="1:7">
      <c r="A6186">
        <v>6185</v>
      </c>
      <c r="B6186" t="str">
        <f>"021070"</f>
        <v>0</v>
      </c>
      <c r="C6186" t="s">
        <v>4317</v>
      </c>
      <c r="D6186" t="s">
        <v>204</v>
      </c>
      <c r="E6186" t="str">
        <f>"3930100063477"</f>
        <v>0</v>
      </c>
      <c r="F6186" t="str">
        <f>"001130"</f>
        <v>0</v>
      </c>
      <c r="G6186" t="s">
        <v>21</v>
      </c>
    </row>
    <row r="6187" spans="1:7">
      <c r="A6187">
        <v>6186</v>
      </c>
      <c r="B6187" t="str">
        <f>"021109"</f>
        <v>0</v>
      </c>
      <c r="C6187" t="s">
        <v>795</v>
      </c>
      <c r="D6187" t="s">
        <v>4600</v>
      </c>
      <c r="E6187" t="str">
        <f>"3860500029129"</f>
        <v>0</v>
      </c>
      <c r="F6187" t="str">
        <f>"001130"</f>
        <v>0</v>
      </c>
      <c r="G6187" t="s">
        <v>21</v>
      </c>
    </row>
    <row r="6188" spans="1:7">
      <c r="A6188">
        <v>6187</v>
      </c>
      <c r="B6188" t="str">
        <f>"021110"</f>
        <v>0</v>
      </c>
      <c r="C6188" t="s">
        <v>3957</v>
      </c>
      <c r="D6188" t="s">
        <v>9912</v>
      </c>
      <c r="E6188" t="str">
        <f>"4930500002252"</f>
        <v>0</v>
      </c>
      <c r="F6188" t="str">
        <f>"001130"</f>
        <v>0</v>
      </c>
      <c r="G6188" t="s">
        <v>21</v>
      </c>
    </row>
    <row r="6189" spans="1:7">
      <c r="A6189">
        <v>6188</v>
      </c>
      <c r="B6189" t="str">
        <f>"021146"</f>
        <v>0</v>
      </c>
      <c r="C6189" t="s">
        <v>9913</v>
      </c>
      <c r="D6189" t="s">
        <v>9914</v>
      </c>
      <c r="E6189" t="str">
        <f>"3930501057711"</f>
        <v>0</v>
      </c>
      <c r="F6189" t="str">
        <f>"001130"</f>
        <v>0</v>
      </c>
      <c r="G6189" t="s">
        <v>21</v>
      </c>
    </row>
    <row r="6190" spans="1:7">
      <c r="A6190">
        <v>6189</v>
      </c>
      <c r="B6190" t="str">
        <f>"021200"</f>
        <v>0</v>
      </c>
      <c r="C6190" t="s">
        <v>1265</v>
      </c>
      <c r="D6190" t="s">
        <v>9915</v>
      </c>
      <c r="E6190" t="str">
        <f>"3930500568550"</f>
        <v>0</v>
      </c>
      <c r="F6190" t="str">
        <f>"001130"</f>
        <v>0</v>
      </c>
      <c r="G6190" t="s">
        <v>21</v>
      </c>
    </row>
    <row r="6191" spans="1:7">
      <c r="A6191">
        <v>6190</v>
      </c>
      <c r="B6191" t="str">
        <f>"021225"</f>
        <v>0</v>
      </c>
      <c r="C6191" t="s">
        <v>3212</v>
      </c>
      <c r="D6191" t="s">
        <v>9916</v>
      </c>
      <c r="E6191" t="str">
        <f>"3930200026182"</f>
        <v>0</v>
      </c>
      <c r="F6191" t="str">
        <f>"001130"</f>
        <v>0</v>
      </c>
      <c r="G6191" t="s">
        <v>21</v>
      </c>
    </row>
    <row r="6192" spans="1:7">
      <c r="A6192">
        <v>6191</v>
      </c>
      <c r="B6192" t="str">
        <f>"021325"</f>
        <v>0</v>
      </c>
      <c r="C6192" t="s">
        <v>9917</v>
      </c>
      <c r="D6192" t="s">
        <v>9918</v>
      </c>
      <c r="E6192" t="str">
        <f>"3930500448457"</f>
        <v>0</v>
      </c>
      <c r="F6192" t="str">
        <f>"001130"</f>
        <v>0</v>
      </c>
      <c r="G6192" t="s">
        <v>21</v>
      </c>
    </row>
    <row r="6193" spans="1:7">
      <c r="A6193">
        <v>6192</v>
      </c>
      <c r="B6193" t="str">
        <f>"021405"</f>
        <v>0</v>
      </c>
      <c r="C6193" t="s">
        <v>9919</v>
      </c>
      <c r="D6193" t="s">
        <v>9920</v>
      </c>
      <c r="E6193" t="str">
        <f>"3930300359311"</f>
        <v>0</v>
      </c>
      <c r="F6193" t="str">
        <f>"001130"</f>
        <v>0</v>
      </c>
      <c r="G6193" t="s">
        <v>21</v>
      </c>
    </row>
    <row r="6194" spans="1:7">
      <c r="A6194">
        <v>6193</v>
      </c>
      <c r="B6194" t="str">
        <f>"021471"</f>
        <v>0</v>
      </c>
      <c r="C6194" t="s">
        <v>6446</v>
      </c>
      <c r="D6194" t="s">
        <v>9921</v>
      </c>
      <c r="E6194" t="str">
        <f>"3930500505591"</f>
        <v>0</v>
      </c>
      <c r="F6194" t="str">
        <f>"001130"</f>
        <v>0</v>
      </c>
      <c r="G6194" t="s">
        <v>21</v>
      </c>
    </row>
    <row r="6195" spans="1:7">
      <c r="A6195">
        <v>6194</v>
      </c>
      <c r="B6195" t="str">
        <f>"021519"</f>
        <v>0</v>
      </c>
      <c r="C6195" t="s">
        <v>132</v>
      </c>
      <c r="D6195" t="s">
        <v>9922</v>
      </c>
      <c r="E6195" t="str">
        <f>"3939900284638"</f>
        <v>0</v>
      </c>
      <c r="F6195" t="str">
        <f>"001130"</f>
        <v>0</v>
      </c>
      <c r="G6195" t="s">
        <v>21</v>
      </c>
    </row>
    <row r="6196" spans="1:7">
      <c r="A6196">
        <v>6195</v>
      </c>
      <c r="B6196" t="str">
        <f>"021890"</f>
        <v>0</v>
      </c>
      <c r="C6196" t="s">
        <v>9923</v>
      </c>
      <c r="D6196" t="s">
        <v>9924</v>
      </c>
      <c r="E6196" t="str">
        <f>"3930200006726"</f>
        <v>0</v>
      </c>
      <c r="F6196" t="str">
        <f>"001130"</f>
        <v>0</v>
      </c>
      <c r="G6196" t="s">
        <v>21</v>
      </c>
    </row>
    <row r="6197" spans="1:7">
      <c r="A6197">
        <v>6196</v>
      </c>
      <c r="B6197" t="str">
        <f>"022416"</f>
        <v>0</v>
      </c>
      <c r="C6197" t="s">
        <v>9120</v>
      </c>
      <c r="D6197" t="s">
        <v>9925</v>
      </c>
      <c r="E6197" t="str">
        <f>"3939900303241"</f>
        <v>0</v>
      </c>
      <c r="F6197" t="str">
        <f>"001130"</f>
        <v>0</v>
      </c>
      <c r="G6197" t="s">
        <v>21</v>
      </c>
    </row>
    <row r="6198" spans="1:7">
      <c r="A6198">
        <v>6197</v>
      </c>
      <c r="B6198" t="str">
        <f>"022610"</f>
        <v>0</v>
      </c>
      <c r="C6198" t="s">
        <v>9926</v>
      </c>
      <c r="D6198" t="s">
        <v>9927</v>
      </c>
      <c r="E6198" t="str">
        <f>"3930100967902"</f>
        <v>0</v>
      </c>
      <c r="F6198" t="str">
        <f>"001130"</f>
        <v>0</v>
      </c>
      <c r="G6198" t="s">
        <v>21</v>
      </c>
    </row>
    <row r="6199" spans="1:7">
      <c r="A6199">
        <v>6198</v>
      </c>
      <c r="B6199" t="str">
        <f>"022867"</f>
        <v>0</v>
      </c>
      <c r="C6199" t="s">
        <v>8100</v>
      </c>
      <c r="D6199" t="s">
        <v>9928</v>
      </c>
      <c r="E6199" t="str">
        <f>"2930300013238"</f>
        <v>0</v>
      </c>
      <c r="F6199" t="str">
        <f>"001130"</f>
        <v>0</v>
      </c>
      <c r="G6199" t="s">
        <v>21</v>
      </c>
    </row>
    <row r="6200" spans="1:7">
      <c r="A6200">
        <v>6199</v>
      </c>
      <c r="B6200" t="str">
        <f>"023215"</f>
        <v>0</v>
      </c>
      <c r="C6200" t="s">
        <v>1080</v>
      </c>
      <c r="D6200" t="s">
        <v>9929</v>
      </c>
      <c r="E6200" t="str">
        <f>"3930300271952"</f>
        <v>0</v>
      </c>
      <c r="F6200" t="str">
        <f>"001130"</f>
        <v>0</v>
      </c>
      <c r="G6200" t="s">
        <v>21</v>
      </c>
    </row>
    <row r="6201" spans="1:7">
      <c r="A6201">
        <v>6200</v>
      </c>
      <c r="B6201" t="str">
        <f>"023559"</f>
        <v>0</v>
      </c>
      <c r="C6201" t="s">
        <v>9930</v>
      </c>
      <c r="D6201" t="s">
        <v>9931</v>
      </c>
      <c r="E6201" t="str">
        <f>"3939900028356"</f>
        <v>0</v>
      </c>
      <c r="F6201" t="str">
        <f>"001130"</f>
        <v>0</v>
      </c>
      <c r="G6201" t="s">
        <v>21</v>
      </c>
    </row>
    <row r="6202" spans="1:7">
      <c r="A6202">
        <v>6201</v>
      </c>
      <c r="B6202" t="str">
        <f>"023754"</f>
        <v>0</v>
      </c>
      <c r="C6202" t="s">
        <v>5745</v>
      </c>
      <c r="D6202" t="s">
        <v>9932</v>
      </c>
      <c r="E6202" t="str">
        <f>"1939900133706"</f>
        <v>0</v>
      </c>
      <c r="F6202" t="str">
        <f>"001130"</f>
        <v>0</v>
      </c>
      <c r="G6202" t="s">
        <v>21</v>
      </c>
    </row>
    <row r="6203" spans="1:7">
      <c r="A6203">
        <v>6202</v>
      </c>
      <c r="B6203" t="str">
        <f>"024000"</f>
        <v>0</v>
      </c>
      <c r="C6203" t="s">
        <v>2669</v>
      </c>
      <c r="D6203" t="s">
        <v>9933</v>
      </c>
      <c r="E6203" t="str">
        <f>"3930500823576"</f>
        <v>0</v>
      </c>
      <c r="F6203" t="str">
        <f>"001130"</f>
        <v>0</v>
      </c>
      <c r="G6203" t="s">
        <v>21</v>
      </c>
    </row>
    <row r="6204" spans="1:7">
      <c r="A6204">
        <v>6203</v>
      </c>
      <c r="B6204" t="str">
        <f>"024006"</f>
        <v>0</v>
      </c>
      <c r="C6204" t="s">
        <v>9934</v>
      </c>
      <c r="D6204" t="s">
        <v>9935</v>
      </c>
      <c r="E6204" t="str">
        <f>"3930100520215"</f>
        <v>0</v>
      </c>
      <c r="F6204" t="str">
        <f>"001130"</f>
        <v>0</v>
      </c>
      <c r="G6204" t="s">
        <v>21</v>
      </c>
    </row>
    <row r="6205" spans="1:7">
      <c r="A6205">
        <v>6204</v>
      </c>
      <c r="B6205" t="str">
        <f>"024367"</f>
        <v>0</v>
      </c>
      <c r="C6205" t="s">
        <v>9936</v>
      </c>
      <c r="D6205" t="s">
        <v>9937</v>
      </c>
      <c r="E6205" t="str">
        <f>"3930100234077"</f>
        <v>0</v>
      </c>
      <c r="F6205" t="str">
        <f>"001130"</f>
        <v>0</v>
      </c>
      <c r="G6205" t="s">
        <v>21</v>
      </c>
    </row>
    <row r="6206" spans="1:7">
      <c r="A6206">
        <v>6205</v>
      </c>
      <c r="B6206" t="str">
        <f>"024637"</f>
        <v>0</v>
      </c>
      <c r="C6206" t="s">
        <v>5647</v>
      </c>
      <c r="D6206" t="s">
        <v>9938</v>
      </c>
      <c r="E6206" t="str">
        <f>"1939900004337"</f>
        <v>0</v>
      </c>
      <c r="F6206" t="str">
        <f>"001130"</f>
        <v>0</v>
      </c>
      <c r="G6206" t="s">
        <v>21</v>
      </c>
    </row>
    <row r="6207" spans="1:7">
      <c r="A6207">
        <v>6206</v>
      </c>
      <c r="B6207" t="str">
        <f>"024781"</f>
        <v>0</v>
      </c>
      <c r="C6207" t="s">
        <v>9939</v>
      </c>
      <c r="D6207" t="s">
        <v>9940</v>
      </c>
      <c r="E6207" t="str">
        <f>"1939900084616"</f>
        <v>0</v>
      </c>
      <c r="F6207" t="str">
        <f>"001130"</f>
        <v>0</v>
      </c>
      <c r="G6207" t="s">
        <v>21</v>
      </c>
    </row>
    <row r="6208" spans="1:7">
      <c r="A6208">
        <v>6207</v>
      </c>
      <c r="B6208" t="str">
        <f>"025124"</f>
        <v>0</v>
      </c>
      <c r="C6208" t="s">
        <v>9941</v>
      </c>
      <c r="D6208" t="s">
        <v>9942</v>
      </c>
      <c r="E6208" t="str">
        <f>"1939900009622"</f>
        <v>0</v>
      </c>
      <c r="F6208" t="str">
        <f>"001130"</f>
        <v>0</v>
      </c>
      <c r="G6208" t="s">
        <v>21</v>
      </c>
    </row>
    <row r="6209" spans="1:7">
      <c r="A6209">
        <v>6208</v>
      </c>
      <c r="B6209" t="str">
        <f>"025293"</f>
        <v>0</v>
      </c>
      <c r="C6209" t="s">
        <v>9943</v>
      </c>
      <c r="D6209" t="s">
        <v>4729</v>
      </c>
      <c r="E6209" t="str">
        <f>"3930100852242"</f>
        <v>0</v>
      </c>
      <c r="F6209" t="str">
        <f>"001130"</f>
        <v>0</v>
      </c>
      <c r="G6209" t="s">
        <v>21</v>
      </c>
    </row>
    <row r="6210" spans="1:7">
      <c r="A6210">
        <v>6209</v>
      </c>
      <c r="B6210" t="str">
        <f>"025445"</f>
        <v>0</v>
      </c>
      <c r="C6210" t="s">
        <v>9944</v>
      </c>
      <c r="D6210" t="s">
        <v>9945</v>
      </c>
      <c r="E6210" t="str">
        <f>"1801300018471"</f>
        <v>0</v>
      </c>
      <c r="F6210" t="str">
        <f>"001130"</f>
        <v>0</v>
      </c>
      <c r="G6210" t="s">
        <v>21</v>
      </c>
    </row>
    <row r="6211" spans="1:7">
      <c r="A6211">
        <v>6210</v>
      </c>
      <c r="B6211" t="str">
        <f>"025622"</f>
        <v>0</v>
      </c>
      <c r="C6211" t="s">
        <v>403</v>
      </c>
      <c r="D6211" t="s">
        <v>3372</v>
      </c>
      <c r="E6211" t="str">
        <f>"1930500125601"</f>
        <v>0</v>
      </c>
      <c r="F6211" t="str">
        <f>"001130"</f>
        <v>0</v>
      </c>
      <c r="G6211" t="s">
        <v>21</v>
      </c>
    </row>
    <row r="6212" spans="1:7">
      <c r="A6212">
        <v>6211</v>
      </c>
      <c r="B6212" t="str">
        <f>"025713"</f>
        <v>0</v>
      </c>
      <c r="C6212" t="s">
        <v>5643</v>
      </c>
      <c r="D6212" t="s">
        <v>9946</v>
      </c>
      <c r="E6212" t="str">
        <f>"3939900206238"</f>
        <v>0</v>
      </c>
      <c r="F6212" t="str">
        <f>"001130"</f>
        <v>0</v>
      </c>
      <c r="G6212" t="s">
        <v>21</v>
      </c>
    </row>
    <row r="6213" spans="1:7">
      <c r="A6213">
        <v>6212</v>
      </c>
      <c r="B6213" t="str">
        <f>"025927"</f>
        <v>0</v>
      </c>
      <c r="C6213" t="s">
        <v>9947</v>
      </c>
      <c r="D6213" t="s">
        <v>9948</v>
      </c>
      <c r="E6213" t="str">
        <f>"1939900015487"</f>
        <v>0</v>
      </c>
      <c r="F6213" t="str">
        <f>"001130"</f>
        <v>0</v>
      </c>
      <c r="G6213" t="s">
        <v>21</v>
      </c>
    </row>
    <row r="6214" spans="1:7">
      <c r="A6214">
        <v>6213</v>
      </c>
      <c r="B6214" t="str">
        <f>"026243"</f>
        <v>0</v>
      </c>
      <c r="C6214" t="s">
        <v>9949</v>
      </c>
      <c r="D6214" t="s">
        <v>9950</v>
      </c>
      <c r="E6214" t="str">
        <f>"1939900198191"</f>
        <v>0</v>
      </c>
      <c r="F6214" t="str">
        <f>"001130"</f>
        <v>0</v>
      </c>
      <c r="G6214" t="s">
        <v>21</v>
      </c>
    </row>
    <row r="6215" spans="1:7">
      <c r="A6215">
        <v>6214</v>
      </c>
      <c r="B6215" t="str">
        <f>"026342"</f>
        <v>0</v>
      </c>
      <c r="C6215" t="s">
        <v>749</v>
      </c>
      <c r="D6215" t="s">
        <v>9951</v>
      </c>
      <c r="E6215" t="str">
        <f>"1930600115895"</f>
        <v>0</v>
      </c>
      <c r="F6215" t="str">
        <f>"001130"</f>
        <v>0</v>
      </c>
      <c r="G6215" t="s">
        <v>21</v>
      </c>
    </row>
    <row r="6216" spans="1:7">
      <c r="A6216">
        <v>6215</v>
      </c>
      <c r="B6216" t="str">
        <f>"026744"</f>
        <v>0</v>
      </c>
      <c r="C6216" t="s">
        <v>9952</v>
      </c>
      <c r="D6216" t="s">
        <v>9953</v>
      </c>
      <c r="E6216" t="str">
        <f>"3930800020398"</f>
        <v>0</v>
      </c>
      <c r="F6216" t="str">
        <f>"001130"</f>
        <v>0</v>
      </c>
      <c r="G6216" t="s">
        <v>21</v>
      </c>
    </row>
    <row r="6217" spans="1:7">
      <c r="A6217">
        <v>6216</v>
      </c>
      <c r="B6217" t="str">
        <f>"027152"</f>
        <v>0</v>
      </c>
      <c r="C6217" t="s">
        <v>26</v>
      </c>
      <c r="D6217" t="s">
        <v>1351</v>
      </c>
      <c r="E6217" t="str">
        <f>"1939900180453"</f>
        <v>0</v>
      </c>
      <c r="F6217" t="str">
        <f>"001130"</f>
        <v>0</v>
      </c>
      <c r="G6217" t="s">
        <v>21</v>
      </c>
    </row>
    <row r="6218" spans="1:7">
      <c r="A6218">
        <v>6217</v>
      </c>
      <c r="B6218" t="str">
        <f>"013272"</f>
        <v>0</v>
      </c>
      <c r="C6218" t="s">
        <v>9954</v>
      </c>
      <c r="D6218" t="s">
        <v>9955</v>
      </c>
      <c r="E6218" t="str">
        <f>"3930300546641"</f>
        <v>0</v>
      </c>
      <c r="F6218" t="str">
        <f>"001130"</f>
        <v>0</v>
      </c>
      <c r="G6218" t="s">
        <v>21</v>
      </c>
    </row>
    <row r="6219" spans="1:7">
      <c r="A6219">
        <v>6218</v>
      </c>
      <c r="B6219" t="str">
        <f>"001397"</f>
        <v>0</v>
      </c>
      <c r="C6219" t="s">
        <v>9956</v>
      </c>
      <c r="D6219" t="s">
        <v>4142</v>
      </c>
      <c r="E6219" t="str">
        <f>"3660500559146"</f>
        <v>0</v>
      </c>
      <c r="F6219" t="str">
        <f>"001150"</f>
        <v>0</v>
      </c>
      <c r="G6219" t="s">
        <v>21</v>
      </c>
    </row>
    <row r="6220" spans="1:7">
      <c r="A6220">
        <v>6219</v>
      </c>
      <c r="B6220" t="str">
        <f>"001532"</f>
        <v>0</v>
      </c>
      <c r="C6220" t="s">
        <v>5247</v>
      </c>
      <c r="D6220" t="s">
        <v>9957</v>
      </c>
      <c r="E6220" t="str">
        <f>"3669900119389"</f>
        <v>0</v>
      </c>
      <c r="F6220" t="str">
        <f>"001150"</f>
        <v>0</v>
      </c>
      <c r="G6220" t="s">
        <v>21</v>
      </c>
    </row>
    <row r="6221" spans="1:7">
      <c r="A6221">
        <v>6220</v>
      </c>
      <c r="B6221" t="str">
        <f>"002439"</f>
        <v>0</v>
      </c>
      <c r="C6221" t="s">
        <v>4651</v>
      </c>
      <c r="D6221" t="s">
        <v>9958</v>
      </c>
      <c r="E6221" t="str">
        <f>"3670600385051"</f>
        <v>0</v>
      </c>
      <c r="F6221" t="str">
        <f>"001150"</f>
        <v>0</v>
      </c>
      <c r="G6221" t="s">
        <v>21</v>
      </c>
    </row>
    <row r="6222" spans="1:7">
      <c r="A6222">
        <v>6221</v>
      </c>
      <c r="B6222" t="str">
        <f>"004237"</f>
        <v>0</v>
      </c>
      <c r="C6222" t="s">
        <v>9959</v>
      </c>
      <c r="D6222" t="s">
        <v>9960</v>
      </c>
      <c r="E6222" t="str">
        <f>"3660300237412"</f>
        <v>0</v>
      </c>
      <c r="F6222" t="str">
        <f>"001150"</f>
        <v>0</v>
      </c>
      <c r="G6222" t="s">
        <v>21</v>
      </c>
    </row>
    <row r="6223" spans="1:7">
      <c r="A6223">
        <v>6222</v>
      </c>
      <c r="B6223" t="str">
        <f>"004553"</f>
        <v>0</v>
      </c>
      <c r="C6223" t="s">
        <v>311</v>
      </c>
      <c r="D6223" t="s">
        <v>9961</v>
      </c>
      <c r="E6223" t="str">
        <f>"3102000964951"</f>
        <v>0</v>
      </c>
      <c r="F6223" t="str">
        <f>"001150"</f>
        <v>0</v>
      </c>
      <c r="G6223" t="s">
        <v>21</v>
      </c>
    </row>
    <row r="6224" spans="1:7">
      <c r="A6224">
        <v>6223</v>
      </c>
      <c r="B6224" t="str">
        <f>"004562"</f>
        <v>0</v>
      </c>
      <c r="C6224" t="s">
        <v>2815</v>
      </c>
      <c r="D6224" t="s">
        <v>9962</v>
      </c>
      <c r="E6224" t="str">
        <f>"3160400127630"</f>
        <v>0</v>
      </c>
      <c r="F6224" t="str">
        <f>"001150"</f>
        <v>0</v>
      </c>
      <c r="G6224" t="s">
        <v>21</v>
      </c>
    </row>
    <row r="6225" spans="1:7">
      <c r="A6225">
        <v>6224</v>
      </c>
      <c r="B6225" t="str">
        <f>"004790"</f>
        <v>0</v>
      </c>
      <c r="C6225" t="s">
        <v>445</v>
      </c>
      <c r="D6225" t="s">
        <v>3806</v>
      </c>
      <c r="E6225" t="str">
        <f>"3669900164881"</f>
        <v>0</v>
      </c>
      <c r="F6225" t="str">
        <f>"001150"</f>
        <v>0</v>
      </c>
      <c r="G6225" t="s">
        <v>21</v>
      </c>
    </row>
    <row r="6226" spans="1:7">
      <c r="A6226">
        <v>6225</v>
      </c>
      <c r="B6226" t="str">
        <f>"005220"</f>
        <v>0</v>
      </c>
      <c r="C6226" t="s">
        <v>8482</v>
      </c>
      <c r="D6226" t="s">
        <v>9432</v>
      </c>
      <c r="E6226" t="str">
        <f>"3660500213398"</f>
        <v>0</v>
      </c>
      <c r="F6226" t="str">
        <f>"001150"</f>
        <v>0</v>
      </c>
      <c r="G6226" t="s">
        <v>21</v>
      </c>
    </row>
    <row r="6227" spans="1:7">
      <c r="A6227">
        <v>6226</v>
      </c>
      <c r="B6227" t="str">
        <f>"005424"</f>
        <v>0</v>
      </c>
      <c r="C6227" t="s">
        <v>2241</v>
      </c>
      <c r="D6227" t="s">
        <v>9963</v>
      </c>
      <c r="E6227" t="str">
        <f>"3669900216759"</f>
        <v>0</v>
      </c>
      <c r="F6227" t="str">
        <f>"001150"</f>
        <v>0</v>
      </c>
      <c r="G6227" t="s">
        <v>21</v>
      </c>
    </row>
    <row r="6228" spans="1:7">
      <c r="A6228">
        <v>6227</v>
      </c>
      <c r="B6228" t="str">
        <f>"005467"</f>
        <v>0</v>
      </c>
      <c r="C6228" t="s">
        <v>802</v>
      </c>
      <c r="D6228" t="s">
        <v>9964</v>
      </c>
      <c r="E6228" t="str">
        <f>"3529900357558"</f>
        <v>0</v>
      </c>
      <c r="F6228" t="str">
        <f>"001150"</f>
        <v>0</v>
      </c>
      <c r="G6228" t="s">
        <v>21</v>
      </c>
    </row>
    <row r="6229" spans="1:7">
      <c r="A6229">
        <v>6228</v>
      </c>
      <c r="B6229" t="str">
        <f>"005646"</f>
        <v>0</v>
      </c>
      <c r="C6229" t="s">
        <v>3391</v>
      </c>
      <c r="D6229" t="s">
        <v>9965</v>
      </c>
      <c r="E6229" t="str">
        <f>"3660200027955"</f>
        <v>0</v>
      </c>
      <c r="F6229" t="str">
        <f>"001150"</f>
        <v>0</v>
      </c>
      <c r="G6229" t="s">
        <v>21</v>
      </c>
    </row>
    <row r="6230" spans="1:7">
      <c r="A6230">
        <v>6229</v>
      </c>
      <c r="B6230" t="str">
        <f>"005865"</f>
        <v>0</v>
      </c>
      <c r="C6230" t="s">
        <v>9966</v>
      </c>
      <c r="D6230" t="s">
        <v>9967</v>
      </c>
      <c r="E6230" t="str">
        <f>"3669800124666"</f>
        <v>0</v>
      </c>
      <c r="F6230" t="str">
        <f>"001150"</f>
        <v>0</v>
      </c>
      <c r="G6230" t="s">
        <v>21</v>
      </c>
    </row>
    <row r="6231" spans="1:7">
      <c r="A6231">
        <v>6230</v>
      </c>
      <c r="B6231" t="str">
        <f>"006033"</f>
        <v>0</v>
      </c>
      <c r="C6231" t="s">
        <v>9968</v>
      </c>
      <c r="D6231" t="s">
        <v>9969</v>
      </c>
      <c r="E6231" t="str">
        <f>"3170600305663"</f>
        <v>0</v>
      </c>
      <c r="F6231" t="str">
        <f>"001150"</f>
        <v>0</v>
      </c>
      <c r="G6231" t="s">
        <v>21</v>
      </c>
    </row>
    <row r="6232" spans="1:7">
      <c r="A6232">
        <v>6231</v>
      </c>
      <c r="B6232" t="str">
        <f>"006054"</f>
        <v>0</v>
      </c>
      <c r="C6232" t="s">
        <v>215</v>
      </c>
      <c r="D6232" t="s">
        <v>9010</v>
      </c>
      <c r="E6232" t="str">
        <f>"4660500001020"</f>
        <v>0</v>
      </c>
      <c r="F6232" t="str">
        <f>"001150"</f>
        <v>0</v>
      </c>
      <c r="G6232" t="s">
        <v>21</v>
      </c>
    </row>
    <row r="6233" spans="1:7">
      <c r="A6233">
        <v>6232</v>
      </c>
      <c r="B6233" t="str">
        <f>"006055"</f>
        <v>0</v>
      </c>
      <c r="C6233" t="s">
        <v>9970</v>
      </c>
      <c r="D6233" t="s">
        <v>9814</v>
      </c>
      <c r="E6233" t="str">
        <f>"3669700110060"</f>
        <v>0</v>
      </c>
      <c r="F6233" t="str">
        <f>"001150"</f>
        <v>0</v>
      </c>
      <c r="G6233" t="s">
        <v>21</v>
      </c>
    </row>
    <row r="6234" spans="1:7">
      <c r="A6234">
        <v>6233</v>
      </c>
      <c r="B6234" t="str">
        <f>"006382"</f>
        <v>0</v>
      </c>
      <c r="C6234" t="s">
        <v>9971</v>
      </c>
      <c r="D6234" t="s">
        <v>9972</v>
      </c>
      <c r="E6234" t="str">
        <f>"3669900201603"</f>
        <v>0</v>
      </c>
      <c r="F6234" t="str">
        <f>"001150"</f>
        <v>0</v>
      </c>
      <c r="G6234" t="s">
        <v>21</v>
      </c>
    </row>
    <row r="6235" spans="1:7">
      <c r="A6235">
        <v>6234</v>
      </c>
      <c r="B6235" t="str">
        <f>"006384"</f>
        <v>0</v>
      </c>
      <c r="C6235" t="s">
        <v>9973</v>
      </c>
      <c r="D6235" t="s">
        <v>9974</v>
      </c>
      <c r="E6235" t="str">
        <f>"3660300041119"</f>
        <v>0</v>
      </c>
      <c r="F6235" t="str">
        <f>"001150"</f>
        <v>0</v>
      </c>
      <c r="G6235" t="s">
        <v>21</v>
      </c>
    </row>
    <row r="6236" spans="1:7">
      <c r="A6236">
        <v>6235</v>
      </c>
      <c r="B6236" t="str">
        <f>"006619"</f>
        <v>0</v>
      </c>
      <c r="C6236" t="s">
        <v>4757</v>
      </c>
      <c r="D6236" t="s">
        <v>9975</v>
      </c>
      <c r="E6236" t="str">
        <f>"3660600688878"</f>
        <v>0</v>
      </c>
      <c r="F6236" t="str">
        <f>"001150"</f>
        <v>0</v>
      </c>
      <c r="G6236" t="s">
        <v>21</v>
      </c>
    </row>
    <row r="6237" spans="1:7">
      <c r="A6237">
        <v>6236</v>
      </c>
      <c r="B6237" t="str">
        <f>"006960"</f>
        <v>0</v>
      </c>
      <c r="C6237" t="s">
        <v>9976</v>
      </c>
      <c r="D6237" t="s">
        <v>9977</v>
      </c>
      <c r="E6237" t="str">
        <f>"3200200441046"</f>
        <v>0</v>
      </c>
      <c r="F6237" t="str">
        <f>"001150"</f>
        <v>0</v>
      </c>
      <c r="G6237" t="s">
        <v>21</v>
      </c>
    </row>
    <row r="6238" spans="1:7">
      <c r="A6238">
        <v>6237</v>
      </c>
      <c r="B6238" t="str">
        <f>"007172"</f>
        <v>0</v>
      </c>
      <c r="C6238" t="s">
        <v>802</v>
      </c>
      <c r="D6238" t="s">
        <v>9978</v>
      </c>
      <c r="E6238" t="str">
        <f>"3660300361385"</f>
        <v>0</v>
      </c>
      <c r="F6238" t="str">
        <f>"001150"</f>
        <v>0</v>
      </c>
      <c r="G6238" t="s">
        <v>21</v>
      </c>
    </row>
    <row r="6239" spans="1:7">
      <c r="A6239">
        <v>6238</v>
      </c>
      <c r="B6239" t="str">
        <f>"007279"</f>
        <v>0</v>
      </c>
      <c r="C6239" t="s">
        <v>3014</v>
      </c>
      <c r="D6239" t="s">
        <v>9979</v>
      </c>
      <c r="E6239" t="str">
        <f>"3669900120093"</f>
        <v>0</v>
      </c>
      <c r="F6239" t="str">
        <f>"001150"</f>
        <v>0</v>
      </c>
      <c r="G6239" t="s">
        <v>21</v>
      </c>
    </row>
    <row r="6240" spans="1:7">
      <c r="A6240">
        <v>6239</v>
      </c>
      <c r="B6240" t="str">
        <f>"007818"</f>
        <v>0</v>
      </c>
      <c r="C6240" t="s">
        <v>2320</v>
      </c>
      <c r="D6240" t="s">
        <v>9980</v>
      </c>
      <c r="E6240" t="str">
        <f>"3669900047426"</f>
        <v>0</v>
      </c>
      <c r="F6240" t="str">
        <f>"001150"</f>
        <v>0</v>
      </c>
      <c r="G6240" t="s">
        <v>21</v>
      </c>
    </row>
    <row r="6241" spans="1:7">
      <c r="A6241">
        <v>6240</v>
      </c>
      <c r="B6241" t="str">
        <f>"008280"</f>
        <v>0</v>
      </c>
      <c r="C6241" t="s">
        <v>4225</v>
      </c>
      <c r="D6241" t="s">
        <v>4112</v>
      </c>
      <c r="E6241" t="str">
        <f>"3180600422431"</f>
        <v>0</v>
      </c>
      <c r="F6241" t="str">
        <f>"001150"</f>
        <v>0</v>
      </c>
      <c r="G6241" t="s">
        <v>21</v>
      </c>
    </row>
    <row r="6242" spans="1:7">
      <c r="A6242">
        <v>6241</v>
      </c>
      <c r="B6242" t="str">
        <f>"008485"</f>
        <v>0</v>
      </c>
      <c r="C6242" t="s">
        <v>9981</v>
      </c>
      <c r="D6242" t="s">
        <v>9982</v>
      </c>
      <c r="E6242" t="str">
        <f>"3860200113442"</f>
        <v>0</v>
      </c>
      <c r="F6242" t="str">
        <f>"001150"</f>
        <v>0</v>
      </c>
      <c r="G6242" t="s">
        <v>21</v>
      </c>
    </row>
    <row r="6243" spans="1:7">
      <c r="A6243">
        <v>6242</v>
      </c>
      <c r="B6243" t="str">
        <f>"008877"</f>
        <v>0</v>
      </c>
      <c r="C6243" t="s">
        <v>5181</v>
      </c>
      <c r="D6243" t="s">
        <v>9983</v>
      </c>
      <c r="E6243" t="str">
        <f>"3660100415546"</f>
        <v>0</v>
      </c>
      <c r="F6243" t="str">
        <f>"001150"</f>
        <v>0</v>
      </c>
      <c r="G6243" t="s">
        <v>21</v>
      </c>
    </row>
    <row r="6244" spans="1:7">
      <c r="A6244">
        <v>6243</v>
      </c>
      <c r="B6244" t="str">
        <f>"008878"</f>
        <v>0</v>
      </c>
      <c r="C6244" t="s">
        <v>9984</v>
      </c>
      <c r="D6244" t="s">
        <v>9985</v>
      </c>
      <c r="E6244" t="str">
        <f>"3660600551091"</f>
        <v>0</v>
      </c>
      <c r="F6244" t="str">
        <f>"001150"</f>
        <v>0</v>
      </c>
      <c r="G6244" t="s">
        <v>21</v>
      </c>
    </row>
    <row r="6245" spans="1:7">
      <c r="A6245">
        <v>6244</v>
      </c>
      <c r="B6245" t="str">
        <f>"008954"</f>
        <v>0</v>
      </c>
      <c r="C6245" t="s">
        <v>9986</v>
      </c>
      <c r="D6245" t="s">
        <v>9987</v>
      </c>
      <c r="E6245" t="str">
        <f>"3660600550795"</f>
        <v>0</v>
      </c>
      <c r="F6245" t="str">
        <f>"001150"</f>
        <v>0</v>
      </c>
      <c r="G6245" t="s">
        <v>21</v>
      </c>
    </row>
    <row r="6246" spans="1:7">
      <c r="A6246">
        <v>6245</v>
      </c>
      <c r="B6246" t="str">
        <f>"009895"</f>
        <v>0</v>
      </c>
      <c r="C6246" t="s">
        <v>9988</v>
      </c>
      <c r="D6246" t="s">
        <v>9989</v>
      </c>
      <c r="E6246" t="str">
        <f>"3660400041340"</f>
        <v>0</v>
      </c>
      <c r="F6246" t="str">
        <f>"001150"</f>
        <v>0</v>
      </c>
      <c r="G6246" t="s">
        <v>21</v>
      </c>
    </row>
    <row r="6247" spans="1:7">
      <c r="A6247">
        <v>6246</v>
      </c>
      <c r="B6247" t="str">
        <f>"010121"</f>
        <v>0</v>
      </c>
      <c r="C6247" t="s">
        <v>1429</v>
      </c>
      <c r="D6247" t="s">
        <v>9990</v>
      </c>
      <c r="E6247" t="str">
        <f>"3660600021750"</f>
        <v>0</v>
      </c>
      <c r="F6247" t="str">
        <f>"001150"</f>
        <v>0</v>
      </c>
      <c r="G6247" t="s">
        <v>21</v>
      </c>
    </row>
    <row r="6248" spans="1:7">
      <c r="A6248">
        <v>6247</v>
      </c>
      <c r="B6248" t="str">
        <f>"010843"</f>
        <v>0</v>
      </c>
      <c r="C6248" t="s">
        <v>2303</v>
      </c>
      <c r="D6248" t="s">
        <v>9991</v>
      </c>
      <c r="E6248" t="str">
        <f>"3669900125371"</f>
        <v>0</v>
      </c>
      <c r="F6248" t="str">
        <f>"001150"</f>
        <v>0</v>
      </c>
      <c r="G6248" t="s">
        <v>21</v>
      </c>
    </row>
    <row r="6249" spans="1:7">
      <c r="A6249">
        <v>6248</v>
      </c>
      <c r="B6249" t="str">
        <f>"011351"</f>
        <v>0</v>
      </c>
      <c r="C6249" t="s">
        <v>4286</v>
      </c>
      <c r="D6249" t="s">
        <v>9992</v>
      </c>
      <c r="E6249" t="str">
        <f>"5349890002360"</f>
        <v>0</v>
      </c>
      <c r="F6249" t="str">
        <f>"001150"</f>
        <v>0</v>
      </c>
      <c r="G6249" t="s">
        <v>21</v>
      </c>
    </row>
    <row r="6250" spans="1:7">
      <c r="A6250">
        <v>6249</v>
      </c>
      <c r="B6250" t="str">
        <f>"013620"</f>
        <v>0</v>
      </c>
      <c r="C6250" t="s">
        <v>4428</v>
      </c>
      <c r="D6250" t="s">
        <v>9993</v>
      </c>
      <c r="E6250" t="str">
        <f>"5670390003307"</f>
        <v>0</v>
      </c>
      <c r="F6250" t="str">
        <f>"001150"</f>
        <v>0</v>
      </c>
      <c r="G6250" t="s">
        <v>21</v>
      </c>
    </row>
    <row r="6251" spans="1:7">
      <c r="A6251">
        <v>6250</v>
      </c>
      <c r="B6251" t="str">
        <f>"013755"</f>
        <v>0</v>
      </c>
      <c r="C6251" t="s">
        <v>9994</v>
      </c>
      <c r="D6251" t="s">
        <v>9995</v>
      </c>
      <c r="E6251" t="str">
        <f>"3669700087203"</f>
        <v>0</v>
      </c>
      <c r="F6251" t="str">
        <f>"001150"</f>
        <v>0</v>
      </c>
      <c r="G6251" t="s">
        <v>21</v>
      </c>
    </row>
    <row r="6252" spans="1:7">
      <c r="A6252">
        <v>6251</v>
      </c>
      <c r="B6252" t="str">
        <f>"015291"</f>
        <v>0</v>
      </c>
      <c r="C6252" t="s">
        <v>9996</v>
      </c>
      <c r="D6252" t="s">
        <v>9997</v>
      </c>
      <c r="E6252" t="str">
        <f>"3620500875234"</f>
        <v>0</v>
      </c>
      <c r="F6252" t="str">
        <f>"001150"</f>
        <v>0</v>
      </c>
      <c r="G6252" t="s">
        <v>21</v>
      </c>
    </row>
    <row r="6253" spans="1:7">
      <c r="A6253">
        <v>6252</v>
      </c>
      <c r="B6253" t="str">
        <f>"018200"</f>
        <v>0</v>
      </c>
      <c r="C6253" t="s">
        <v>9998</v>
      </c>
      <c r="D6253" t="s">
        <v>9999</v>
      </c>
      <c r="E6253" t="str">
        <f>"3100501862173"</f>
        <v>0</v>
      </c>
      <c r="F6253" t="str">
        <f>"001150"</f>
        <v>0</v>
      </c>
      <c r="G6253" t="s">
        <v>21</v>
      </c>
    </row>
    <row r="6254" spans="1:7">
      <c r="A6254">
        <v>6253</v>
      </c>
      <c r="B6254" t="str">
        <f>"020948"</f>
        <v>0</v>
      </c>
      <c r="C6254" t="s">
        <v>10000</v>
      </c>
      <c r="D6254" t="s">
        <v>10001</v>
      </c>
      <c r="E6254" t="str">
        <f>"3660400581514"</f>
        <v>0</v>
      </c>
      <c r="F6254" t="str">
        <f>"001150"</f>
        <v>0</v>
      </c>
      <c r="G6254" t="s">
        <v>21</v>
      </c>
    </row>
    <row r="6255" spans="1:7">
      <c r="A6255">
        <v>6254</v>
      </c>
      <c r="B6255" t="str">
        <f>"025822"</f>
        <v>0</v>
      </c>
      <c r="C6255" t="s">
        <v>10002</v>
      </c>
      <c r="D6255" t="s">
        <v>10003</v>
      </c>
      <c r="E6255" t="str">
        <f>"4349800003231"</f>
        <v>0</v>
      </c>
      <c r="F6255" t="str">
        <f>"001150"</f>
        <v>0</v>
      </c>
      <c r="G6255" t="s">
        <v>21</v>
      </c>
    </row>
    <row r="6256" spans="1:7">
      <c r="A6256">
        <v>6255</v>
      </c>
      <c r="B6256" t="str">
        <f>"027049"</f>
        <v>0</v>
      </c>
      <c r="C6256" t="s">
        <v>10004</v>
      </c>
      <c r="D6256" t="s">
        <v>10005</v>
      </c>
      <c r="E6256" t="str">
        <f>"3660100329372"</f>
        <v>0</v>
      </c>
      <c r="F6256" t="str">
        <f>"001150"</f>
        <v>0</v>
      </c>
      <c r="G6256" t="s">
        <v>21</v>
      </c>
    </row>
    <row r="6257" spans="1:7">
      <c r="A6257">
        <v>6256</v>
      </c>
      <c r="B6257" t="str">
        <f>"006385"</f>
        <v>0</v>
      </c>
      <c r="C6257" t="s">
        <v>10006</v>
      </c>
      <c r="D6257" t="s">
        <v>9972</v>
      </c>
      <c r="E6257" t="str">
        <f>"3669900201611"</f>
        <v>0</v>
      </c>
      <c r="F6257" t="str">
        <f>"001150"</f>
        <v>0</v>
      </c>
      <c r="G6257" t="s">
        <v>21</v>
      </c>
    </row>
    <row r="6258" spans="1:7">
      <c r="A6258">
        <v>6257</v>
      </c>
      <c r="B6258" t="str">
        <f>"006386"</f>
        <v>0</v>
      </c>
      <c r="C6258" t="s">
        <v>10007</v>
      </c>
      <c r="D6258" t="s">
        <v>10008</v>
      </c>
      <c r="E6258" t="str">
        <f>"3669700057819"</f>
        <v>0</v>
      </c>
      <c r="F6258" t="str">
        <f>"001150"</f>
        <v>0</v>
      </c>
      <c r="G6258" t="s">
        <v>21</v>
      </c>
    </row>
    <row r="6259" spans="1:7">
      <c r="A6259">
        <v>6258</v>
      </c>
      <c r="B6259" t="str">
        <f>"017725"</f>
        <v>0</v>
      </c>
      <c r="C6259" t="s">
        <v>365</v>
      </c>
      <c r="D6259" t="s">
        <v>6228</v>
      </c>
      <c r="E6259" t="str">
        <f>"3660101078675"</f>
        <v>0</v>
      </c>
      <c r="F6259" t="str">
        <f>"001150"</f>
        <v>0</v>
      </c>
      <c r="G6259" t="s">
        <v>21</v>
      </c>
    </row>
    <row r="6260" spans="1:7">
      <c r="A6260">
        <v>6259</v>
      </c>
      <c r="B6260" t="str">
        <f>"025446"</f>
        <v>0</v>
      </c>
      <c r="C6260" t="s">
        <v>10009</v>
      </c>
      <c r="D6260" t="s">
        <v>10010</v>
      </c>
      <c r="E6260" t="str">
        <f>"3102001640726"</f>
        <v>0</v>
      </c>
      <c r="F6260" t="str">
        <f>"001150"</f>
        <v>0</v>
      </c>
      <c r="G6260" t="s">
        <v>21</v>
      </c>
    </row>
    <row r="6261" spans="1:7">
      <c r="A6261">
        <v>6260</v>
      </c>
      <c r="B6261" t="str">
        <f>"011594"</f>
        <v>0</v>
      </c>
      <c r="C6261" t="s">
        <v>2078</v>
      </c>
      <c r="D6261" t="s">
        <v>10011</v>
      </c>
      <c r="E6261" t="str">
        <f>"3160600025849"</f>
        <v>0</v>
      </c>
      <c r="F6261" t="str">
        <f>"001150"</f>
        <v>0</v>
      </c>
      <c r="G6261" t="s">
        <v>21</v>
      </c>
    </row>
    <row r="6262" spans="1:7">
      <c r="A6262">
        <v>6261</v>
      </c>
      <c r="B6262" t="str">
        <f>"013512"</f>
        <v>0</v>
      </c>
      <c r="C6262" t="s">
        <v>1162</v>
      </c>
      <c r="D6262" t="s">
        <v>6199</v>
      </c>
      <c r="E6262" t="str">
        <f>"3160600026659"</f>
        <v>0</v>
      </c>
      <c r="F6262" t="str">
        <f>"001150"</f>
        <v>0</v>
      </c>
      <c r="G6262" t="s">
        <v>21</v>
      </c>
    </row>
    <row r="6263" spans="1:7">
      <c r="A6263">
        <v>6262</v>
      </c>
      <c r="B6263" t="str">
        <f>"027158"</f>
        <v>0</v>
      </c>
      <c r="C6263" t="s">
        <v>10012</v>
      </c>
      <c r="D6263" t="s">
        <v>10013</v>
      </c>
      <c r="E6263" t="str">
        <f>"1170500031875"</f>
        <v>0</v>
      </c>
      <c r="F6263" t="str">
        <f>"001150"</f>
        <v>0</v>
      </c>
      <c r="G6263" t="s">
        <v>21</v>
      </c>
    </row>
    <row r="6264" spans="1:7">
      <c r="A6264">
        <v>6263</v>
      </c>
      <c r="B6264" t="str">
        <f>"023855"</f>
        <v>0</v>
      </c>
      <c r="C6264" t="s">
        <v>10014</v>
      </c>
      <c r="D6264" t="s">
        <v>9557</v>
      </c>
      <c r="E6264" t="str">
        <f>"3180600672127"</f>
        <v>0</v>
      </c>
      <c r="F6264" t="str">
        <f>"001150"</f>
        <v>0</v>
      </c>
      <c r="G6264" t="s">
        <v>21</v>
      </c>
    </row>
    <row r="6265" spans="1:7">
      <c r="A6265">
        <v>6264</v>
      </c>
      <c r="B6265" t="str">
        <f>"024821"</f>
        <v>0</v>
      </c>
      <c r="C6265" t="s">
        <v>10015</v>
      </c>
      <c r="D6265" t="s">
        <v>10016</v>
      </c>
      <c r="E6265" t="str">
        <f>"3349900458330"</f>
        <v>0</v>
      </c>
      <c r="F6265" t="str">
        <f>"001150"</f>
        <v>0</v>
      </c>
      <c r="G6265" t="s">
        <v>21</v>
      </c>
    </row>
    <row r="6266" spans="1:7">
      <c r="A6266">
        <v>6265</v>
      </c>
      <c r="B6266" t="str">
        <f>"023856"</f>
        <v>0</v>
      </c>
      <c r="C6266" t="s">
        <v>7342</v>
      </c>
      <c r="D6266" t="s">
        <v>10017</v>
      </c>
      <c r="E6266" t="str">
        <f>"1500200022435"</f>
        <v>0</v>
      </c>
      <c r="F6266" t="str">
        <f>"001150"</f>
        <v>0</v>
      </c>
      <c r="G6266" t="s">
        <v>21</v>
      </c>
    </row>
    <row r="6267" spans="1:7">
      <c r="A6267">
        <v>6266</v>
      </c>
      <c r="B6267" t="str">
        <f>"025514"</f>
        <v>0</v>
      </c>
      <c r="C6267" t="s">
        <v>10018</v>
      </c>
      <c r="D6267" t="s">
        <v>10019</v>
      </c>
      <c r="E6267" t="str">
        <f>"3501200268521"</f>
        <v>0</v>
      </c>
      <c r="F6267" t="str">
        <f>"001150"</f>
        <v>0</v>
      </c>
      <c r="G6267" t="s">
        <v>21</v>
      </c>
    </row>
    <row r="6268" spans="1:7">
      <c r="A6268">
        <v>6267</v>
      </c>
      <c r="B6268" t="str">
        <f>"026162"</f>
        <v>0</v>
      </c>
      <c r="C6268" t="s">
        <v>10020</v>
      </c>
      <c r="D6268" t="s">
        <v>10021</v>
      </c>
      <c r="E6268" t="str">
        <f>"1500900096440"</f>
        <v>0</v>
      </c>
      <c r="F6268" t="str">
        <f>"001150"</f>
        <v>0</v>
      </c>
      <c r="G6268" t="s">
        <v>21</v>
      </c>
    </row>
    <row r="6269" spans="1:7">
      <c r="A6269">
        <v>6268</v>
      </c>
      <c r="B6269" t="str">
        <f>"026163"</f>
        <v>0</v>
      </c>
      <c r="C6269" t="s">
        <v>6214</v>
      </c>
      <c r="D6269" t="s">
        <v>10022</v>
      </c>
      <c r="E6269" t="str">
        <f>"1529900506883"</f>
        <v>0</v>
      </c>
      <c r="F6269" t="str">
        <f>"001150"</f>
        <v>0</v>
      </c>
      <c r="G6269" t="s">
        <v>21</v>
      </c>
    </row>
    <row r="6270" spans="1:7">
      <c r="A6270">
        <v>6269</v>
      </c>
      <c r="B6270" t="str">
        <f>"026746"</f>
        <v>0</v>
      </c>
      <c r="C6270" t="s">
        <v>10023</v>
      </c>
      <c r="D6270" t="s">
        <v>10024</v>
      </c>
      <c r="E6270" t="str">
        <f>"1549900390371"</f>
        <v>0</v>
      </c>
      <c r="F6270" t="str">
        <f>"001150"</f>
        <v>0</v>
      </c>
      <c r="G6270" t="s">
        <v>21</v>
      </c>
    </row>
    <row r="6271" spans="1:7">
      <c r="A6271">
        <v>6270</v>
      </c>
      <c r="B6271" t="str">
        <f>"025716"</f>
        <v>0</v>
      </c>
      <c r="C6271" t="s">
        <v>9621</v>
      </c>
      <c r="D6271" t="s">
        <v>10025</v>
      </c>
      <c r="E6271" t="str">
        <f>"1560100045948"</f>
        <v>0</v>
      </c>
      <c r="F6271" t="str">
        <f>"001150"</f>
        <v>0</v>
      </c>
      <c r="G6271" t="s">
        <v>21</v>
      </c>
    </row>
    <row r="6272" spans="1:7">
      <c r="A6272">
        <v>6271</v>
      </c>
      <c r="B6272" t="str">
        <f>"026511"</f>
        <v>0</v>
      </c>
      <c r="C6272" t="s">
        <v>10026</v>
      </c>
      <c r="D6272" t="s">
        <v>10027</v>
      </c>
      <c r="E6272" t="str">
        <f>"5501900014854"</f>
        <v>0</v>
      </c>
      <c r="F6272" t="str">
        <f>"001150"</f>
        <v>0</v>
      </c>
      <c r="G6272" t="s">
        <v>21</v>
      </c>
    </row>
    <row r="6273" spans="1:7">
      <c r="A6273">
        <v>6272</v>
      </c>
      <c r="B6273" t="str">
        <f>"009192"</f>
        <v>0</v>
      </c>
      <c r="C6273" t="s">
        <v>10028</v>
      </c>
      <c r="D6273" t="s">
        <v>10029</v>
      </c>
      <c r="E6273" t="str">
        <f>"3600500254892"</f>
        <v>0</v>
      </c>
      <c r="F6273" t="str">
        <f>"001150"</f>
        <v>0</v>
      </c>
      <c r="G6273" t="s">
        <v>21</v>
      </c>
    </row>
    <row r="6274" spans="1:7">
      <c r="A6274">
        <v>6273</v>
      </c>
      <c r="B6274" t="str">
        <f>"022118"</f>
        <v>0</v>
      </c>
      <c r="C6274" t="s">
        <v>6184</v>
      </c>
      <c r="D6274" t="s">
        <v>10030</v>
      </c>
      <c r="E6274" t="str">
        <f>"1609900046032"</f>
        <v>0</v>
      </c>
      <c r="F6274" t="str">
        <f>"001150"</f>
        <v>0</v>
      </c>
      <c r="G6274" t="s">
        <v>21</v>
      </c>
    </row>
    <row r="6275" spans="1:7">
      <c r="A6275">
        <v>6274</v>
      </c>
      <c r="B6275" t="str">
        <f>"022863"</f>
        <v>0</v>
      </c>
      <c r="C6275" t="s">
        <v>10031</v>
      </c>
      <c r="D6275" t="s">
        <v>10032</v>
      </c>
      <c r="E6275" t="str">
        <f>"3660600364533"</f>
        <v>0</v>
      </c>
      <c r="F6275" t="str">
        <f>"001150"</f>
        <v>0</v>
      </c>
      <c r="G6275" t="s">
        <v>21</v>
      </c>
    </row>
    <row r="6276" spans="1:7">
      <c r="A6276">
        <v>6275</v>
      </c>
      <c r="B6276" t="str">
        <f>"025778"</f>
        <v>0</v>
      </c>
      <c r="C6276" t="s">
        <v>10033</v>
      </c>
      <c r="D6276" t="s">
        <v>10034</v>
      </c>
      <c r="E6276" t="str">
        <f>"5660500025300"</f>
        <v>0</v>
      </c>
      <c r="F6276" t="str">
        <f>"001150"</f>
        <v>0</v>
      </c>
      <c r="G6276" t="s">
        <v>21</v>
      </c>
    </row>
    <row r="6277" spans="1:7">
      <c r="A6277">
        <v>6276</v>
      </c>
      <c r="B6277" t="str">
        <f>"027155"</f>
        <v>0</v>
      </c>
      <c r="C6277" t="s">
        <v>3112</v>
      </c>
      <c r="D6277" t="s">
        <v>10035</v>
      </c>
      <c r="E6277" t="str">
        <f>"1100501056375"</f>
        <v>0</v>
      </c>
      <c r="F6277" t="str">
        <f>"001150"</f>
        <v>0</v>
      </c>
      <c r="G6277" t="s">
        <v>21</v>
      </c>
    </row>
    <row r="6278" spans="1:7">
      <c r="A6278">
        <v>6277</v>
      </c>
      <c r="B6278" t="str">
        <f>"022869"</f>
        <v>0</v>
      </c>
      <c r="C6278" t="s">
        <v>10036</v>
      </c>
      <c r="D6278" t="s">
        <v>10037</v>
      </c>
      <c r="E6278" t="str">
        <f>"1610600006479"</f>
        <v>0</v>
      </c>
      <c r="F6278" t="str">
        <f>"001150"</f>
        <v>0</v>
      </c>
      <c r="G6278" t="s">
        <v>21</v>
      </c>
    </row>
    <row r="6279" spans="1:7">
      <c r="A6279">
        <v>6278</v>
      </c>
      <c r="B6279" t="str">
        <f>"019524"</f>
        <v>0</v>
      </c>
      <c r="C6279" t="s">
        <v>10038</v>
      </c>
      <c r="D6279" t="s">
        <v>2414</v>
      </c>
      <c r="E6279" t="str">
        <f>"3660700619231"</f>
        <v>0</v>
      </c>
      <c r="F6279" t="str">
        <f>"001150"</f>
        <v>0</v>
      </c>
      <c r="G6279" t="s">
        <v>21</v>
      </c>
    </row>
    <row r="6280" spans="1:7">
      <c r="A6280">
        <v>6279</v>
      </c>
      <c r="B6280" t="str">
        <f>"024247"</f>
        <v>0</v>
      </c>
      <c r="C6280" t="s">
        <v>4707</v>
      </c>
      <c r="D6280" t="s">
        <v>10039</v>
      </c>
      <c r="E6280" t="str">
        <f>"3640400016914"</f>
        <v>0</v>
      </c>
      <c r="F6280" t="str">
        <f>"001150"</f>
        <v>0</v>
      </c>
      <c r="G6280" t="s">
        <v>21</v>
      </c>
    </row>
    <row r="6281" spans="1:7">
      <c r="A6281">
        <v>6280</v>
      </c>
      <c r="B6281" t="str">
        <f>"024961"</f>
        <v>0</v>
      </c>
      <c r="C6281" t="s">
        <v>10040</v>
      </c>
      <c r="D6281" t="s">
        <v>10041</v>
      </c>
      <c r="E6281" t="str">
        <f>"3660800315030"</f>
        <v>0</v>
      </c>
      <c r="F6281" t="str">
        <f>"001150"</f>
        <v>0</v>
      </c>
      <c r="G6281" t="s">
        <v>21</v>
      </c>
    </row>
    <row r="6282" spans="1:7">
      <c r="A6282">
        <v>6281</v>
      </c>
      <c r="B6282" t="str">
        <f>"025787"</f>
        <v>0</v>
      </c>
      <c r="C6282" t="s">
        <v>10042</v>
      </c>
      <c r="D6282" t="s">
        <v>10043</v>
      </c>
      <c r="E6282" t="str">
        <f>"1659900394171"</f>
        <v>0</v>
      </c>
      <c r="F6282" t="str">
        <f>"001150"</f>
        <v>0</v>
      </c>
      <c r="G6282" t="s">
        <v>21</v>
      </c>
    </row>
    <row r="6283" spans="1:7">
      <c r="A6283">
        <v>6282</v>
      </c>
      <c r="B6283" t="str">
        <f>"010626"</f>
        <v>0</v>
      </c>
      <c r="C6283" t="s">
        <v>10044</v>
      </c>
      <c r="D6283" t="s">
        <v>10045</v>
      </c>
      <c r="E6283" t="str">
        <f>"3670600323748"</f>
        <v>0</v>
      </c>
      <c r="F6283" t="str">
        <f>"001150"</f>
        <v>0</v>
      </c>
      <c r="G6283" t="s">
        <v>21</v>
      </c>
    </row>
    <row r="6284" spans="1:7">
      <c r="A6284">
        <v>6283</v>
      </c>
      <c r="B6284" t="str">
        <f>"022552"</f>
        <v>0</v>
      </c>
      <c r="C6284" t="s">
        <v>10046</v>
      </c>
      <c r="D6284" t="s">
        <v>10047</v>
      </c>
      <c r="E6284" t="str">
        <f>"3650500057451"</f>
        <v>0</v>
      </c>
      <c r="F6284" t="str">
        <f>"001150"</f>
        <v>0</v>
      </c>
      <c r="G6284" t="s">
        <v>21</v>
      </c>
    </row>
    <row r="6285" spans="1:7">
      <c r="A6285">
        <v>6284</v>
      </c>
      <c r="B6285" t="str">
        <f>"024760"</f>
        <v>0</v>
      </c>
      <c r="C6285" t="s">
        <v>10048</v>
      </c>
      <c r="D6285" t="s">
        <v>10049</v>
      </c>
      <c r="E6285" t="str">
        <f>"3650700159109"</f>
        <v>0</v>
      </c>
      <c r="F6285" t="str">
        <f>"001150"</f>
        <v>0</v>
      </c>
      <c r="G6285" t="s">
        <v>21</v>
      </c>
    </row>
    <row r="6286" spans="1:7">
      <c r="A6286">
        <v>6285</v>
      </c>
      <c r="B6286" t="str">
        <f>"026165"</f>
        <v>0</v>
      </c>
      <c r="C6286" t="s">
        <v>10050</v>
      </c>
      <c r="D6286" t="s">
        <v>10051</v>
      </c>
      <c r="E6286" t="str">
        <f>"1659900611635"</f>
        <v>0</v>
      </c>
      <c r="F6286" t="str">
        <f>"001150"</f>
        <v>0</v>
      </c>
      <c r="G6286" t="s">
        <v>21</v>
      </c>
    </row>
    <row r="6287" spans="1:7">
      <c r="A6287">
        <v>6286</v>
      </c>
      <c r="B6287" t="str">
        <f>"004791"</f>
        <v>0</v>
      </c>
      <c r="C6287" t="s">
        <v>1978</v>
      </c>
      <c r="D6287" t="s">
        <v>10052</v>
      </c>
      <c r="E6287" t="str">
        <f>"3669800100759"</f>
        <v>0</v>
      </c>
      <c r="F6287" t="str">
        <f>"001150"</f>
        <v>0</v>
      </c>
      <c r="G6287" t="s">
        <v>21</v>
      </c>
    </row>
    <row r="6288" spans="1:7">
      <c r="A6288">
        <v>6287</v>
      </c>
      <c r="B6288" t="str">
        <f>"008843"</f>
        <v>0</v>
      </c>
      <c r="C6288" t="s">
        <v>10053</v>
      </c>
      <c r="D6288" t="s">
        <v>10054</v>
      </c>
      <c r="E6288" t="str">
        <f>"3339900014334"</f>
        <v>0</v>
      </c>
      <c r="F6288" t="str">
        <f>"001150"</f>
        <v>0</v>
      </c>
      <c r="G6288" t="s">
        <v>21</v>
      </c>
    </row>
    <row r="6289" spans="1:7">
      <c r="A6289">
        <v>6288</v>
      </c>
      <c r="B6289" t="str">
        <f>"009947"</f>
        <v>0</v>
      </c>
      <c r="C6289" t="s">
        <v>10055</v>
      </c>
      <c r="D6289" t="s">
        <v>9963</v>
      </c>
      <c r="E6289" t="str">
        <f>"3650500052602"</f>
        <v>0</v>
      </c>
      <c r="F6289" t="str">
        <f>"001150"</f>
        <v>0</v>
      </c>
      <c r="G6289" t="s">
        <v>21</v>
      </c>
    </row>
    <row r="6290" spans="1:7">
      <c r="A6290">
        <v>6289</v>
      </c>
      <c r="B6290" t="str">
        <f>"010842"</f>
        <v>0</v>
      </c>
      <c r="C6290" t="s">
        <v>10056</v>
      </c>
      <c r="D6290" t="s">
        <v>10057</v>
      </c>
      <c r="E6290" t="str">
        <f>"3660500415276"</f>
        <v>0</v>
      </c>
      <c r="F6290" t="str">
        <f>"001150"</f>
        <v>0</v>
      </c>
      <c r="G6290" t="s">
        <v>21</v>
      </c>
    </row>
    <row r="6291" spans="1:7">
      <c r="A6291">
        <v>6290</v>
      </c>
      <c r="B6291" t="str">
        <f>"011096"</f>
        <v>0</v>
      </c>
      <c r="C6291" t="s">
        <v>5287</v>
      </c>
      <c r="D6291" t="s">
        <v>10058</v>
      </c>
      <c r="E6291" t="str">
        <f>"5660500022637"</f>
        <v>0</v>
      </c>
      <c r="F6291" t="str">
        <f>"001150"</f>
        <v>0</v>
      </c>
      <c r="G6291" t="s">
        <v>21</v>
      </c>
    </row>
    <row r="6292" spans="1:7">
      <c r="A6292">
        <v>6291</v>
      </c>
      <c r="B6292" t="str">
        <f>"011115"</f>
        <v>0</v>
      </c>
      <c r="C6292" t="s">
        <v>10059</v>
      </c>
      <c r="D6292" t="s">
        <v>10060</v>
      </c>
      <c r="E6292" t="str">
        <f>"3520100206778"</f>
        <v>0</v>
      </c>
      <c r="F6292" t="str">
        <f>"001150"</f>
        <v>0</v>
      </c>
      <c r="G6292" t="s">
        <v>21</v>
      </c>
    </row>
    <row r="6293" spans="1:7">
      <c r="A6293">
        <v>6292</v>
      </c>
      <c r="B6293" t="str">
        <f>"012699"</f>
        <v>0</v>
      </c>
      <c r="C6293" t="s">
        <v>162</v>
      </c>
      <c r="D6293" t="s">
        <v>10061</v>
      </c>
      <c r="E6293" t="str">
        <f>"3660700089305"</f>
        <v>0</v>
      </c>
      <c r="F6293" t="str">
        <f>"001150"</f>
        <v>0</v>
      </c>
      <c r="G6293" t="s">
        <v>21</v>
      </c>
    </row>
    <row r="6294" spans="1:7">
      <c r="A6294">
        <v>6293</v>
      </c>
      <c r="B6294" t="str">
        <f>"012959"</f>
        <v>0</v>
      </c>
      <c r="C6294" t="s">
        <v>6748</v>
      </c>
      <c r="D6294" t="s">
        <v>10062</v>
      </c>
      <c r="E6294" t="str">
        <f>"3669900026194"</f>
        <v>0</v>
      </c>
      <c r="F6294" t="str">
        <f>"001150"</f>
        <v>0</v>
      </c>
      <c r="G6294" t="s">
        <v>21</v>
      </c>
    </row>
    <row r="6295" spans="1:7">
      <c r="A6295">
        <v>6294</v>
      </c>
      <c r="B6295" t="str">
        <f>"013267"</f>
        <v>0</v>
      </c>
      <c r="C6295" t="s">
        <v>2262</v>
      </c>
      <c r="D6295" t="s">
        <v>10063</v>
      </c>
      <c r="E6295" t="str">
        <f>"3660700572791"</f>
        <v>0</v>
      </c>
      <c r="F6295" t="str">
        <f>"001150"</f>
        <v>0</v>
      </c>
      <c r="G6295" t="s">
        <v>21</v>
      </c>
    </row>
    <row r="6296" spans="1:7">
      <c r="A6296">
        <v>6295</v>
      </c>
      <c r="B6296" t="str">
        <f>"015425"</f>
        <v>0</v>
      </c>
      <c r="C6296" t="s">
        <v>10064</v>
      </c>
      <c r="D6296" t="s">
        <v>10065</v>
      </c>
      <c r="E6296" t="str">
        <f>"3659900188461"</f>
        <v>0</v>
      </c>
      <c r="F6296" t="str">
        <f>"001150"</f>
        <v>0</v>
      </c>
      <c r="G6296" t="s">
        <v>21</v>
      </c>
    </row>
    <row r="6297" spans="1:7">
      <c r="A6297">
        <v>6296</v>
      </c>
      <c r="B6297" t="str">
        <f>"015844"</f>
        <v>0</v>
      </c>
      <c r="C6297" t="s">
        <v>417</v>
      </c>
      <c r="D6297" t="s">
        <v>10066</v>
      </c>
      <c r="E6297" t="str">
        <f>"3669900143891"</f>
        <v>0</v>
      </c>
      <c r="F6297" t="str">
        <f>"001150"</f>
        <v>0</v>
      </c>
      <c r="G6297" t="s">
        <v>21</v>
      </c>
    </row>
    <row r="6298" spans="1:7">
      <c r="A6298">
        <v>6297</v>
      </c>
      <c r="B6298" t="str">
        <f>"016695"</f>
        <v>0</v>
      </c>
      <c r="C6298" t="s">
        <v>10067</v>
      </c>
      <c r="D6298" t="s">
        <v>10068</v>
      </c>
      <c r="E6298" t="str">
        <f>"3660200162828"</f>
        <v>0</v>
      </c>
      <c r="F6298" t="str">
        <f>"001150"</f>
        <v>0</v>
      </c>
      <c r="G6298" t="s">
        <v>21</v>
      </c>
    </row>
    <row r="6299" spans="1:7">
      <c r="A6299">
        <v>6298</v>
      </c>
      <c r="B6299" t="str">
        <f>"016696"</f>
        <v>0</v>
      </c>
      <c r="C6299" t="s">
        <v>3812</v>
      </c>
      <c r="D6299" t="s">
        <v>10069</v>
      </c>
      <c r="E6299" t="str">
        <f>"3660101118146"</f>
        <v>0</v>
      </c>
      <c r="F6299" t="str">
        <f>"001150"</f>
        <v>0</v>
      </c>
      <c r="G6299" t="s">
        <v>21</v>
      </c>
    </row>
    <row r="6300" spans="1:7">
      <c r="A6300">
        <v>6299</v>
      </c>
      <c r="B6300" t="str">
        <f>"016697"</f>
        <v>0</v>
      </c>
      <c r="C6300" t="s">
        <v>10070</v>
      </c>
      <c r="D6300" t="s">
        <v>10071</v>
      </c>
      <c r="E6300" t="str">
        <f>"3600200144935"</f>
        <v>0</v>
      </c>
      <c r="F6300" t="str">
        <f>"001150"</f>
        <v>0</v>
      </c>
      <c r="G6300" t="s">
        <v>21</v>
      </c>
    </row>
    <row r="6301" spans="1:7">
      <c r="A6301">
        <v>6300</v>
      </c>
      <c r="B6301" t="str">
        <f>"017600"</f>
        <v>0</v>
      </c>
      <c r="C6301" t="s">
        <v>10072</v>
      </c>
      <c r="D6301" t="s">
        <v>10073</v>
      </c>
      <c r="E6301" t="str">
        <f>"3660100444864"</f>
        <v>0</v>
      </c>
      <c r="F6301" t="str">
        <f>"001150"</f>
        <v>0</v>
      </c>
      <c r="G6301" t="s">
        <v>21</v>
      </c>
    </row>
    <row r="6302" spans="1:7">
      <c r="A6302">
        <v>6301</v>
      </c>
      <c r="B6302" t="str">
        <f>"018153"</f>
        <v>0</v>
      </c>
      <c r="C6302" t="s">
        <v>1265</v>
      </c>
      <c r="D6302" t="s">
        <v>10074</v>
      </c>
      <c r="E6302" t="str">
        <f>"3660400381108"</f>
        <v>0</v>
      </c>
      <c r="F6302" t="str">
        <f>"001150"</f>
        <v>0</v>
      </c>
      <c r="G6302" t="s">
        <v>21</v>
      </c>
    </row>
    <row r="6303" spans="1:7">
      <c r="A6303">
        <v>6302</v>
      </c>
      <c r="B6303" t="str">
        <f>"018748"</f>
        <v>0</v>
      </c>
      <c r="C6303" t="s">
        <v>789</v>
      </c>
      <c r="D6303" t="s">
        <v>10075</v>
      </c>
      <c r="E6303" t="str">
        <f>"3160100378149"</f>
        <v>0</v>
      </c>
      <c r="F6303" t="str">
        <f>"001150"</f>
        <v>0</v>
      </c>
      <c r="G6303" t="s">
        <v>21</v>
      </c>
    </row>
    <row r="6304" spans="1:7">
      <c r="A6304">
        <v>6303</v>
      </c>
      <c r="B6304" t="str">
        <f>"018875"</f>
        <v>0</v>
      </c>
      <c r="C6304" t="s">
        <v>6305</v>
      </c>
      <c r="D6304" t="s">
        <v>10076</v>
      </c>
      <c r="E6304" t="str">
        <f>"3660100425479"</f>
        <v>0</v>
      </c>
      <c r="F6304" t="str">
        <f>"001150"</f>
        <v>0</v>
      </c>
      <c r="G6304" t="s">
        <v>21</v>
      </c>
    </row>
    <row r="6305" spans="1:7">
      <c r="A6305">
        <v>6304</v>
      </c>
      <c r="B6305" t="str">
        <f>"019078"</f>
        <v>0</v>
      </c>
      <c r="C6305" t="s">
        <v>947</v>
      </c>
      <c r="D6305" t="s">
        <v>10077</v>
      </c>
      <c r="E6305" t="str">
        <f>"3620400077441"</f>
        <v>0</v>
      </c>
      <c r="F6305" t="str">
        <f>"001150"</f>
        <v>0</v>
      </c>
      <c r="G6305" t="s">
        <v>21</v>
      </c>
    </row>
    <row r="6306" spans="1:7">
      <c r="A6306">
        <v>6305</v>
      </c>
      <c r="B6306" t="str">
        <f>"019112"</f>
        <v>0</v>
      </c>
      <c r="C6306" t="s">
        <v>10078</v>
      </c>
      <c r="D6306" t="s">
        <v>10079</v>
      </c>
      <c r="E6306" t="str">
        <f>"3660300160070"</f>
        <v>0</v>
      </c>
      <c r="F6306" t="str">
        <f>"001150"</f>
        <v>0</v>
      </c>
      <c r="G6306" t="s">
        <v>21</v>
      </c>
    </row>
    <row r="6307" spans="1:7">
      <c r="A6307">
        <v>6306</v>
      </c>
      <c r="B6307" t="str">
        <f>"019152"</f>
        <v>0</v>
      </c>
      <c r="C6307" t="s">
        <v>372</v>
      </c>
      <c r="D6307" t="s">
        <v>10080</v>
      </c>
      <c r="E6307" t="str">
        <f>"3620200376097"</f>
        <v>0</v>
      </c>
      <c r="F6307" t="str">
        <f>"001150"</f>
        <v>0</v>
      </c>
      <c r="G6307" t="s">
        <v>21</v>
      </c>
    </row>
    <row r="6308" spans="1:7">
      <c r="A6308">
        <v>6307</v>
      </c>
      <c r="B6308" t="str">
        <f>"019422"</f>
        <v>0</v>
      </c>
      <c r="C6308" t="s">
        <v>10081</v>
      </c>
      <c r="D6308" t="s">
        <v>10082</v>
      </c>
      <c r="E6308" t="str">
        <f>"3660100221989"</f>
        <v>0</v>
      </c>
      <c r="F6308" t="str">
        <f>"001150"</f>
        <v>0</v>
      </c>
      <c r="G6308" t="s">
        <v>21</v>
      </c>
    </row>
    <row r="6309" spans="1:7">
      <c r="A6309">
        <v>6308</v>
      </c>
      <c r="B6309" t="str">
        <f>"020044"</f>
        <v>0</v>
      </c>
      <c r="C6309" t="s">
        <v>10083</v>
      </c>
      <c r="D6309" t="s">
        <v>10084</v>
      </c>
      <c r="E6309" t="str">
        <f>"3660400253053"</f>
        <v>0</v>
      </c>
      <c r="F6309" t="str">
        <f>"001150"</f>
        <v>0</v>
      </c>
      <c r="G6309" t="s">
        <v>21</v>
      </c>
    </row>
    <row r="6310" spans="1:7">
      <c r="A6310">
        <v>6309</v>
      </c>
      <c r="B6310" t="str">
        <f>"020396"</f>
        <v>0</v>
      </c>
      <c r="C6310" t="s">
        <v>10085</v>
      </c>
      <c r="D6310" t="s">
        <v>10086</v>
      </c>
      <c r="E6310" t="str">
        <f>"3101701341968"</f>
        <v>0</v>
      </c>
      <c r="F6310" t="str">
        <f>"001150"</f>
        <v>0</v>
      </c>
      <c r="G6310" t="s">
        <v>21</v>
      </c>
    </row>
    <row r="6311" spans="1:7">
      <c r="A6311">
        <v>6310</v>
      </c>
      <c r="B6311" t="str">
        <f>"020420"</f>
        <v>0</v>
      </c>
      <c r="C6311" t="s">
        <v>5403</v>
      </c>
      <c r="D6311" t="s">
        <v>10087</v>
      </c>
      <c r="E6311" t="str">
        <f>"3660700061991"</f>
        <v>0</v>
      </c>
      <c r="F6311" t="str">
        <f>"001150"</f>
        <v>0</v>
      </c>
      <c r="G6311" t="s">
        <v>21</v>
      </c>
    </row>
    <row r="6312" spans="1:7">
      <c r="A6312">
        <v>6311</v>
      </c>
      <c r="B6312" t="str">
        <f>"020890"</f>
        <v>0</v>
      </c>
      <c r="C6312" t="s">
        <v>4568</v>
      </c>
      <c r="D6312" t="s">
        <v>10088</v>
      </c>
      <c r="E6312" t="str">
        <f>"3660300181093"</f>
        <v>0</v>
      </c>
      <c r="F6312" t="str">
        <f>"001150"</f>
        <v>0</v>
      </c>
      <c r="G6312" t="s">
        <v>21</v>
      </c>
    </row>
    <row r="6313" spans="1:7">
      <c r="A6313">
        <v>6312</v>
      </c>
      <c r="B6313" t="str">
        <f>"021065"</f>
        <v>0</v>
      </c>
      <c r="C6313" t="s">
        <v>10089</v>
      </c>
      <c r="D6313" t="s">
        <v>10090</v>
      </c>
      <c r="E6313" t="str">
        <f>"3660300364708"</f>
        <v>0</v>
      </c>
      <c r="F6313" t="str">
        <f>"001150"</f>
        <v>0</v>
      </c>
      <c r="G6313" t="s">
        <v>21</v>
      </c>
    </row>
    <row r="6314" spans="1:7">
      <c r="A6314">
        <v>6313</v>
      </c>
      <c r="B6314" t="str">
        <f>"021112"</f>
        <v>0</v>
      </c>
      <c r="C6314" t="s">
        <v>10091</v>
      </c>
      <c r="D6314" t="s">
        <v>10092</v>
      </c>
      <c r="E6314" t="str">
        <f>"3660100488276"</f>
        <v>0</v>
      </c>
      <c r="F6314" t="str">
        <f>"001150"</f>
        <v>0</v>
      </c>
      <c r="G6314" t="s">
        <v>21</v>
      </c>
    </row>
    <row r="6315" spans="1:7">
      <c r="A6315">
        <v>6314</v>
      </c>
      <c r="B6315" t="str">
        <f>"021286"</f>
        <v>0</v>
      </c>
      <c r="C6315" t="s">
        <v>10093</v>
      </c>
      <c r="D6315" t="s">
        <v>10094</v>
      </c>
      <c r="E6315" t="str">
        <f>"3660500392888"</f>
        <v>0</v>
      </c>
      <c r="F6315" t="str">
        <f>"001150"</f>
        <v>0</v>
      </c>
      <c r="G6315" t="s">
        <v>21</v>
      </c>
    </row>
    <row r="6316" spans="1:7">
      <c r="A6316">
        <v>6315</v>
      </c>
      <c r="B6316" t="str">
        <f>"021439"</f>
        <v>0</v>
      </c>
      <c r="C6316" t="s">
        <v>10095</v>
      </c>
      <c r="D6316" t="s">
        <v>10096</v>
      </c>
      <c r="E6316" t="str">
        <f>"1669900021498"</f>
        <v>0</v>
      </c>
      <c r="F6316" t="str">
        <f>"001150"</f>
        <v>0</v>
      </c>
      <c r="G6316" t="s">
        <v>21</v>
      </c>
    </row>
    <row r="6317" spans="1:7">
      <c r="A6317">
        <v>6316</v>
      </c>
      <c r="B6317" t="str">
        <f>"021663"</f>
        <v>0</v>
      </c>
      <c r="C6317" t="s">
        <v>10097</v>
      </c>
      <c r="D6317" t="s">
        <v>10098</v>
      </c>
      <c r="E6317" t="str">
        <f>"3102002115455"</f>
        <v>0</v>
      </c>
      <c r="F6317" t="str">
        <f>"001150"</f>
        <v>0</v>
      </c>
      <c r="G6317" t="s">
        <v>21</v>
      </c>
    </row>
    <row r="6318" spans="1:7">
      <c r="A6318">
        <v>6317</v>
      </c>
      <c r="B6318" t="str">
        <f>"022000"</f>
        <v>0</v>
      </c>
      <c r="C6318" t="s">
        <v>10099</v>
      </c>
      <c r="D6318" t="s">
        <v>10100</v>
      </c>
      <c r="E6318" t="str">
        <f>"3669700004120"</f>
        <v>0</v>
      </c>
      <c r="F6318" t="str">
        <f>"001150"</f>
        <v>0</v>
      </c>
      <c r="G6318" t="s">
        <v>21</v>
      </c>
    </row>
    <row r="6319" spans="1:7">
      <c r="A6319">
        <v>6318</v>
      </c>
      <c r="B6319" t="str">
        <f>"022174"</f>
        <v>0</v>
      </c>
      <c r="C6319" t="s">
        <v>10101</v>
      </c>
      <c r="D6319" t="s">
        <v>10102</v>
      </c>
      <c r="E6319" t="str">
        <f>"3660100488284"</f>
        <v>0</v>
      </c>
      <c r="F6319" t="str">
        <f>"001150"</f>
        <v>0</v>
      </c>
      <c r="G6319" t="s">
        <v>21</v>
      </c>
    </row>
    <row r="6320" spans="1:7">
      <c r="A6320">
        <v>6319</v>
      </c>
      <c r="B6320" t="str">
        <f>"022175"</f>
        <v>0</v>
      </c>
      <c r="C6320" t="s">
        <v>10103</v>
      </c>
      <c r="D6320" t="s">
        <v>10104</v>
      </c>
      <c r="E6320" t="str">
        <f>"1660800008483"</f>
        <v>0</v>
      </c>
      <c r="F6320" t="str">
        <f>"001150"</f>
        <v>0</v>
      </c>
      <c r="G6320" t="s">
        <v>21</v>
      </c>
    </row>
    <row r="6321" spans="1:7">
      <c r="A6321">
        <v>6320</v>
      </c>
      <c r="B6321" t="str">
        <f>"022176"</f>
        <v>0</v>
      </c>
      <c r="C6321" t="s">
        <v>10105</v>
      </c>
      <c r="D6321" t="s">
        <v>10106</v>
      </c>
      <c r="E6321" t="str">
        <f>"3660400616687"</f>
        <v>0</v>
      </c>
      <c r="F6321" t="str">
        <f>"001150"</f>
        <v>0</v>
      </c>
      <c r="G6321" t="s">
        <v>21</v>
      </c>
    </row>
    <row r="6322" spans="1:7">
      <c r="A6322">
        <v>6321</v>
      </c>
      <c r="B6322" t="str">
        <f>"022409"</f>
        <v>0</v>
      </c>
      <c r="C6322" t="s">
        <v>10107</v>
      </c>
      <c r="D6322" t="s">
        <v>10108</v>
      </c>
      <c r="E6322" t="str">
        <f>"3669900053957"</f>
        <v>0</v>
      </c>
      <c r="F6322" t="str">
        <f>"001150"</f>
        <v>0</v>
      </c>
      <c r="G6322" t="s">
        <v>21</v>
      </c>
    </row>
    <row r="6323" spans="1:7">
      <c r="A6323">
        <v>6322</v>
      </c>
      <c r="B6323" t="str">
        <f>"022556"</f>
        <v>0</v>
      </c>
      <c r="C6323" t="s">
        <v>5794</v>
      </c>
      <c r="D6323" t="s">
        <v>10109</v>
      </c>
      <c r="E6323" t="str">
        <f>"1660300001102"</f>
        <v>0</v>
      </c>
      <c r="F6323" t="str">
        <f>"001150"</f>
        <v>0</v>
      </c>
      <c r="G6323" t="s">
        <v>21</v>
      </c>
    </row>
    <row r="6324" spans="1:7">
      <c r="A6324">
        <v>6323</v>
      </c>
      <c r="B6324" t="str">
        <f>"022839"</f>
        <v>0</v>
      </c>
      <c r="C6324" t="s">
        <v>10110</v>
      </c>
      <c r="D6324" t="s">
        <v>10111</v>
      </c>
      <c r="E6324" t="str">
        <f>"1669900017431"</f>
        <v>0</v>
      </c>
      <c r="F6324" t="str">
        <f>"001150"</f>
        <v>0</v>
      </c>
      <c r="G6324" t="s">
        <v>21</v>
      </c>
    </row>
    <row r="6325" spans="1:7">
      <c r="A6325">
        <v>6324</v>
      </c>
      <c r="B6325" t="str">
        <f>"023562"</f>
        <v>0</v>
      </c>
      <c r="C6325" t="s">
        <v>10112</v>
      </c>
      <c r="D6325" t="s">
        <v>10113</v>
      </c>
      <c r="E6325" t="str">
        <f>"5660490002981"</f>
        <v>0</v>
      </c>
      <c r="F6325" t="str">
        <f>"001150"</f>
        <v>0</v>
      </c>
      <c r="G6325" t="s">
        <v>21</v>
      </c>
    </row>
    <row r="6326" spans="1:7">
      <c r="A6326">
        <v>6325</v>
      </c>
      <c r="B6326" t="str">
        <f>"024065"</f>
        <v>0</v>
      </c>
      <c r="C6326" t="s">
        <v>10114</v>
      </c>
      <c r="D6326" t="s">
        <v>10115</v>
      </c>
      <c r="E6326" t="str">
        <f>"1669900103257"</f>
        <v>0</v>
      </c>
      <c r="F6326" t="str">
        <f>"001150"</f>
        <v>0</v>
      </c>
      <c r="G6326" t="s">
        <v>21</v>
      </c>
    </row>
    <row r="6327" spans="1:7">
      <c r="A6327">
        <v>6326</v>
      </c>
      <c r="B6327" t="str">
        <f>"024571"</f>
        <v>0</v>
      </c>
      <c r="C6327" t="s">
        <v>10116</v>
      </c>
      <c r="D6327" t="s">
        <v>10117</v>
      </c>
      <c r="E6327" t="str">
        <f>"3669800003729"</f>
        <v>0</v>
      </c>
      <c r="F6327" t="str">
        <f>"001150"</f>
        <v>0</v>
      </c>
      <c r="G6327" t="s">
        <v>21</v>
      </c>
    </row>
    <row r="6328" spans="1:7">
      <c r="A6328">
        <v>6327</v>
      </c>
      <c r="B6328" t="str">
        <f>"024618"</f>
        <v>0</v>
      </c>
      <c r="C6328" t="s">
        <v>10118</v>
      </c>
      <c r="D6328" t="s">
        <v>10119</v>
      </c>
      <c r="E6328" t="str">
        <f>"3669900121324"</f>
        <v>0</v>
      </c>
      <c r="F6328" t="str">
        <f>"001150"</f>
        <v>0</v>
      </c>
      <c r="G6328" t="s">
        <v>21</v>
      </c>
    </row>
    <row r="6329" spans="1:7">
      <c r="A6329">
        <v>6328</v>
      </c>
      <c r="B6329" t="str">
        <f>"025045"</f>
        <v>0</v>
      </c>
      <c r="C6329" t="s">
        <v>10120</v>
      </c>
      <c r="D6329" t="s">
        <v>394</v>
      </c>
      <c r="E6329" t="str">
        <f>"3120600492072"</f>
        <v>0</v>
      </c>
      <c r="F6329" t="str">
        <f>"001150"</f>
        <v>0</v>
      </c>
      <c r="G6329" t="s">
        <v>21</v>
      </c>
    </row>
    <row r="6330" spans="1:7">
      <c r="A6330">
        <v>6329</v>
      </c>
      <c r="B6330" t="str">
        <f>"025294"</f>
        <v>0</v>
      </c>
      <c r="C6330" t="s">
        <v>10121</v>
      </c>
      <c r="D6330" t="s">
        <v>10122</v>
      </c>
      <c r="E6330" t="str">
        <f>"1669900008912"</f>
        <v>0</v>
      </c>
      <c r="F6330" t="str">
        <f>"001150"</f>
        <v>0</v>
      </c>
      <c r="G6330" t="s">
        <v>21</v>
      </c>
    </row>
    <row r="6331" spans="1:7">
      <c r="A6331">
        <v>6330</v>
      </c>
      <c r="B6331" t="str">
        <f>"025623"</f>
        <v>0</v>
      </c>
      <c r="C6331" t="s">
        <v>10123</v>
      </c>
      <c r="D6331" t="s">
        <v>10124</v>
      </c>
      <c r="E6331" t="str">
        <f>"1630300003067"</f>
        <v>0</v>
      </c>
      <c r="F6331" t="str">
        <f>"001150"</f>
        <v>0</v>
      </c>
      <c r="G6331" t="s">
        <v>21</v>
      </c>
    </row>
    <row r="6332" spans="1:7">
      <c r="A6332">
        <v>6331</v>
      </c>
      <c r="B6332" t="str">
        <f>"026642"</f>
        <v>0</v>
      </c>
      <c r="C6332" t="s">
        <v>10125</v>
      </c>
      <c r="D6332" t="s">
        <v>10126</v>
      </c>
      <c r="E6332" t="str">
        <f>"1669900194384"</f>
        <v>0</v>
      </c>
      <c r="F6332" t="str">
        <f>"001150"</f>
        <v>0</v>
      </c>
      <c r="G6332" t="s">
        <v>21</v>
      </c>
    </row>
    <row r="6333" spans="1:7">
      <c r="A6333">
        <v>6332</v>
      </c>
      <c r="B6333" t="str">
        <f>"027156"</f>
        <v>0</v>
      </c>
      <c r="C6333" t="s">
        <v>10127</v>
      </c>
      <c r="D6333" t="s">
        <v>10128</v>
      </c>
      <c r="E6333" t="str">
        <f>"1640700057938"</f>
        <v>0</v>
      </c>
      <c r="F6333" t="str">
        <f>"001150"</f>
        <v>0</v>
      </c>
      <c r="G6333" t="s">
        <v>21</v>
      </c>
    </row>
    <row r="6334" spans="1:7">
      <c r="A6334">
        <v>6333</v>
      </c>
      <c r="B6334" t="str">
        <f>"027157"</f>
        <v>0</v>
      </c>
      <c r="C6334" t="s">
        <v>10129</v>
      </c>
      <c r="D6334" t="s">
        <v>10130</v>
      </c>
      <c r="E6334" t="str">
        <f>"1660200048875"</f>
        <v>0</v>
      </c>
      <c r="F6334" t="str">
        <f>"001150"</f>
        <v>0</v>
      </c>
      <c r="G6334" t="s">
        <v>21</v>
      </c>
    </row>
    <row r="6335" spans="1:7">
      <c r="A6335">
        <v>6334</v>
      </c>
      <c r="B6335" t="str">
        <f>"027383"</f>
        <v>0</v>
      </c>
      <c r="C6335" t="s">
        <v>10131</v>
      </c>
      <c r="D6335" t="s">
        <v>10132</v>
      </c>
      <c r="E6335" t="str">
        <f>"1669900107317"</f>
        <v>0</v>
      </c>
      <c r="F6335" t="str">
        <f>"001150"</f>
        <v>0</v>
      </c>
      <c r="G6335" t="s">
        <v>21</v>
      </c>
    </row>
    <row r="6336" spans="1:7">
      <c r="A6336">
        <v>6335</v>
      </c>
      <c r="B6336" t="str">
        <f>"027154"</f>
        <v>0</v>
      </c>
      <c r="C6336" t="s">
        <v>1216</v>
      </c>
      <c r="D6336" t="s">
        <v>10133</v>
      </c>
      <c r="E6336" t="str">
        <f>"1709800074203"</f>
        <v>0</v>
      </c>
      <c r="F6336" t="str">
        <f>"001150"</f>
        <v>0</v>
      </c>
      <c r="G6336" t="s">
        <v>21</v>
      </c>
    </row>
    <row r="6337" spans="1:7">
      <c r="A6337">
        <v>6336</v>
      </c>
      <c r="B6337" t="str">
        <f>"026747"</f>
        <v>0</v>
      </c>
      <c r="C6337" t="s">
        <v>10134</v>
      </c>
      <c r="D6337" t="s">
        <v>10135</v>
      </c>
      <c r="E6337" t="str">
        <f>"1739990024008"</f>
        <v>0</v>
      </c>
      <c r="F6337" t="str">
        <f>"001150"</f>
        <v>0</v>
      </c>
      <c r="G6337" t="s">
        <v>21</v>
      </c>
    </row>
    <row r="6338" spans="1:7">
      <c r="A6338">
        <v>6337</v>
      </c>
      <c r="B6338" t="str">
        <f>"000823"</f>
        <v>0</v>
      </c>
      <c r="C6338" t="s">
        <v>10136</v>
      </c>
      <c r="D6338" t="s">
        <v>10137</v>
      </c>
      <c r="E6338" t="str">
        <f>"3660300409531"</f>
        <v>0</v>
      </c>
      <c r="F6338" t="str">
        <f>"001160"</f>
        <v>0</v>
      </c>
      <c r="G6338" t="s">
        <v>21</v>
      </c>
    </row>
    <row r="6339" spans="1:7">
      <c r="A6339">
        <v>6338</v>
      </c>
      <c r="B6339" t="str">
        <f>"001578"</f>
        <v>0</v>
      </c>
      <c r="C6339" t="s">
        <v>4781</v>
      </c>
      <c r="D6339" t="s">
        <v>4870</v>
      </c>
      <c r="E6339" t="str">
        <f>"3149900076145"</f>
        <v>0</v>
      </c>
      <c r="F6339" t="str">
        <f>"001160"</f>
        <v>0</v>
      </c>
      <c r="G6339" t="s">
        <v>21</v>
      </c>
    </row>
    <row r="6340" spans="1:7">
      <c r="A6340">
        <v>6339</v>
      </c>
      <c r="B6340" t="str">
        <f>"001961"</f>
        <v>0</v>
      </c>
      <c r="C6340" t="s">
        <v>154</v>
      </c>
      <c r="D6340" t="s">
        <v>10138</v>
      </c>
      <c r="E6340" t="str">
        <f>"3660200036750"</f>
        <v>0</v>
      </c>
      <c r="F6340" t="str">
        <f>"001160"</f>
        <v>0</v>
      </c>
      <c r="G6340" t="s">
        <v>21</v>
      </c>
    </row>
    <row r="6341" spans="1:7">
      <c r="A6341">
        <v>6340</v>
      </c>
      <c r="B6341" t="str">
        <f>"002153"</f>
        <v>0</v>
      </c>
      <c r="C6341" t="s">
        <v>10139</v>
      </c>
      <c r="D6341" t="s">
        <v>10140</v>
      </c>
      <c r="E6341" t="str">
        <f>"3640600009717"</f>
        <v>0</v>
      </c>
      <c r="F6341" t="str">
        <f>"001160"</f>
        <v>0</v>
      </c>
      <c r="G6341" t="s">
        <v>21</v>
      </c>
    </row>
    <row r="6342" spans="1:7">
      <c r="A6342">
        <v>6341</v>
      </c>
      <c r="B6342" t="str">
        <f>"002248"</f>
        <v>0</v>
      </c>
      <c r="C6342" t="s">
        <v>7231</v>
      </c>
      <c r="D6342" t="s">
        <v>10141</v>
      </c>
      <c r="E6342" t="str">
        <f>"3650500025036"</f>
        <v>0</v>
      </c>
      <c r="F6342" t="str">
        <f>"001160"</f>
        <v>0</v>
      </c>
      <c r="G6342" t="s">
        <v>21</v>
      </c>
    </row>
    <row r="6343" spans="1:7">
      <c r="A6343">
        <v>6342</v>
      </c>
      <c r="B6343" t="str">
        <f>"002773"</f>
        <v>0</v>
      </c>
      <c r="C6343" t="s">
        <v>10142</v>
      </c>
      <c r="D6343" t="s">
        <v>10143</v>
      </c>
      <c r="E6343" t="str">
        <f>"3659900742116"</f>
        <v>0</v>
      </c>
      <c r="F6343" t="str">
        <f>"001160"</f>
        <v>0</v>
      </c>
      <c r="G6343" t="s">
        <v>21</v>
      </c>
    </row>
    <row r="6344" spans="1:7">
      <c r="A6344">
        <v>6343</v>
      </c>
      <c r="B6344" t="str">
        <f>"003768"</f>
        <v>0</v>
      </c>
      <c r="C6344" t="s">
        <v>3082</v>
      </c>
      <c r="D6344" t="s">
        <v>10144</v>
      </c>
      <c r="E6344" t="str">
        <f>"3650100406369"</f>
        <v>0</v>
      </c>
      <c r="F6344" t="str">
        <f>"001160"</f>
        <v>0</v>
      </c>
      <c r="G6344" t="s">
        <v>21</v>
      </c>
    </row>
    <row r="6345" spans="1:7">
      <c r="A6345">
        <v>6344</v>
      </c>
      <c r="B6345" t="str">
        <f>"004577"</f>
        <v>0</v>
      </c>
      <c r="C6345" t="s">
        <v>10145</v>
      </c>
      <c r="D6345" t="s">
        <v>10140</v>
      </c>
      <c r="E6345" t="str">
        <f>"3640600009725"</f>
        <v>0</v>
      </c>
      <c r="F6345" t="str">
        <f>"001160"</f>
        <v>0</v>
      </c>
      <c r="G6345" t="s">
        <v>21</v>
      </c>
    </row>
    <row r="6346" spans="1:7">
      <c r="A6346">
        <v>6345</v>
      </c>
      <c r="B6346" t="str">
        <f>"004675"</f>
        <v>0</v>
      </c>
      <c r="C6346" t="s">
        <v>4602</v>
      </c>
      <c r="D6346" t="s">
        <v>10146</v>
      </c>
      <c r="E6346" t="str">
        <f>"3650100169391"</f>
        <v>0</v>
      </c>
      <c r="F6346" t="str">
        <f>"001160"</f>
        <v>0</v>
      </c>
      <c r="G6346" t="s">
        <v>21</v>
      </c>
    </row>
    <row r="6347" spans="1:7">
      <c r="A6347">
        <v>6346</v>
      </c>
      <c r="B6347" t="str">
        <f>"005137"</f>
        <v>0</v>
      </c>
      <c r="C6347" t="s">
        <v>7546</v>
      </c>
      <c r="D6347" t="s">
        <v>10147</v>
      </c>
      <c r="E6347" t="str">
        <f>"3660700033555"</f>
        <v>0</v>
      </c>
      <c r="F6347" t="str">
        <f>"001160"</f>
        <v>0</v>
      </c>
      <c r="G6347" t="s">
        <v>21</v>
      </c>
    </row>
    <row r="6348" spans="1:7">
      <c r="A6348">
        <v>6347</v>
      </c>
      <c r="B6348" t="str">
        <f>"005312"</f>
        <v>0</v>
      </c>
      <c r="C6348" t="s">
        <v>7593</v>
      </c>
      <c r="D6348" t="s">
        <v>10148</v>
      </c>
      <c r="E6348" t="str">
        <f>"3659900211838"</f>
        <v>0</v>
      </c>
      <c r="F6348" t="str">
        <f>"001160"</f>
        <v>0</v>
      </c>
      <c r="G6348" t="s">
        <v>21</v>
      </c>
    </row>
    <row r="6349" spans="1:7">
      <c r="A6349">
        <v>6348</v>
      </c>
      <c r="B6349" t="str">
        <f>"005428"</f>
        <v>0</v>
      </c>
      <c r="C6349" t="s">
        <v>5247</v>
      </c>
      <c r="D6349" t="s">
        <v>10149</v>
      </c>
      <c r="E6349" t="str">
        <f>"3650200391592"</f>
        <v>0</v>
      </c>
      <c r="F6349" t="str">
        <f>"001160"</f>
        <v>0</v>
      </c>
      <c r="G6349" t="s">
        <v>21</v>
      </c>
    </row>
    <row r="6350" spans="1:7">
      <c r="A6350">
        <v>6349</v>
      </c>
      <c r="B6350" t="str">
        <f>"005431"</f>
        <v>0</v>
      </c>
      <c r="C6350" t="s">
        <v>3812</v>
      </c>
      <c r="D6350" t="s">
        <v>10150</v>
      </c>
      <c r="E6350" t="str">
        <f>"3650200621270"</f>
        <v>0</v>
      </c>
      <c r="F6350" t="str">
        <f>"001160"</f>
        <v>0</v>
      </c>
      <c r="G6350" t="s">
        <v>21</v>
      </c>
    </row>
    <row r="6351" spans="1:7">
      <c r="A6351">
        <v>6350</v>
      </c>
      <c r="B6351" t="str">
        <f>"005437"</f>
        <v>0</v>
      </c>
      <c r="C6351" t="s">
        <v>4822</v>
      </c>
      <c r="D6351" t="s">
        <v>10151</v>
      </c>
      <c r="E6351" t="str">
        <f>"3659900605208"</f>
        <v>0</v>
      </c>
      <c r="F6351" t="str">
        <f>"001160"</f>
        <v>0</v>
      </c>
      <c r="G6351" t="s">
        <v>21</v>
      </c>
    </row>
    <row r="6352" spans="1:7">
      <c r="A6352">
        <v>6351</v>
      </c>
      <c r="B6352" t="str">
        <f>"005438"</f>
        <v>0</v>
      </c>
      <c r="C6352" t="s">
        <v>4271</v>
      </c>
      <c r="D6352" t="s">
        <v>10143</v>
      </c>
      <c r="E6352" t="str">
        <f>"5659990014961"</f>
        <v>0</v>
      </c>
      <c r="F6352" t="str">
        <f>"001160"</f>
        <v>0</v>
      </c>
      <c r="G6352" t="s">
        <v>21</v>
      </c>
    </row>
    <row r="6353" spans="1:7">
      <c r="A6353">
        <v>6352</v>
      </c>
      <c r="B6353" t="str">
        <f>"005868"</f>
        <v>0</v>
      </c>
      <c r="C6353" t="s">
        <v>482</v>
      </c>
      <c r="D6353" t="s">
        <v>10152</v>
      </c>
      <c r="E6353" t="str">
        <f>"3650400019352"</f>
        <v>0</v>
      </c>
      <c r="F6353" t="str">
        <f>"001160"</f>
        <v>0</v>
      </c>
      <c r="G6353" t="s">
        <v>21</v>
      </c>
    </row>
    <row r="6354" spans="1:7">
      <c r="A6354">
        <v>6353</v>
      </c>
      <c r="B6354" t="str">
        <f>"005872"</f>
        <v>0</v>
      </c>
      <c r="C6354" t="s">
        <v>3765</v>
      </c>
      <c r="D6354" t="s">
        <v>10153</v>
      </c>
      <c r="E6354" t="str">
        <f>"3650400019361"</f>
        <v>0</v>
      </c>
      <c r="F6354" t="str">
        <f>"001160"</f>
        <v>0</v>
      </c>
      <c r="G6354" t="s">
        <v>21</v>
      </c>
    </row>
    <row r="6355" spans="1:7">
      <c r="A6355">
        <v>6354</v>
      </c>
      <c r="B6355" t="str">
        <f>"005914"</f>
        <v>0</v>
      </c>
      <c r="C6355" t="s">
        <v>7575</v>
      </c>
      <c r="D6355" t="s">
        <v>10154</v>
      </c>
      <c r="E6355" t="str">
        <f>"3650100158128"</f>
        <v>0</v>
      </c>
      <c r="F6355" t="str">
        <f>"001160"</f>
        <v>0</v>
      </c>
      <c r="G6355" t="s">
        <v>21</v>
      </c>
    </row>
    <row r="6356" spans="1:7">
      <c r="A6356">
        <v>6355</v>
      </c>
      <c r="B6356" t="str">
        <f>"005945"</f>
        <v>0</v>
      </c>
      <c r="C6356" t="s">
        <v>4305</v>
      </c>
      <c r="D6356" t="s">
        <v>10155</v>
      </c>
      <c r="E6356" t="str">
        <f>"3659900294784"</f>
        <v>0</v>
      </c>
      <c r="F6356" t="str">
        <f>"001160"</f>
        <v>0</v>
      </c>
      <c r="G6356" t="s">
        <v>21</v>
      </c>
    </row>
    <row r="6357" spans="1:7">
      <c r="A6357">
        <v>6356</v>
      </c>
      <c r="B6357" t="str">
        <f>"006170"</f>
        <v>0</v>
      </c>
      <c r="C6357" t="s">
        <v>10156</v>
      </c>
      <c r="D6357" t="s">
        <v>10157</v>
      </c>
      <c r="E6357" t="str">
        <f>"3650800021320"</f>
        <v>0</v>
      </c>
      <c r="F6357" t="str">
        <f>"001160"</f>
        <v>0</v>
      </c>
      <c r="G6357" t="s">
        <v>21</v>
      </c>
    </row>
    <row r="6358" spans="1:7">
      <c r="A6358">
        <v>6357</v>
      </c>
      <c r="B6358" t="str">
        <f>"006350"</f>
        <v>0</v>
      </c>
      <c r="C6358" t="s">
        <v>10158</v>
      </c>
      <c r="D6358" t="s">
        <v>10159</v>
      </c>
      <c r="E6358" t="str">
        <f>"3650800830643"</f>
        <v>0</v>
      </c>
      <c r="F6358" t="str">
        <f>"001160"</f>
        <v>0</v>
      </c>
      <c r="G6358" t="s">
        <v>21</v>
      </c>
    </row>
    <row r="6359" spans="1:7">
      <c r="A6359">
        <v>6358</v>
      </c>
      <c r="B6359" t="str">
        <f>"006365"</f>
        <v>0</v>
      </c>
      <c r="C6359" t="s">
        <v>10160</v>
      </c>
      <c r="D6359" t="s">
        <v>8033</v>
      </c>
      <c r="E6359" t="str">
        <f>"3659900558714"</f>
        <v>0</v>
      </c>
      <c r="F6359" t="str">
        <f>"001160"</f>
        <v>0</v>
      </c>
      <c r="G6359" t="s">
        <v>21</v>
      </c>
    </row>
    <row r="6360" spans="1:7">
      <c r="A6360">
        <v>6359</v>
      </c>
      <c r="B6360" t="str">
        <f>"006804"</f>
        <v>0</v>
      </c>
      <c r="C6360" t="s">
        <v>160</v>
      </c>
      <c r="D6360" t="s">
        <v>10161</v>
      </c>
      <c r="E6360" t="str">
        <f>"3650101197135"</f>
        <v>0</v>
      </c>
      <c r="F6360" t="str">
        <f>"001160"</f>
        <v>0</v>
      </c>
      <c r="G6360" t="s">
        <v>21</v>
      </c>
    </row>
    <row r="6361" spans="1:7">
      <c r="A6361">
        <v>6360</v>
      </c>
      <c r="B6361" t="str">
        <f>"006850"</f>
        <v>0</v>
      </c>
      <c r="C6361" t="s">
        <v>4341</v>
      </c>
      <c r="D6361" t="s">
        <v>10162</v>
      </c>
      <c r="E6361" t="str">
        <f>"3650100380131"</f>
        <v>0</v>
      </c>
      <c r="F6361" t="str">
        <f>"001160"</f>
        <v>0</v>
      </c>
      <c r="G6361" t="s">
        <v>21</v>
      </c>
    </row>
    <row r="6362" spans="1:7">
      <c r="A6362">
        <v>6361</v>
      </c>
      <c r="B6362" t="str">
        <f>"007559"</f>
        <v>0</v>
      </c>
      <c r="C6362" t="s">
        <v>3373</v>
      </c>
      <c r="D6362" t="s">
        <v>1656</v>
      </c>
      <c r="E6362" t="str">
        <f>"3550100774733"</f>
        <v>0</v>
      </c>
      <c r="F6362" t="str">
        <f>"001160"</f>
        <v>0</v>
      </c>
      <c r="G6362" t="s">
        <v>21</v>
      </c>
    </row>
    <row r="6363" spans="1:7">
      <c r="A6363">
        <v>6362</v>
      </c>
      <c r="B6363" t="str">
        <f>"007589"</f>
        <v>0</v>
      </c>
      <c r="C6363" t="s">
        <v>10163</v>
      </c>
      <c r="D6363" t="s">
        <v>10164</v>
      </c>
      <c r="E6363" t="str">
        <f>"3659900605224"</f>
        <v>0</v>
      </c>
      <c r="F6363" t="str">
        <f>"001160"</f>
        <v>0</v>
      </c>
      <c r="G6363" t="s">
        <v>21</v>
      </c>
    </row>
    <row r="6364" spans="1:7">
      <c r="A6364">
        <v>6363</v>
      </c>
      <c r="B6364" t="str">
        <f>"007590"</f>
        <v>0</v>
      </c>
      <c r="C6364" t="s">
        <v>10165</v>
      </c>
      <c r="D6364" t="s">
        <v>10166</v>
      </c>
      <c r="E6364" t="str">
        <f>"5660300002187"</f>
        <v>0</v>
      </c>
      <c r="F6364" t="str">
        <f>"001160"</f>
        <v>0</v>
      </c>
      <c r="G6364" t="s">
        <v>21</v>
      </c>
    </row>
    <row r="6365" spans="1:7">
      <c r="A6365">
        <v>6364</v>
      </c>
      <c r="B6365" t="str">
        <f>"008609"</f>
        <v>0</v>
      </c>
      <c r="C6365" t="s">
        <v>2078</v>
      </c>
      <c r="D6365" t="s">
        <v>10167</v>
      </c>
      <c r="E6365" t="str">
        <f>"5650800005029"</f>
        <v>0</v>
      </c>
      <c r="F6365" t="str">
        <f>"001160"</f>
        <v>0</v>
      </c>
      <c r="G6365" t="s">
        <v>21</v>
      </c>
    </row>
    <row r="6366" spans="1:7">
      <c r="A6366">
        <v>6365</v>
      </c>
      <c r="B6366" t="str">
        <f>"008853"</f>
        <v>0</v>
      </c>
      <c r="C6366" t="s">
        <v>10168</v>
      </c>
      <c r="D6366" t="s">
        <v>10169</v>
      </c>
      <c r="E6366" t="str">
        <f>"3341100780370"</f>
        <v>0</v>
      </c>
      <c r="F6366" t="str">
        <f>"001160"</f>
        <v>0</v>
      </c>
      <c r="G6366" t="s">
        <v>21</v>
      </c>
    </row>
    <row r="6367" spans="1:7">
      <c r="A6367">
        <v>6366</v>
      </c>
      <c r="B6367" t="str">
        <f>"008879"</f>
        <v>0</v>
      </c>
      <c r="C6367" t="s">
        <v>10170</v>
      </c>
      <c r="D6367" t="s">
        <v>10171</v>
      </c>
      <c r="E6367" t="str">
        <f>"3650100973204"</f>
        <v>0</v>
      </c>
      <c r="F6367" t="str">
        <f>"001160"</f>
        <v>0</v>
      </c>
      <c r="G6367" t="s">
        <v>21</v>
      </c>
    </row>
    <row r="6368" spans="1:7">
      <c r="A6368">
        <v>6367</v>
      </c>
      <c r="B6368" t="str">
        <f>"008912"</f>
        <v>0</v>
      </c>
      <c r="C6368" t="s">
        <v>10172</v>
      </c>
      <c r="D6368" t="s">
        <v>10173</v>
      </c>
      <c r="E6368" t="str">
        <f>"3600100908861"</f>
        <v>0</v>
      </c>
      <c r="F6368" t="str">
        <f>"001160"</f>
        <v>0</v>
      </c>
      <c r="G6368" t="s">
        <v>21</v>
      </c>
    </row>
    <row r="6369" spans="1:7">
      <c r="A6369">
        <v>6368</v>
      </c>
      <c r="B6369" t="str">
        <f>"009198"</f>
        <v>0</v>
      </c>
      <c r="C6369" t="s">
        <v>104</v>
      </c>
      <c r="D6369" t="s">
        <v>10174</v>
      </c>
      <c r="E6369" t="str">
        <f>"3540100487009"</f>
        <v>0</v>
      </c>
      <c r="F6369" t="str">
        <f>"001160"</f>
        <v>0</v>
      </c>
      <c r="G6369" t="s">
        <v>21</v>
      </c>
    </row>
    <row r="6370" spans="1:7">
      <c r="A6370">
        <v>6369</v>
      </c>
      <c r="B6370" t="str">
        <f>"009219"</f>
        <v>0</v>
      </c>
      <c r="C6370" t="s">
        <v>10175</v>
      </c>
      <c r="D6370" t="s">
        <v>10176</v>
      </c>
      <c r="E6370" t="str">
        <f>"3549900025270"</f>
        <v>0</v>
      </c>
      <c r="F6370" t="str">
        <f>"001160"</f>
        <v>0</v>
      </c>
      <c r="G6370" t="s">
        <v>21</v>
      </c>
    </row>
    <row r="6371" spans="1:7">
      <c r="A6371">
        <v>6370</v>
      </c>
      <c r="B6371" t="str">
        <f>"009518"</f>
        <v>0</v>
      </c>
      <c r="C6371" t="s">
        <v>1944</v>
      </c>
      <c r="D6371" t="s">
        <v>10177</v>
      </c>
      <c r="E6371" t="str">
        <f>"3550600351360"</f>
        <v>0</v>
      </c>
      <c r="F6371" t="str">
        <f>"001160"</f>
        <v>0</v>
      </c>
      <c r="G6371" t="s">
        <v>21</v>
      </c>
    </row>
    <row r="6372" spans="1:7">
      <c r="A6372">
        <v>6371</v>
      </c>
      <c r="B6372" t="str">
        <f>"009675"</f>
        <v>0</v>
      </c>
      <c r="C6372" t="s">
        <v>442</v>
      </c>
      <c r="D6372" t="s">
        <v>2104</v>
      </c>
      <c r="E6372" t="str">
        <f>"3650101171331"</f>
        <v>0</v>
      </c>
      <c r="F6372" t="str">
        <f>"001160"</f>
        <v>0</v>
      </c>
      <c r="G6372" t="s">
        <v>21</v>
      </c>
    </row>
    <row r="6373" spans="1:7">
      <c r="A6373">
        <v>6372</v>
      </c>
      <c r="B6373" t="str">
        <f>"009946"</f>
        <v>0</v>
      </c>
      <c r="C6373" t="s">
        <v>10178</v>
      </c>
      <c r="D6373" t="s">
        <v>10179</v>
      </c>
      <c r="E6373" t="str">
        <f>"5650590006598"</f>
        <v>0</v>
      </c>
      <c r="F6373" t="str">
        <f>"001160"</f>
        <v>0</v>
      </c>
      <c r="G6373" t="s">
        <v>21</v>
      </c>
    </row>
    <row r="6374" spans="1:7">
      <c r="A6374">
        <v>6373</v>
      </c>
      <c r="B6374" t="str">
        <f>"010198"</f>
        <v>0</v>
      </c>
      <c r="C6374" t="s">
        <v>10180</v>
      </c>
      <c r="D6374" t="s">
        <v>10181</v>
      </c>
      <c r="E6374" t="str">
        <f>"3650100586766"</f>
        <v>0</v>
      </c>
      <c r="F6374" t="str">
        <f>"001160"</f>
        <v>0</v>
      </c>
      <c r="G6374" t="s">
        <v>21</v>
      </c>
    </row>
    <row r="6375" spans="1:7">
      <c r="A6375">
        <v>6374</v>
      </c>
      <c r="B6375" t="str">
        <f>"010647"</f>
        <v>0</v>
      </c>
      <c r="C6375" t="s">
        <v>7593</v>
      </c>
      <c r="D6375" t="s">
        <v>10182</v>
      </c>
      <c r="E6375" t="str">
        <f>"3650101196571"</f>
        <v>0</v>
      </c>
      <c r="F6375" t="str">
        <f>"001160"</f>
        <v>0</v>
      </c>
      <c r="G6375" t="s">
        <v>21</v>
      </c>
    </row>
    <row r="6376" spans="1:7">
      <c r="A6376">
        <v>6375</v>
      </c>
      <c r="B6376" t="str">
        <f>"011274"</f>
        <v>0</v>
      </c>
      <c r="C6376" t="s">
        <v>832</v>
      </c>
      <c r="D6376" t="s">
        <v>10183</v>
      </c>
      <c r="E6376" t="str">
        <f>"3570900155604"</f>
        <v>0</v>
      </c>
      <c r="F6376" t="str">
        <f>"001160"</f>
        <v>0</v>
      </c>
      <c r="G6376" t="s">
        <v>21</v>
      </c>
    </row>
    <row r="6377" spans="1:7">
      <c r="A6377">
        <v>6376</v>
      </c>
      <c r="B6377" t="str">
        <f>"011609"</f>
        <v>0</v>
      </c>
      <c r="C6377" t="s">
        <v>1229</v>
      </c>
      <c r="D6377" t="s">
        <v>10184</v>
      </c>
      <c r="E6377" t="str">
        <f>"3520500538913"</f>
        <v>0</v>
      </c>
      <c r="F6377" t="str">
        <f>"001160"</f>
        <v>0</v>
      </c>
      <c r="G6377" t="s">
        <v>21</v>
      </c>
    </row>
    <row r="6378" spans="1:7">
      <c r="A6378">
        <v>6377</v>
      </c>
      <c r="B6378" t="str">
        <f>"011639"</f>
        <v>0</v>
      </c>
      <c r="C6378" t="s">
        <v>10185</v>
      </c>
      <c r="D6378" t="s">
        <v>6448</v>
      </c>
      <c r="E6378" t="str">
        <f>"3659900709861"</f>
        <v>0</v>
      </c>
      <c r="F6378" t="str">
        <f>"001160"</f>
        <v>0</v>
      </c>
      <c r="G6378" t="s">
        <v>21</v>
      </c>
    </row>
    <row r="6379" spans="1:7">
      <c r="A6379">
        <v>6378</v>
      </c>
      <c r="B6379" t="str">
        <f>"012252"</f>
        <v>0</v>
      </c>
      <c r="C6379" t="s">
        <v>10186</v>
      </c>
      <c r="D6379" t="s">
        <v>10187</v>
      </c>
      <c r="E6379" t="str">
        <f>"3501900626594"</f>
        <v>0</v>
      </c>
      <c r="F6379" t="str">
        <f>"001160"</f>
        <v>0</v>
      </c>
      <c r="G6379" t="s">
        <v>21</v>
      </c>
    </row>
    <row r="6380" spans="1:7">
      <c r="A6380">
        <v>6379</v>
      </c>
      <c r="B6380" t="str">
        <f>"013131"</f>
        <v>0</v>
      </c>
      <c r="C6380" t="s">
        <v>10188</v>
      </c>
      <c r="D6380" t="s">
        <v>10189</v>
      </c>
      <c r="E6380" t="str">
        <f>"3530900270896"</f>
        <v>0</v>
      </c>
      <c r="F6380" t="str">
        <f>"001160"</f>
        <v>0</v>
      </c>
      <c r="G6380" t="s">
        <v>21</v>
      </c>
    </row>
    <row r="6381" spans="1:7">
      <c r="A6381">
        <v>6380</v>
      </c>
      <c r="B6381" t="str">
        <f>"013161"</f>
        <v>0</v>
      </c>
      <c r="C6381" t="s">
        <v>10190</v>
      </c>
      <c r="D6381" t="s">
        <v>823</v>
      </c>
      <c r="E6381" t="str">
        <f>"3679900230522"</f>
        <v>0</v>
      </c>
      <c r="F6381" t="str">
        <f>"001160"</f>
        <v>0</v>
      </c>
      <c r="G6381" t="s">
        <v>21</v>
      </c>
    </row>
    <row r="6382" spans="1:7">
      <c r="A6382">
        <v>6381</v>
      </c>
      <c r="B6382" t="str">
        <f>"013539"</f>
        <v>0</v>
      </c>
      <c r="C6382" t="s">
        <v>10191</v>
      </c>
      <c r="D6382" t="s">
        <v>654</v>
      </c>
      <c r="E6382" t="str">
        <f>"3650101196481"</f>
        <v>0</v>
      </c>
      <c r="F6382" t="str">
        <f>"001160"</f>
        <v>0</v>
      </c>
      <c r="G6382" t="s">
        <v>21</v>
      </c>
    </row>
    <row r="6383" spans="1:7">
      <c r="A6383">
        <v>6382</v>
      </c>
      <c r="B6383" t="str">
        <f>"014041"</f>
        <v>0</v>
      </c>
      <c r="C6383" t="s">
        <v>10192</v>
      </c>
      <c r="D6383" t="s">
        <v>823</v>
      </c>
      <c r="E6383" t="str">
        <f>"3679900230531"</f>
        <v>0</v>
      </c>
      <c r="F6383" t="str">
        <f>"001160"</f>
        <v>0</v>
      </c>
      <c r="G6383" t="s">
        <v>21</v>
      </c>
    </row>
    <row r="6384" spans="1:7">
      <c r="A6384">
        <v>6383</v>
      </c>
      <c r="B6384" t="str">
        <f>"014798"</f>
        <v>0</v>
      </c>
      <c r="C6384" t="s">
        <v>2305</v>
      </c>
      <c r="D6384" t="s">
        <v>10193</v>
      </c>
      <c r="E6384" t="str">
        <f>"3640700327460"</f>
        <v>0</v>
      </c>
      <c r="F6384" t="str">
        <f>"001160"</f>
        <v>0</v>
      </c>
      <c r="G6384" t="s">
        <v>21</v>
      </c>
    </row>
    <row r="6385" spans="1:7">
      <c r="A6385">
        <v>6384</v>
      </c>
      <c r="B6385" t="str">
        <f>"015177"</f>
        <v>0</v>
      </c>
      <c r="C6385" t="s">
        <v>2193</v>
      </c>
      <c r="D6385" t="s">
        <v>10194</v>
      </c>
      <c r="E6385" t="str">
        <f>"3659900510487"</f>
        <v>0</v>
      </c>
      <c r="F6385" t="str">
        <f>"001160"</f>
        <v>0</v>
      </c>
      <c r="G6385" t="s">
        <v>21</v>
      </c>
    </row>
    <row r="6386" spans="1:7">
      <c r="A6386">
        <v>6385</v>
      </c>
      <c r="B6386" t="str">
        <f>"016818"</f>
        <v>0</v>
      </c>
      <c r="C6386" t="s">
        <v>442</v>
      </c>
      <c r="D6386" t="s">
        <v>10195</v>
      </c>
      <c r="E6386" t="str">
        <f>"3630100736032"</f>
        <v>0</v>
      </c>
      <c r="F6386" t="str">
        <f>"001160"</f>
        <v>0</v>
      </c>
      <c r="G6386" t="s">
        <v>21</v>
      </c>
    </row>
    <row r="6387" spans="1:7">
      <c r="A6387">
        <v>6386</v>
      </c>
      <c r="B6387" t="str">
        <f>"017554"</f>
        <v>0</v>
      </c>
      <c r="C6387" t="s">
        <v>10196</v>
      </c>
      <c r="D6387" t="s">
        <v>10197</v>
      </c>
      <c r="E6387" t="str">
        <f>"3550500030171"</f>
        <v>0</v>
      </c>
      <c r="F6387" t="str">
        <f>"001160"</f>
        <v>0</v>
      </c>
      <c r="G6387" t="s">
        <v>21</v>
      </c>
    </row>
    <row r="6388" spans="1:7">
      <c r="A6388">
        <v>6387</v>
      </c>
      <c r="B6388" t="str">
        <f>"017826"</f>
        <v>0</v>
      </c>
      <c r="C6388" t="s">
        <v>10198</v>
      </c>
      <c r="D6388" t="s">
        <v>10199</v>
      </c>
      <c r="E6388" t="str">
        <f>"3650100679632"</f>
        <v>0</v>
      </c>
      <c r="F6388" t="str">
        <f>"001160"</f>
        <v>0</v>
      </c>
      <c r="G6388" t="s">
        <v>21</v>
      </c>
    </row>
    <row r="6389" spans="1:7">
      <c r="A6389">
        <v>6388</v>
      </c>
      <c r="B6389" t="str">
        <f>"018811"</f>
        <v>0</v>
      </c>
      <c r="C6389" t="s">
        <v>6192</v>
      </c>
      <c r="D6389" t="s">
        <v>10200</v>
      </c>
      <c r="E6389" t="str">
        <f>"3659900188470"</f>
        <v>0</v>
      </c>
      <c r="F6389" t="str">
        <f>"001160"</f>
        <v>0</v>
      </c>
      <c r="G6389" t="s">
        <v>21</v>
      </c>
    </row>
    <row r="6390" spans="1:7">
      <c r="A6390">
        <v>6389</v>
      </c>
      <c r="B6390" t="str">
        <f>"019623"</f>
        <v>0</v>
      </c>
      <c r="C6390" t="s">
        <v>370</v>
      </c>
      <c r="D6390" t="s">
        <v>10201</v>
      </c>
      <c r="E6390" t="str">
        <f>"3650100574237"</f>
        <v>0</v>
      </c>
      <c r="F6390" t="str">
        <f>"001160"</f>
        <v>0</v>
      </c>
      <c r="G6390" t="s">
        <v>21</v>
      </c>
    </row>
    <row r="6391" spans="1:7">
      <c r="A6391">
        <v>6390</v>
      </c>
      <c r="B6391" t="str">
        <f>"020728"</f>
        <v>0</v>
      </c>
      <c r="C6391" t="s">
        <v>10202</v>
      </c>
      <c r="D6391" t="s">
        <v>10203</v>
      </c>
      <c r="E6391" t="str">
        <f>"3659900442970"</f>
        <v>0</v>
      </c>
      <c r="F6391" t="str">
        <f>"001160"</f>
        <v>0</v>
      </c>
      <c r="G6391" t="s">
        <v>21</v>
      </c>
    </row>
    <row r="6392" spans="1:7">
      <c r="A6392">
        <v>6391</v>
      </c>
      <c r="B6392" t="str">
        <f>"022090"</f>
        <v>0</v>
      </c>
      <c r="C6392" t="s">
        <v>10204</v>
      </c>
      <c r="D6392" t="s">
        <v>10205</v>
      </c>
      <c r="E6392" t="str">
        <f>"3659900424572"</f>
        <v>0</v>
      </c>
      <c r="F6392" t="str">
        <f>"001160"</f>
        <v>0</v>
      </c>
      <c r="G6392" t="s">
        <v>21</v>
      </c>
    </row>
    <row r="6393" spans="1:7">
      <c r="A6393">
        <v>6392</v>
      </c>
      <c r="B6393" t="str">
        <f>"022248"</f>
        <v>0</v>
      </c>
      <c r="C6393" t="s">
        <v>10206</v>
      </c>
      <c r="D6393" t="s">
        <v>10207</v>
      </c>
      <c r="E6393" t="str">
        <f>"3570400122979"</f>
        <v>0</v>
      </c>
      <c r="F6393" t="str">
        <f>"001160"</f>
        <v>0</v>
      </c>
      <c r="G6393" t="s">
        <v>21</v>
      </c>
    </row>
    <row r="6394" spans="1:7">
      <c r="A6394">
        <v>6393</v>
      </c>
      <c r="B6394" t="str">
        <f>"022314"</f>
        <v>0</v>
      </c>
      <c r="C6394" t="s">
        <v>10208</v>
      </c>
      <c r="D6394" t="s">
        <v>10209</v>
      </c>
      <c r="E6394" t="str">
        <f>"3650100495205"</f>
        <v>0</v>
      </c>
      <c r="F6394" t="str">
        <f>"001160"</f>
        <v>0</v>
      </c>
      <c r="G6394" t="s">
        <v>21</v>
      </c>
    </row>
    <row r="6395" spans="1:7">
      <c r="A6395">
        <v>6394</v>
      </c>
      <c r="B6395" t="str">
        <f>"022418"</f>
        <v>0</v>
      </c>
      <c r="C6395" t="s">
        <v>1003</v>
      </c>
      <c r="D6395" t="s">
        <v>10210</v>
      </c>
      <c r="E6395" t="str">
        <f>"3500600217850"</f>
        <v>0</v>
      </c>
      <c r="F6395" t="str">
        <f>"001160"</f>
        <v>0</v>
      </c>
      <c r="G6395" t="s">
        <v>21</v>
      </c>
    </row>
    <row r="6396" spans="1:7">
      <c r="A6396">
        <v>6395</v>
      </c>
      <c r="B6396" t="str">
        <f>"022895"</f>
        <v>0</v>
      </c>
      <c r="C6396" t="s">
        <v>10211</v>
      </c>
      <c r="D6396" t="s">
        <v>10212</v>
      </c>
      <c r="E6396" t="str">
        <f>"3650100261662"</f>
        <v>0</v>
      </c>
      <c r="F6396" t="str">
        <f>"001160"</f>
        <v>0</v>
      </c>
      <c r="G6396" t="s">
        <v>21</v>
      </c>
    </row>
    <row r="6397" spans="1:7">
      <c r="A6397">
        <v>6396</v>
      </c>
      <c r="B6397" t="str">
        <f>"022897"</f>
        <v>0</v>
      </c>
      <c r="C6397" t="s">
        <v>10213</v>
      </c>
      <c r="D6397" t="s">
        <v>10214</v>
      </c>
      <c r="E6397" t="str">
        <f>"3650100615499"</f>
        <v>0</v>
      </c>
      <c r="F6397" t="str">
        <f>"001160"</f>
        <v>0</v>
      </c>
      <c r="G6397" t="s">
        <v>21</v>
      </c>
    </row>
    <row r="6398" spans="1:7">
      <c r="A6398">
        <v>6397</v>
      </c>
      <c r="B6398" t="str">
        <f>"025565"</f>
        <v>0</v>
      </c>
      <c r="C6398" t="s">
        <v>10215</v>
      </c>
      <c r="D6398" t="s">
        <v>10216</v>
      </c>
      <c r="E6398" t="str">
        <f>"3629900056662"</f>
        <v>0</v>
      </c>
      <c r="F6398" t="str">
        <f>"001160"</f>
        <v>0</v>
      </c>
      <c r="G6398" t="s">
        <v>21</v>
      </c>
    </row>
    <row r="6399" spans="1:7">
      <c r="A6399">
        <v>6398</v>
      </c>
      <c r="B6399" t="str">
        <f>"005917"</f>
        <v>0</v>
      </c>
      <c r="C6399" t="s">
        <v>10217</v>
      </c>
      <c r="D6399" t="s">
        <v>10218</v>
      </c>
      <c r="E6399" t="str">
        <f>"3650600661244"</f>
        <v>0</v>
      </c>
      <c r="F6399" t="str">
        <f>"001160"</f>
        <v>0</v>
      </c>
      <c r="G6399" t="s">
        <v>21</v>
      </c>
    </row>
    <row r="6400" spans="1:7">
      <c r="A6400">
        <v>6399</v>
      </c>
      <c r="B6400" t="str">
        <f>"006624"</f>
        <v>0</v>
      </c>
      <c r="C6400" t="s">
        <v>3375</v>
      </c>
      <c r="D6400" t="s">
        <v>10219</v>
      </c>
      <c r="E6400" t="str">
        <f>"3650600678422"</f>
        <v>0</v>
      </c>
      <c r="F6400" t="str">
        <f>"001160"</f>
        <v>0</v>
      </c>
      <c r="G6400" t="s">
        <v>21</v>
      </c>
    </row>
    <row r="6401" spans="1:7">
      <c r="A6401">
        <v>6400</v>
      </c>
      <c r="B6401" t="str">
        <f>"009885"</f>
        <v>0</v>
      </c>
      <c r="C6401" t="s">
        <v>10220</v>
      </c>
      <c r="D6401" t="s">
        <v>10221</v>
      </c>
      <c r="E6401" t="str">
        <f>"3659900417169"</f>
        <v>0</v>
      </c>
      <c r="F6401" t="str">
        <f>"001160"</f>
        <v>0</v>
      </c>
      <c r="G6401" t="s">
        <v>21</v>
      </c>
    </row>
    <row r="6402" spans="1:7">
      <c r="A6402">
        <v>6401</v>
      </c>
      <c r="B6402" t="str">
        <f>"009888"</f>
        <v>0</v>
      </c>
      <c r="C6402" t="s">
        <v>86</v>
      </c>
      <c r="D6402" t="s">
        <v>10222</v>
      </c>
      <c r="E6402" t="str">
        <f>"3650801044374"</f>
        <v>0</v>
      </c>
      <c r="F6402" t="str">
        <f>"001160"</f>
        <v>0</v>
      </c>
      <c r="G6402" t="s">
        <v>21</v>
      </c>
    </row>
    <row r="6403" spans="1:7">
      <c r="A6403">
        <v>6402</v>
      </c>
      <c r="B6403" t="str">
        <f>"014068"</f>
        <v>0</v>
      </c>
      <c r="C6403" t="s">
        <v>1003</v>
      </c>
      <c r="D6403" t="s">
        <v>10223</v>
      </c>
      <c r="E6403" t="str">
        <f>"3650100259331"</f>
        <v>0</v>
      </c>
      <c r="F6403" t="str">
        <f>"001160"</f>
        <v>0</v>
      </c>
      <c r="G6403" t="s">
        <v>21</v>
      </c>
    </row>
    <row r="6404" spans="1:7">
      <c r="A6404">
        <v>6403</v>
      </c>
      <c r="B6404" t="str">
        <f>"017998"</f>
        <v>0</v>
      </c>
      <c r="C6404" t="s">
        <v>10224</v>
      </c>
      <c r="D6404" t="s">
        <v>9524</v>
      </c>
      <c r="E6404" t="str">
        <f>"3650600641359"</f>
        <v>0</v>
      </c>
      <c r="F6404" t="str">
        <f>"001160"</f>
        <v>0</v>
      </c>
      <c r="G6404" t="s">
        <v>21</v>
      </c>
    </row>
    <row r="6405" spans="1:7">
      <c r="A6405">
        <v>6404</v>
      </c>
      <c r="B6405" t="str">
        <f>"025166"</f>
        <v>0</v>
      </c>
      <c r="C6405" t="s">
        <v>10225</v>
      </c>
      <c r="D6405" t="s">
        <v>10226</v>
      </c>
      <c r="E6405" t="str">
        <f>"1659900453797"</f>
        <v>0</v>
      </c>
      <c r="F6405" t="str">
        <f>"001160"</f>
        <v>0</v>
      </c>
      <c r="G6405" t="s">
        <v>21</v>
      </c>
    </row>
    <row r="6406" spans="1:7">
      <c r="A6406">
        <v>6405</v>
      </c>
      <c r="B6406" t="str">
        <f>"003978"</f>
        <v>0</v>
      </c>
      <c r="C6406" t="s">
        <v>10227</v>
      </c>
      <c r="D6406" t="s">
        <v>10228</v>
      </c>
      <c r="E6406" t="str">
        <f>"3659900299409"</f>
        <v>0</v>
      </c>
      <c r="F6406" t="str">
        <f>"001160"</f>
        <v>0</v>
      </c>
      <c r="G6406" t="s">
        <v>21</v>
      </c>
    </row>
    <row r="6407" spans="1:7">
      <c r="A6407">
        <v>6406</v>
      </c>
      <c r="B6407" t="str">
        <f>"007592"</f>
        <v>0</v>
      </c>
      <c r="C6407" t="s">
        <v>104</v>
      </c>
      <c r="D6407" t="s">
        <v>2846</v>
      </c>
      <c r="E6407" t="str">
        <f>"3659900022113"</f>
        <v>0</v>
      </c>
      <c r="F6407" t="str">
        <f>"001160"</f>
        <v>0</v>
      </c>
      <c r="G6407" t="s">
        <v>21</v>
      </c>
    </row>
    <row r="6408" spans="1:7">
      <c r="A6408">
        <v>6407</v>
      </c>
      <c r="B6408" t="str">
        <f>"026903"</f>
        <v>0</v>
      </c>
      <c r="C6408" t="s">
        <v>734</v>
      </c>
      <c r="D6408" t="s">
        <v>10229</v>
      </c>
      <c r="E6408" t="str">
        <f>"1100800872549"</f>
        <v>0</v>
      </c>
      <c r="F6408" t="str">
        <f>"001160"</f>
        <v>0</v>
      </c>
      <c r="G6408" t="s">
        <v>21</v>
      </c>
    </row>
    <row r="6409" spans="1:7">
      <c r="A6409">
        <v>6408</v>
      </c>
      <c r="B6409" t="str">
        <f>"022088"</f>
        <v>0</v>
      </c>
      <c r="C6409" t="s">
        <v>10230</v>
      </c>
      <c r="D6409" t="s">
        <v>10231</v>
      </c>
      <c r="E6409" t="str">
        <f>"3650600053031"</f>
        <v>0</v>
      </c>
      <c r="F6409" t="str">
        <f>"001160"</f>
        <v>0</v>
      </c>
      <c r="G6409" t="s">
        <v>21</v>
      </c>
    </row>
    <row r="6410" spans="1:7">
      <c r="A6410">
        <v>6409</v>
      </c>
      <c r="B6410" t="str">
        <f>"019820"</f>
        <v>0</v>
      </c>
      <c r="C6410" t="s">
        <v>10232</v>
      </c>
      <c r="D6410" t="s">
        <v>10233</v>
      </c>
      <c r="E6410" t="str">
        <f>"3189900099978"</f>
        <v>0</v>
      </c>
      <c r="F6410" t="str">
        <f>"001160"</f>
        <v>0</v>
      </c>
      <c r="G6410" t="s">
        <v>21</v>
      </c>
    </row>
    <row r="6411" spans="1:7">
      <c r="A6411">
        <v>6410</v>
      </c>
      <c r="B6411" t="str">
        <f>"026263"</f>
        <v>0</v>
      </c>
      <c r="C6411" t="s">
        <v>10234</v>
      </c>
      <c r="D6411" t="s">
        <v>10235</v>
      </c>
      <c r="E6411" t="str">
        <f>"1470800101671"</f>
        <v>0</v>
      </c>
      <c r="F6411" t="str">
        <f>"001160"</f>
        <v>0</v>
      </c>
      <c r="G6411" t="s">
        <v>21</v>
      </c>
    </row>
    <row r="6412" spans="1:7">
      <c r="A6412">
        <v>6411</v>
      </c>
      <c r="B6412" t="str">
        <f>"026372"</f>
        <v>0</v>
      </c>
      <c r="C6412" t="s">
        <v>1317</v>
      </c>
      <c r="D6412" t="s">
        <v>10236</v>
      </c>
      <c r="E6412" t="str">
        <f>"3501200714971"</f>
        <v>0</v>
      </c>
      <c r="F6412" t="str">
        <f>"001160"</f>
        <v>0</v>
      </c>
      <c r="G6412" t="s">
        <v>21</v>
      </c>
    </row>
    <row r="6413" spans="1:7">
      <c r="A6413">
        <v>6412</v>
      </c>
      <c r="B6413" t="str">
        <f>"027384"</f>
        <v>0</v>
      </c>
      <c r="C6413" t="s">
        <v>10237</v>
      </c>
      <c r="D6413" t="s">
        <v>10238</v>
      </c>
      <c r="E6413" t="str">
        <f>"3519900079027"</f>
        <v>0</v>
      </c>
      <c r="F6413" t="str">
        <f>"001160"</f>
        <v>0</v>
      </c>
      <c r="G6413" t="s">
        <v>21</v>
      </c>
    </row>
    <row r="6414" spans="1:7">
      <c r="A6414">
        <v>6413</v>
      </c>
      <c r="B6414" t="str">
        <f>"024962"</f>
        <v>0</v>
      </c>
      <c r="C6414" t="s">
        <v>4917</v>
      </c>
      <c r="D6414" t="s">
        <v>10239</v>
      </c>
      <c r="E6414" t="str">
        <f>"1509900300045"</f>
        <v>0</v>
      </c>
      <c r="F6414" t="str">
        <f>"001160"</f>
        <v>0</v>
      </c>
      <c r="G6414" t="s">
        <v>21</v>
      </c>
    </row>
    <row r="6415" spans="1:7">
      <c r="A6415">
        <v>6414</v>
      </c>
      <c r="B6415" t="str">
        <f>"026799"</f>
        <v>0</v>
      </c>
      <c r="C6415" t="s">
        <v>4182</v>
      </c>
      <c r="D6415" t="s">
        <v>10240</v>
      </c>
      <c r="E6415" t="str">
        <f>"3540600142418"</f>
        <v>0</v>
      </c>
      <c r="F6415" t="str">
        <f>"001160"</f>
        <v>0</v>
      </c>
      <c r="G6415" t="s">
        <v>21</v>
      </c>
    </row>
    <row r="6416" spans="1:7">
      <c r="A6416">
        <v>6415</v>
      </c>
      <c r="B6416" t="str">
        <f>"026901"</f>
        <v>0</v>
      </c>
      <c r="C6416" t="s">
        <v>3947</v>
      </c>
      <c r="D6416" t="s">
        <v>10241</v>
      </c>
      <c r="E6416" t="str">
        <f>"1560100318839"</f>
        <v>0</v>
      </c>
      <c r="F6416" t="str">
        <f>"001160"</f>
        <v>0</v>
      </c>
      <c r="G6416" t="s">
        <v>21</v>
      </c>
    </row>
    <row r="6417" spans="1:7">
      <c r="A6417">
        <v>6416</v>
      </c>
      <c r="B6417" t="str">
        <f>"018813"</f>
        <v>0</v>
      </c>
      <c r="C6417" t="s">
        <v>10242</v>
      </c>
      <c r="D6417" t="s">
        <v>10243</v>
      </c>
      <c r="E6417" t="str">
        <f>"3600400661232"</f>
        <v>0</v>
      </c>
      <c r="F6417" t="str">
        <f>"001160"</f>
        <v>0</v>
      </c>
      <c r="G6417" t="s">
        <v>21</v>
      </c>
    </row>
    <row r="6418" spans="1:7">
      <c r="A6418">
        <v>6417</v>
      </c>
      <c r="B6418" t="str">
        <f>"024370"</f>
        <v>0</v>
      </c>
      <c r="C6418" t="s">
        <v>10244</v>
      </c>
      <c r="D6418" t="s">
        <v>10245</v>
      </c>
      <c r="E6418" t="str">
        <f>"1600900077312"</f>
        <v>0</v>
      </c>
      <c r="F6418" t="str">
        <f>"001160"</f>
        <v>0</v>
      </c>
      <c r="G6418" t="s">
        <v>21</v>
      </c>
    </row>
    <row r="6419" spans="1:7">
      <c r="A6419">
        <v>6418</v>
      </c>
      <c r="B6419" t="str">
        <f>"023859"</f>
        <v>0</v>
      </c>
      <c r="C6419" t="s">
        <v>4783</v>
      </c>
      <c r="D6419" t="s">
        <v>10246</v>
      </c>
      <c r="E6419" t="str">
        <f>"3640600509272"</f>
        <v>0</v>
      </c>
      <c r="F6419" t="str">
        <f>"001160"</f>
        <v>0</v>
      </c>
      <c r="G6419" t="s">
        <v>21</v>
      </c>
    </row>
    <row r="6420" spans="1:7">
      <c r="A6420">
        <v>6419</v>
      </c>
      <c r="B6420" t="str">
        <f>"024577"</f>
        <v>0</v>
      </c>
      <c r="C6420" t="s">
        <v>10247</v>
      </c>
      <c r="D6420" t="s">
        <v>10248</v>
      </c>
      <c r="E6420" t="str">
        <f>"3600800304640"</f>
        <v>0</v>
      </c>
      <c r="F6420" t="str">
        <f>"001160"</f>
        <v>0</v>
      </c>
      <c r="G6420" t="s">
        <v>21</v>
      </c>
    </row>
    <row r="6421" spans="1:7">
      <c r="A6421">
        <v>6420</v>
      </c>
      <c r="B6421" t="str">
        <f>"006620"</f>
        <v>0</v>
      </c>
      <c r="C6421" t="s">
        <v>10249</v>
      </c>
      <c r="D6421" t="s">
        <v>10250</v>
      </c>
      <c r="E6421" t="str">
        <f>"3650100684865"</f>
        <v>0</v>
      </c>
      <c r="F6421" t="str">
        <f>"001160"</f>
        <v>0</v>
      </c>
      <c r="G6421" t="s">
        <v>21</v>
      </c>
    </row>
    <row r="6422" spans="1:7">
      <c r="A6422">
        <v>6421</v>
      </c>
      <c r="B6422" t="str">
        <f>"006623"</f>
        <v>0</v>
      </c>
      <c r="C6422" t="s">
        <v>1599</v>
      </c>
      <c r="D6422" t="s">
        <v>5888</v>
      </c>
      <c r="E6422" t="str">
        <f>"3650700040578"</f>
        <v>0</v>
      </c>
      <c r="F6422" t="str">
        <f>"001160"</f>
        <v>0</v>
      </c>
      <c r="G6422" t="s">
        <v>21</v>
      </c>
    </row>
    <row r="6423" spans="1:7">
      <c r="A6423">
        <v>6422</v>
      </c>
      <c r="B6423" t="str">
        <f>"009315"</f>
        <v>0</v>
      </c>
      <c r="C6423" t="s">
        <v>10251</v>
      </c>
      <c r="D6423" t="s">
        <v>10252</v>
      </c>
      <c r="E6423" t="str">
        <f>"3650101171624"</f>
        <v>0</v>
      </c>
      <c r="F6423" t="str">
        <f>"001160"</f>
        <v>0</v>
      </c>
      <c r="G6423" t="s">
        <v>21</v>
      </c>
    </row>
    <row r="6424" spans="1:7">
      <c r="A6424">
        <v>6423</v>
      </c>
      <c r="B6424" t="str">
        <f>"010365"</f>
        <v>0</v>
      </c>
      <c r="C6424" t="s">
        <v>10253</v>
      </c>
      <c r="D6424" t="s">
        <v>10177</v>
      </c>
      <c r="E6424" t="str">
        <f>"3640500409497"</f>
        <v>0</v>
      </c>
      <c r="F6424" t="str">
        <f>"001160"</f>
        <v>0</v>
      </c>
      <c r="G6424" t="s">
        <v>21</v>
      </c>
    </row>
    <row r="6425" spans="1:7">
      <c r="A6425">
        <v>6424</v>
      </c>
      <c r="B6425" t="str">
        <f>"010391"</f>
        <v>0</v>
      </c>
      <c r="C6425" t="s">
        <v>9956</v>
      </c>
      <c r="D6425" t="s">
        <v>10254</v>
      </c>
      <c r="E6425" t="str">
        <f>"3650100688259"</f>
        <v>0</v>
      </c>
      <c r="F6425" t="str">
        <f>"001160"</f>
        <v>0</v>
      </c>
      <c r="G6425" t="s">
        <v>21</v>
      </c>
    </row>
    <row r="6426" spans="1:7">
      <c r="A6426">
        <v>6425</v>
      </c>
      <c r="B6426" t="str">
        <f>"011189"</f>
        <v>0</v>
      </c>
      <c r="C6426" t="s">
        <v>10255</v>
      </c>
      <c r="D6426" t="s">
        <v>10256</v>
      </c>
      <c r="E6426" t="str">
        <f>"3679800131247"</f>
        <v>0</v>
      </c>
      <c r="F6426" t="str">
        <f>"001160"</f>
        <v>0</v>
      </c>
      <c r="G6426" t="s">
        <v>21</v>
      </c>
    </row>
    <row r="6427" spans="1:7">
      <c r="A6427">
        <v>6426</v>
      </c>
      <c r="B6427" t="str">
        <f>"011445"</f>
        <v>0</v>
      </c>
      <c r="C6427" t="s">
        <v>10257</v>
      </c>
      <c r="D6427" t="s">
        <v>10258</v>
      </c>
      <c r="E6427" t="str">
        <f>"3650100670279"</f>
        <v>0</v>
      </c>
      <c r="F6427" t="str">
        <f>"001160"</f>
        <v>0</v>
      </c>
      <c r="G6427" t="s">
        <v>21</v>
      </c>
    </row>
    <row r="6428" spans="1:7">
      <c r="A6428">
        <v>6427</v>
      </c>
      <c r="B6428" t="str">
        <f>"011593"</f>
        <v>0</v>
      </c>
      <c r="C6428" t="s">
        <v>10259</v>
      </c>
      <c r="D6428" t="s">
        <v>10260</v>
      </c>
      <c r="E6428" t="str">
        <f>"3659900485105"</f>
        <v>0</v>
      </c>
      <c r="F6428" t="str">
        <f>"001160"</f>
        <v>0</v>
      </c>
      <c r="G6428" t="s">
        <v>21</v>
      </c>
    </row>
    <row r="6429" spans="1:7">
      <c r="A6429">
        <v>6428</v>
      </c>
      <c r="B6429" t="str">
        <f>"011606"</f>
        <v>0</v>
      </c>
      <c r="C6429" t="s">
        <v>370</v>
      </c>
      <c r="D6429" t="s">
        <v>10261</v>
      </c>
      <c r="E6429" t="str">
        <f>"3550700273930"</f>
        <v>0</v>
      </c>
      <c r="F6429" t="str">
        <f>"001160"</f>
        <v>0</v>
      </c>
      <c r="G6429" t="s">
        <v>21</v>
      </c>
    </row>
    <row r="6430" spans="1:7">
      <c r="A6430">
        <v>6429</v>
      </c>
      <c r="B6430" t="str">
        <f>"012275"</f>
        <v>0</v>
      </c>
      <c r="C6430" t="s">
        <v>3801</v>
      </c>
      <c r="D6430" t="s">
        <v>10262</v>
      </c>
      <c r="E6430" t="str">
        <f>"3509901248451"</f>
        <v>0</v>
      </c>
      <c r="F6430" t="str">
        <f>"001160"</f>
        <v>0</v>
      </c>
      <c r="G6430" t="s">
        <v>21</v>
      </c>
    </row>
    <row r="6431" spans="1:7">
      <c r="A6431">
        <v>6430</v>
      </c>
      <c r="B6431" t="str">
        <f>"013270"</f>
        <v>0</v>
      </c>
      <c r="C6431" t="s">
        <v>148</v>
      </c>
      <c r="D6431" t="s">
        <v>10263</v>
      </c>
      <c r="E6431" t="str">
        <f>"3550500188777"</f>
        <v>0</v>
      </c>
      <c r="F6431" t="str">
        <f>"001160"</f>
        <v>0</v>
      </c>
      <c r="G6431" t="s">
        <v>21</v>
      </c>
    </row>
    <row r="6432" spans="1:7">
      <c r="A6432">
        <v>6431</v>
      </c>
      <c r="B6432" t="str">
        <f>"014814"</f>
        <v>0</v>
      </c>
      <c r="C6432" t="s">
        <v>10264</v>
      </c>
      <c r="D6432" t="s">
        <v>10265</v>
      </c>
      <c r="E6432" t="str">
        <f>"3650800928023"</f>
        <v>0</v>
      </c>
      <c r="F6432" t="str">
        <f>"001160"</f>
        <v>0</v>
      </c>
      <c r="G6432" t="s">
        <v>21</v>
      </c>
    </row>
    <row r="6433" spans="1:7">
      <c r="A6433">
        <v>6432</v>
      </c>
      <c r="B6433" t="str">
        <f>"015754"</f>
        <v>0</v>
      </c>
      <c r="C6433" t="s">
        <v>2733</v>
      </c>
      <c r="D6433" t="s">
        <v>10266</v>
      </c>
      <c r="E6433" t="str">
        <f>"3659900178261"</f>
        <v>0</v>
      </c>
      <c r="F6433" t="str">
        <f>"001160"</f>
        <v>0</v>
      </c>
      <c r="G6433" t="s">
        <v>21</v>
      </c>
    </row>
    <row r="6434" spans="1:7">
      <c r="A6434">
        <v>6433</v>
      </c>
      <c r="B6434" t="str">
        <f>"016053"</f>
        <v>0</v>
      </c>
      <c r="C6434" t="s">
        <v>10267</v>
      </c>
      <c r="D6434" t="s">
        <v>10268</v>
      </c>
      <c r="E6434" t="str">
        <f>"3650100763889"</f>
        <v>0</v>
      </c>
      <c r="F6434" t="str">
        <f>"001160"</f>
        <v>0</v>
      </c>
      <c r="G6434" t="s">
        <v>21</v>
      </c>
    </row>
    <row r="6435" spans="1:7">
      <c r="A6435">
        <v>6434</v>
      </c>
      <c r="B6435" t="str">
        <f>"016371"</f>
        <v>0</v>
      </c>
      <c r="C6435" t="s">
        <v>879</v>
      </c>
      <c r="D6435" t="s">
        <v>10051</v>
      </c>
      <c r="E6435" t="str">
        <f>"3360200230737"</f>
        <v>0</v>
      </c>
      <c r="F6435" t="str">
        <f>"001160"</f>
        <v>0</v>
      </c>
      <c r="G6435" t="s">
        <v>21</v>
      </c>
    </row>
    <row r="6436" spans="1:7">
      <c r="A6436">
        <v>6435</v>
      </c>
      <c r="B6436" t="str">
        <f>"016521"</f>
        <v>0</v>
      </c>
      <c r="C6436" t="s">
        <v>2303</v>
      </c>
      <c r="D6436" t="s">
        <v>10269</v>
      </c>
      <c r="E6436" t="str">
        <f>"3340800103574"</f>
        <v>0</v>
      </c>
      <c r="F6436" t="str">
        <f>"001160"</f>
        <v>0</v>
      </c>
      <c r="G6436" t="s">
        <v>21</v>
      </c>
    </row>
    <row r="6437" spans="1:7">
      <c r="A6437">
        <v>6436</v>
      </c>
      <c r="B6437" t="str">
        <f>"016588"</f>
        <v>0</v>
      </c>
      <c r="C6437" t="s">
        <v>10270</v>
      </c>
      <c r="D6437" t="s">
        <v>10271</v>
      </c>
      <c r="E6437" t="str">
        <f>"3740300882775"</f>
        <v>0</v>
      </c>
      <c r="F6437" t="str">
        <f>"001160"</f>
        <v>0</v>
      </c>
      <c r="G6437" t="s">
        <v>21</v>
      </c>
    </row>
    <row r="6438" spans="1:7">
      <c r="A6438">
        <v>6437</v>
      </c>
      <c r="B6438" t="str">
        <f>"016672"</f>
        <v>0</v>
      </c>
      <c r="C6438" t="s">
        <v>10272</v>
      </c>
      <c r="D6438" t="s">
        <v>10273</v>
      </c>
      <c r="E6438" t="str">
        <f>"3659900303813"</f>
        <v>0</v>
      </c>
      <c r="F6438" t="str">
        <f>"001160"</f>
        <v>0</v>
      </c>
      <c r="G6438" t="s">
        <v>21</v>
      </c>
    </row>
    <row r="6439" spans="1:7">
      <c r="A6439">
        <v>6438</v>
      </c>
      <c r="B6439" t="str">
        <f>"016990"</f>
        <v>0</v>
      </c>
      <c r="C6439" t="s">
        <v>7305</v>
      </c>
      <c r="D6439" t="s">
        <v>10274</v>
      </c>
      <c r="E6439" t="str">
        <f>"3659900432672"</f>
        <v>0</v>
      </c>
      <c r="F6439" t="str">
        <f>"001160"</f>
        <v>0</v>
      </c>
      <c r="G6439" t="s">
        <v>21</v>
      </c>
    </row>
    <row r="6440" spans="1:7">
      <c r="A6440">
        <v>6439</v>
      </c>
      <c r="B6440" t="str">
        <f>"019086"</f>
        <v>0</v>
      </c>
      <c r="C6440" t="s">
        <v>684</v>
      </c>
      <c r="D6440" t="s">
        <v>10275</v>
      </c>
      <c r="E6440" t="str">
        <f>"3650600532533"</f>
        <v>0</v>
      </c>
      <c r="F6440" t="str">
        <f>"001160"</f>
        <v>0</v>
      </c>
      <c r="G6440" t="s">
        <v>21</v>
      </c>
    </row>
    <row r="6441" spans="1:7">
      <c r="A6441">
        <v>6440</v>
      </c>
      <c r="B6441" t="str">
        <f>"019427"</f>
        <v>0</v>
      </c>
      <c r="C6441" t="s">
        <v>10276</v>
      </c>
      <c r="D6441" t="s">
        <v>10277</v>
      </c>
      <c r="E6441" t="str">
        <f>"3650800023772"</f>
        <v>0</v>
      </c>
      <c r="F6441" t="str">
        <f>"001160"</f>
        <v>0</v>
      </c>
      <c r="G6441" t="s">
        <v>21</v>
      </c>
    </row>
    <row r="6442" spans="1:7">
      <c r="A6442">
        <v>6441</v>
      </c>
      <c r="B6442" t="str">
        <f>"019442"</f>
        <v>0</v>
      </c>
      <c r="C6442" t="s">
        <v>342</v>
      </c>
      <c r="D6442" t="s">
        <v>10278</v>
      </c>
      <c r="E6442" t="str">
        <f>"3650100582094"</f>
        <v>0</v>
      </c>
      <c r="F6442" t="str">
        <f>"001160"</f>
        <v>0</v>
      </c>
      <c r="G6442" t="s">
        <v>21</v>
      </c>
    </row>
    <row r="6443" spans="1:7">
      <c r="A6443">
        <v>6442</v>
      </c>
      <c r="B6443" t="str">
        <f>"019531"</f>
        <v>0</v>
      </c>
      <c r="C6443" t="s">
        <v>10279</v>
      </c>
      <c r="D6443" t="s">
        <v>10280</v>
      </c>
      <c r="E6443" t="str">
        <f>"3650700061222"</f>
        <v>0</v>
      </c>
      <c r="F6443" t="str">
        <f>"001160"</f>
        <v>0</v>
      </c>
      <c r="G6443" t="s">
        <v>21</v>
      </c>
    </row>
    <row r="6444" spans="1:7">
      <c r="A6444">
        <v>6443</v>
      </c>
      <c r="B6444" t="str">
        <f>"020182"</f>
        <v>0</v>
      </c>
      <c r="C6444" t="s">
        <v>468</v>
      </c>
      <c r="D6444" t="s">
        <v>10281</v>
      </c>
      <c r="E6444" t="str">
        <f>"3659900010883"</f>
        <v>0</v>
      </c>
      <c r="F6444" t="str">
        <f>"001160"</f>
        <v>0</v>
      </c>
      <c r="G6444" t="s">
        <v>21</v>
      </c>
    </row>
    <row r="6445" spans="1:7">
      <c r="A6445">
        <v>6444</v>
      </c>
      <c r="B6445" t="str">
        <f>"020395"</f>
        <v>0</v>
      </c>
      <c r="C6445" t="s">
        <v>10282</v>
      </c>
      <c r="D6445" t="s">
        <v>10283</v>
      </c>
      <c r="E6445" t="str">
        <f>"3401700706625"</f>
        <v>0</v>
      </c>
      <c r="F6445" t="str">
        <f>"001160"</f>
        <v>0</v>
      </c>
      <c r="G6445" t="s">
        <v>21</v>
      </c>
    </row>
    <row r="6446" spans="1:7">
      <c r="A6446">
        <v>6445</v>
      </c>
      <c r="B6446" t="str">
        <f>"020526"</f>
        <v>0</v>
      </c>
      <c r="C6446" t="s">
        <v>10284</v>
      </c>
      <c r="D6446" t="s">
        <v>10285</v>
      </c>
      <c r="E6446" t="str">
        <f>"3659900324721"</f>
        <v>0</v>
      </c>
      <c r="F6446" t="str">
        <f>"001160"</f>
        <v>0</v>
      </c>
      <c r="G6446" t="s">
        <v>21</v>
      </c>
    </row>
    <row r="6447" spans="1:7">
      <c r="A6447">
        <v>6446</v>
      </c>
      <c r="B6447" t="str">
        <f>"020527"</f>
        <v>0</v>
      </c>
      <c r="C6447" t="s">
        <v>3457</v>
      </c>
      <c r="D6447" t="s">
        <v>10286</v>
      </c>
      <c r="E6447" t="str">
        <f>"3102400543520"</f>
        <v>0</v>
      </c>
      <c r="F6447" t="str">
        <f>"001160"</f>
        <v>0</v>
      </c>
      <c r="G6447" t="s">
        <v>21</v>
      </c>
    </row>
    <row r="6448" spans="1:7">
      <c r="A6448">
        <v>6447</v>
      </c>
      <c r="B6448" t="str">
        <f>"020815"</f>
        <v>0</v>
      </c>
      <c r="C6448" t="s">
        <v>2441</v>
      </c>
      <c r="D6448" t="s">
        <v>10287</v>
      </c>
      <c r="E6448" t="str">
        <f>"5650700017149"</f>
        <v>0</v>
      </c>
      <c r="F6448" t="str">
        <f>"001160"</f>
        <v>0</v>
      </c>
      <c r="G6448" t="s">
        <v>21</v>
      </c>
    </row>
    <row r="6449" spans="1:7">
      <c r="A6449">
        <v>6448</v>
      </c>
      <c r="B6449" t="str">
        <f>"020817"</f>
        <v>0</v>
      </c>
      <c r="C6449" t="s">
        <v>10288</v>
      </c>
      <c r="D6449" t="s">
        <v>10289</v>
      </c>
      <c r="E6449" t="str">
        <f>"3659900725815"</f>
        <v>0</v>
      </c>
      <c r="F6449" t="str">
        <f>"001160"</f>
        <v>0</v>
      </c>
      <c r="G6449" t="s">
        <v>21</v>
      </c>
    </row>
    <row r="6450" spans="1:7">
      <c r="A6450">
        <v>6449</v>
      </c>
      <c r="B6450" t="str">
        <f>"020866"</f>
        <v>0</v>
      </c>
      <c r="C6450" t="s">
        <v>10290</v>
      </c>
      <c r="D6450" t="s">
        <v>10291</v>
      </c>
      <c r="E6450" t="str">
        <f>"3170100078919"</f>
        <v>0</v>
      </c>
      <c r="F6450" t="str">
        <f>"001160"</f>
        <v>0</v>
      </c>
      <c r="G6450" t="s">
        <v>21</v>
      </c>
    </row>
    <row r="6451" spans="1:7">
      <c r="A6451">
        <v>6450</v>
      </c>
      <c r="B6451" t="str">
        <f>"021322"</f>
        <v>0</v>
      </c>
      <c r="C6451" t="s">
        <v>375</v>
      </c>
      <c r="D6451" t="s">
        <v>10292</v>
      </c>
      <c r="E6451" t="str">
        <f>"3650100948510"</f>
        <v>0</v>
      </c>
      <c r="F6451" t="str">
        <f>"001160"</f>
        <v>0</v>
      </c>
      <c r="G6451" t="s">
        <v>21</v>
      </c>
    </row>
    <row r="6452" spans="1:7">
      <c r="A6452">
        <v>6451</v>
      </c>
      <c r="B6452" t="str">
        <f>"021328"</f>
        <v>0</v>
      </c>
      <c r="C6452" t="s">
        <v>10293</v>
      </c>
      <c r="D6452" t="s">
        <v>3264</v>
      </c>
      <c r="E6452" t="str">
        <f>"5650600045485"</f>
        <v>0</v>
      </c>
      <c r="F6452" t="str">
        <f>"001160"</f>
        <v>0</v>
      </c>
      <c r="G6452" t="s">
        <v>21</v>
      </c>
    </row>
    <row r="6453" spans="1:7">
      <c r="A6453">
        <v>6452</v>
      </c>
      <c r="B6453" t="str">
        <f>"021395"</f>
        <v>0</v>
      </c>
      <c r="C6453" t="s">
        <v>10294</v>
      </c>
      <c r="D6453" t="s">
        <v>10295</v>
      </c>
      <c r="E6453" t="str">
        <f>"3501900602601"</f>
        <v>0</v>
      </c>
      <c r="F6453" t="str">
        <f>"001160"</f>
        <v>0</v>
      </c>
      <c r="G6453" t="s">
        <v>21</v>
      </c>
    </row>
    <row r="6454" spans="1:7">
      <c r="A6454">
        <v>6453</v>
      </c>
      <c r="B6454" t="str">
        <f>"021702"</f>
        <v>0</v>
      </c>
      <c r="C6454" t="s">
        <v>1857</v>
      </c>
      <c r="D6454" t="s">
        <v>10296</v>
      </c>
      <c r="E6454" t="str">
        <f>"3510300083947"</f>
        <v>0</v>
      </c>
      <c r="F6454" t="str">
        <f>"001160"</f>
        <v>0</v>
      </c>
      <c r="G6454" t="s">
        <v>21</v>
      </c>
    </row>
    <row r="6455" spans="1:7">
      <c r="A6455">
        <v>6454</v>
      </c>
      <c r="B6455" t="str">
        <f>"021931"</f>
        <v>0</v>
      </c>
      <c r="C6455" t="s">
        <v>10297</v>
      </c>
      <c r="D6455" t="s">
        <v>10298</v>
      </c>
      <c r="E6455" t="str">
        <f>"3650200509909"</f>
        <v>0</v>
      </c>
      <c r="F6455" t="str">
        <f>"001160"</f>
        <v>0</v>
      </c>
      <c r="G6455" t="s">
        <v>21</v>
      </c>
    </row>
    <row r="6456" spans="1:7">
      <c r="A6456">
        <v>6455</v>
      </c>
      <c r="B6456" t="str">
        <f>"021932"</f>
        <v>0</v>
      </c>
      <c r="C6456" t="s">
        <v>7539</v>
      </c>
      <c r="D6456" t="s">
        <v>5683</v>
      </c>
      <c r="E6456" t="str">
        <f>"3650700115608"</f>
        <v>0</v>
      </c>
      <c r="F6456" t="str">
        <f>"001160"</f>
        <v>0</v>
      </c>
      <c r="G6456" t="s">
        <v>21</v>
      </c>
    </row>
    <row r="6457" spans="1:7">
      <c r="A6457">
        <v>6456</v>
      </c>
      <c r="B6457" t="str">
        <f>"022126"</f>
        <v>0</v>
      </c>
      <c r="C6457" t="s">
        <v>10299</v>
      </c>
      <c r="D6457" t="s">
        <v>10300</v>
      </c>
      <c r="E6457" t="str">
        <f>"3650600617407"</f>
        <v>0</v>
      </c>
      <c r="F6457" t="str">
        <f>"001160"</f>
        <v>0</v>
      </c>
      <c r="G6457" t="s">
        <v>21</v>
      </c>
    </row>
    <row r="6458" spans="1:7">
      <c r="A6458">
        <v>6457</v>
      </c>
      <c r="B6458" t="str">
        <f>"022898"</f>
        <v>0</v>
      </c>
      <c r="C6458" t="s">
        <v>10301</v>
      </c>
      <c r="D6458" t="s">
        <v>10302</v>
      </c>
      <c r="E6458" t="str">
        <f>"3659900314751"</f>
        <v>0</v>
      </c>
      <c r="F6458" t="str">
        <f>"001160"</f>
        <v>0</v>
      </c>
      <c r="G6458" t="s">
        <v>21</v>
      </c>
    </row>
    <row r="6459" spans="1:7">
      <c r="A6459">
        <v>6458</v>
      </c>
      <c r="B6459" t="str">
        <f>"022938"</f>
        <v>0</v>
      </c>
      <c r="C6459" t="s">
        <v>10303</v>
      </c>
      <c r="D6459" t="s">
        <v>10304</v>
      </c>
      <c r="E6459" t="str">
        <f>"3540400209152"</f>
        <v>0</v>
      </c>
      <c r="F6459" t="str">
        <f>"001160"</f>
        <v>0</v>
      </c>
      <c r="G6459" t="s">
        <v>21</v>
      </c>
    </row>
    <row r="6460" spans="1:7">
      <c r="A6460">
        <v>6459</v>
      </c>
      <c r="B6460" t="str">
        <f>"022961"</f>
        <v>0</v>
      </c>
      <c r="C6460" t="s">
        <v>10305</v>
      </c>
      <c r="D6460" t="s">
        <v>10306</v>
      </c>
      <c r="E6460" t="str">
        <f>"3300101305542"</f>
        <v>0</v>
      </c>
      <c r="F6460" t="str">
        <f>"001160"</f>
        <v>0</v>
      </c>
      <c r="G6460" t="s">
        <v>21</v>
      </c>
    </row>
    <row r="6461" spans="1:7">
      <c r="A6461">
        <v>6460</v>
      </c>
      <c r="B6461" t="str">
        <f>"023119"</f>
        <v>0</v>
      </c>
      <c r="C6461" t="s">
        <v>10307</v>
      </c>
      <c r="D6461" t="s">
        <v>10308</v>
      </c>
      <c r="E6461" t="str">
        <f>"1659900326965"</f>
        <v>0</v>
      </c>
      <c r="F6461" t="str">
        <f>"001160"</f>
        <v>0</v>
      </c>
      <c r="G6461" t="s">
        <v>21</v>
      </c>
    </row>
    <row r="6462" spans="1:7">
      <c r="A6462">
        <v>6461</v>
      </c>
      <c r="B6462" t="str">
        <f>"023421"</f>
        <v>0</v>
      </c>
      <c r="C6462" t="s">
        <v>10309</v>
      </c>
      <c r="D6462" t="s">
        <v>10310</v>
      </c>
      <c r="E6462" t="str">
        <f>"1160100093784"</f>
        <v>0</v>
      </c>
      <c r="F6462" t="str">
        <f>"001160"</f>
        <v>0</v>
      </c>
      <c r="G6462" t="s">
        <v>21</v>
      </c>
    </row>
    <row r="6463" spans="1:7">
      <c r="A6463">
        <v>6462</v>
      </c>
      <c r="B6463" t="str">
        <f>"024060"</f>
        <v>0</v>
      </c>
      <c r="C6463" t="s">
        <v>10311</v>
      </c>
      <c r="D6463" t="s">
        <v>10312</v>
      </c>
      <c r="E6463" t="str">
        <f>"1659900090791"</f>
        <v>0</v>
      </c>
      <c r="F6463" t="str">
        <f>"001160"</f>
        <v>0</v>
      </c>
      <c r="G6463" t="s">
        <v>21</v>
      </c>
    </row>
    <row r="6464" spans="1:7">
      <c r="A6464">
        <v>6463</v>
      </c>
      <c r="B6464" t="str">
        <f>"024063"</f>
        <v>0</v>
      </c>
      <c r="C6464" t="s">
        <v>878</v>
      </c>
      <c r="D6464" t="s">
        <v>10313</v>
      </c>
      <c r="E6464" t="str">
        <f>"1659900116049"</f>
        <v>0</v>
      </c>
      <c r="F6464" t="str">
        <f>"001160"</f>
        <v>0</v>
      </c>
      <c r="G6464" t="s">
        <v>21</v>
      </c>
    </row>
    <row r="6465" spans="1:7">
      <c r="A6465">
        <v>6464</v>
      </c>
      <c r="B6465" t="str">
        <f>"024064"</f>
        <v>0</v>
      </c>
      <c r="C6465" t="s">
        <v>10314</v>
      </c>
      <c r="D6465" t="s">
        <v>10315</v>
      </c>
      <c r="E6465" t="str">
        <f>"3100203292450"</f>
        <v>0</v>
      </c>
      <c r="F6465" t="str">
        <f>"001160"</f>
        <v>0</v>
      </c>
      <c r="G6465" t="s">
        <v>21</v>
      </c>
    </row>
    <row r="6466" spans="1:7">
      <c r="A6466">
        <v>6465</v>
      </c>
      <c r="B6466" t="str">
        <f>"024069"</f>
        <v>0</v>
      </c>
      <c r="C6466" t="s">
        <v>10316</v>
      </c>
      <c r="D6466" t="s">
        <v>10317</v>
      </c>
      <c r="E6466" t="str">
        <f>"1650200051221"</f>
        <v>0</v>
      </c>
      <c r="F6466" t="str">
        <f>"001160"</f>
        <v>0</v>
      </c>
      <c r="G6466" t="s">
        <v>21</v>
      </c>
    </row>
    <row r="6467" spans="1:7">
      <c r="A6467">
        <v>6466</v>
      </c>
      <c r="B6467" t="str">
        <f>"024283"</f>
        <v>0</v>
      </c>
      <c r="C6467" t="s">
        <v>10318</v>
      </c>
      <c r="D6467" t="s">
        <v>10319</v>
      </c>
      <c r="E6467" t="str">
        <f>"3650101132912"</f>
        <v>0</v>
      </c>
      <c r="F6467" t="str">
        <f>"001160"</f>
        <v>0</v>
      </c>
      <c r="G6467" t="s">
        <v>21</v>
      </c>
    </row>
    <row r="6468" spans="1:7">
      <c r="A6468">
        <v>6467</v>
      </c>
      <c r="B6468" t="str">
        <f>"024292"</f>
        <v>0</v>
      </c>
      <c r="C6468" t="s">
        <v>7665</v>
      </c>
      <c r="D6468" t="s">
        <v>10320</v>
      </c>
      <c r="E6468" t="str">
        <f>"3660700103847"</f>
        <v>0</v>
      </c>
      <c r="F6468" t="str">
        <f>"001160"</f>
        <v>0</v>
      </c>
      <c r="G6468" t="s">
        <v>21</v>
      </c>
    </row>
    <row r="6469" spans="1:7">
      <c r="A6469">
        <v>6468</v>
      </c>
      <c r="B6469" t="str">
        <f>"024641"</f>
        <v>0</v>
      </c>
      <c r="C6469" t="s">
        <v>10321</v>
      </c>
      <c r="D6469" t="s">
        <v>10322</v>
      </c>
      <c r="E6469" t="str">
        <f>"3501200556372"</f>
        <v>0</v>
      </c>
      <c r="F6469" t="str">
        <f>"001160"</f>
        <v>0</v>
      </c>
      <c r="G6469" t="s">
        <v>21</v>
      </c>
    </row>
    <row r="6470" spans="1:7">
      <c r="A6470">
        <v>6469</v>
      </c>
      <c r="B6470" t="str">
        <f>"024921"</f>
        <v>0</v>
      </c>
      <c r="C6470" t="s">
        <v>6561</v>
      </c>
      <c r="D6470" t="s">
        <v>10323</v>
      </c>
      <c r="E6470" t="str">
        <f>"4650100002070"</f>
        <v>0</v>
      </c>
      <c r="F6470" t="str">
        <f>"001160"</f>
        <v>0</v>
      </c>
      <c r="G6470" t="s">
        <v>21</v>
      </c>
    </row>
    <row r="6471" spans="1:7">
      <c r="A6471">
        <v>6470</v>
      </c>
      <c r="B6471" t="str">
        <f>"025011"</f>
        <v>0</v>
      </c>
      <c r="C6471" t="s">
        <v>10324</v>
      </c>
      <c r="D6471" t="s">
        <v>10325</v>
      </c>
      <c r="E6471" t="str">
        <f>"1539900063264"</f>
        <v>0</v>
      </c>
      <c r="F6471" t="str">
        <f>"001160"</f>
        <v>0</v>
      </c>
      <c r="G6471" t="s">
        <v>21</v>
      </c>
    </row>
    <row r="6472" spans="1:7">
      <c r="A6472">
        <v>6471</v>
      </c>
      <c r="B6472" t="str">
        <f>"025295"</f>
        <v>0</v>
      </c>
      <c r="C6472" t="s">
        <v>10326</v>
      </c>
      <c r="D6472" t="s">
        <v>10327</v>
      </c>
      <c r="E6472" t="str">
        <f>"3650300167261"</f>
        <v>0</v>
      </c>
      <c r="F6472" t="str">
        <f>"001160"</f>
        <v>0</v>
      </c>
      <c r="G6472" t="s">
        <v>21</v>
      </c>
    </row>
    <row r="6473" spans="1:7">
      <c r="A6473">
        <v>6472</v>
      </c>
      <c r="B6473" t="str">
        <f>"025296"</f>
        <v>0</v>
      </c>
      <c r="C6473" t="s">
        <v>10328</v>
      </c>
      <c r="D6473" t="s">
        <v>10329</v>
      </c>
      <c r="E6473" t="str">
        <f>"1659900280248"</f>
        <v>0</v>
      </c>
      <c r="F6473" t="str">
        <f>"001160"</f>
        <v>0</v>
      </c>
      <c r="G6473" t="s">
        <v>21</v>
      </c>
    </row>
    <row r="6474" spans="1:7">
      <c r="A6474">
        <v>6473</v>
      </c>
      <c r="B6474" t="str">
        <f>"025298"</f>
        <v>0</v>
      </c>
      <c r="C6474" t="s">
        <v>10330</v>
      </c>
      <c r="D6474" t="s">
        <v>10331</v>
      </c>
      <c r="E6474" t="str">
        <f>"3749900353330"</f>
        <v>0</v>
      </c>
      <c r="F6474" t="str">
        <f>"001160"</f>
        <v>0</v>
      </c>
      <c r="G6474" t="s">
        <v>21</v>
      </c>
    </row>
    <row r="6475" spans="1:7">
      <c r="A6475">
        <v>6474</v>
      </c>
      <c r="B6475" t="str">
        <f>"025490"</f>
        <v>0</v>
      </c>
      <c r="C6475" t="s">
        <v>10332</v>
      </c>
      <c r="D6475" t="s">
        <v>10333</v>
      </c>
      <c r="E6475" t="str">
        <f>"3650100964809"</f>
        <v>0</v>
      </c>
      <c r="F6475" t="str">
        <f>"001160"</f>
        <v>0</v>
      </c>
      <c r="G6475" t="s">
        <v>21</v>
      </c>
    </row>
    <row r="6476" spans="1:7">
      <c r="A6476">
        <v>6475</v>
      </c>
      <c r="B6476" t="str">
        <f>"025627"</f>
        <v>0</v>
      </c>
      <c r="C6476" t="s">
        <v>828</v>
      </c>
      <c r="D6476" t="s">
        <v>10334</v>
      </c>
      <c r="E6476" t="str">
        <f>"3650100360971"</f>
        <v>0</v>
      </c>
      <c r="F6476" t="str">
        <f>"001160"</f>
        <v>0</v>
      </c>
      <c r="G6476" t="s">
        <v>21</v>
      </c>
    </row>
    <row r="6477" spans="1:7">
      <c r="A6477">
        <v>6476</v>
      </c>
      <c r="B6477" t="str">
        <f>"025647"</f>
        <v>0</v>
      </c>
      <c r="C6477" t="s">
        <v>10335</v>
      </c>
      <c r="D6477" t="s">
        <v>10336</v>
      </c>
      <c r="E6477" t="str">
        <f>"3650100153584"</f>
        <v>0</v>
      </c>
      <c r="F6477" t="str">
        <f>"001160"</f>
        <v>0</v>
      </c>
      <c r="G6477" t="s">
        <v>21</v>
      </c>
    </row>
    <row r="6478" spans="1:7">
      <c r="A6478">
        <v>6477</v>
      </c>
      <c r="B6478" t="str">
        <f>"026168"</f>
        <v>0</v>
      </c>
      <c r="C6478" t="s">
        <v>10337</v>
      </c>
      <c r="D6478" t="s">
        <v>10338</v>
      </c>
      <c r="E6478" t="str">
        <f>"1309900160113"</f>
        <v>0</v>
      </c>
      <c r="F6478" t="str">
        <f>"001160"</f>
        <v>0</v>
      </c>
      <c r="G6478" t="s">
        <v>21</v>
      </c>
    </row>
    <row r="6479" spans="1:7">
      <c r="A6479">
        <v>6478</v>
      </c>
      <c r="B6479" t="str">
        <f>"026373"</f>
        <v>0</v>
      </c>
      <c r="C6479" t="s">
        <v>2648</v>
      </c>
      <c r="D6479" t="s">
        <v>10339</v>
      </c>
      <c r="E6479" t="str">
        <f>"1650900056811"</f>
        <v>0</v>
      </c>
      <c r="F6479" t="str">
        <f>"001160"</f>
        <v>0</v>
      </c>
      <c r="G6479" t="s">
        <v>21</v>
      </c>
    </row>
    <row r="6480" spans="1:7">
      <c r="A6480">
        <v>6479</v>
      </c>
      <c r="B6480" t="str">
        <f>"026902"</f>
        <v>0</v>
      </c>
      <c r="C6480" t="s">
        <v>3389</v>
      </c>
      <c r="D6480" t="s">
        <v>10340</v>
      </c>
      <c r="E6480" t="str">
        <f>"3650800776436"</f>
        <v>0</v>
      </c>
      <c r="F6480" t="str">
        <f>"001160"</f>
        <v>0</v>
      </c>
      <c r="G6480" t="s">
        <v>21</v>
      </c>
    </row>
    <row r="6481" spans="1:7">
      <c r="A6481">
        <v>6480</v>
      </c>
      <c r="B6481" t="str">
        <f>"026963"</f>
        <v>0</v>
      </c>
      <c r="C6481" t="s">
        <v>10341</v>
      </c>
      <c r="D6481" t="s">
        <v>10342</v>
      </c>
      <c r="E6481" t="str">
        <f>"1670400074462"</f>
        <v>0</v>
      </c>
      <c r="F6481" t="str">
        <f>"001160"</f>
        <v>0</v>
      </c>
      <c r="G6481" t="s">
        <v>21</v>
      </c>
    </row>
    <row r="6482" spans="1:7">
      <c r="A6482">
        <v>6481</v>
      </c>
      <c r="B6482" t="str">
        <f>"027160"</f>
        <v>0</v>
      </c>
      <c r="C6482" t="s">
        <v>1118</v>
      </c>
      <c r="D6482" t="s">
        <v>10343</v>
      </c>
      <c r="E6482" t="str">
        <f>"1539900416272"</f>
        <v>0</v>
      </c>
      <c r="F6482" t="str">
        <f>"001160"</f>
        <v>0</v>
      </c>
      <c r="G6482" t="s">
        <v>21</v>
      </c>
    </row>
    <row r="6483" spans="1:7">
      <c r="A6483">
        <v>6482</v>
      </c>
      <c r="B6483" t="str">
        <f>"021513"</f>
        <v>0</v>
      </c>
      <c r="C6483" t="s">
        <v>10344</v>
      </c>
      <c r="D6483" t="s">
        <v>10345</v>
      </c>
      <c r="E6483" t="str">
        <f>"3660300017307"</f>
        <v>0</v>
      </c>
      <c r="F6483" t="str">
        <f>"001160"</f>
        <v>0</v>
      </c>
      <c r="G6483" t="s">
        <v>21</v>
      </c>
    </row>
    <row r="6484" spans="1:7">
      <c r="A6484">
        <v>6483</v>
      </c>
      <c r="B6484" t="str">
        <f>"025072"</f>
        <v>0</v>
      </c>
      <c r="C6484" t="s">
        <v>10346</v>
      </c>
      <c r="D6484" t="s">
        <v>4139</v>
      </c>
      <c r="E6484" t="str">
        <f>"1669900026163"</f>
        <v>0</v>
      </c>
      <c r="F6484" t="str">
        <f>"001160"</f>
        <v>0</v>
      </c>
      <c r="G6484" t="s">
        <v>21</v>
      </c>
    </row>
    <row r="6485" spans="1:7">
      <c r="A6485">
        <v>6484</v>
      </c>
      <c r="B6485" t="str">
        <f>"027159"</f>
        <v>0</v>
      </c>
      <c r="C6485" t="s">
        <v>10347</v>
      </c>
      <c r="D6485" t="s">
        <v>10348</v>
      </c>
      <c r="E6485" t="str">
        <f>"1840800037830"</f>
        <v>0</v>
      </c>
      <c r="F6485" t="str">
        <f>"001160"</f>
        <v>0</v>
      </c>
      <c r="G6485" t="s">
        <v>21</v>
      </c>
    </row>
    <row r="6486" spans="1:7">
      <c r="A6486">
        <v>6485</v>
      </c>
      <c r="B6486" t="str">
        <f>"011850"</f>
        <v>0</v>
      </c>
      <c r="C6486" t="s">
        <v>731</v>
      </c>
      <c r="D6486" t="s">
        <v>10349</v>
      </c>
      <c r="E6486" t="str">
        <f>"4540200001637"</f>
        <v>0</v>
      </c>
      <c r="F6486" t="str">
        <f>"001160"</f>
        <v>0</v>
      </c>
      <c r="G6486" t="s">
        <v>21</v>
      </c>
    </row>
    <row r="6487" spans="1:7">
      <c r="A6487">
        <v>6486</v>
      </c>
      <c r="B6487" t="str">
        <f>"022458"</f>
        <v>0</v>
      </c>
      <c r="C6487" t="s">
        <v>10350</v>
      </c>
      <c r="D6487" t="s">
        <v>10351</v>
      </c>
      <c r="E6487" t="str">
        <f>"3530900020105"</f>
        <v>0</v>
      </c>
      <c r="F6487" t="str">
        <f>"001160"</f>
        <v>0</v>
      </c>
      <c r="G6487" t="s">
        <v>21</v>
      </c>
    </row>
    <row r="6488" spans="1:7">
      <c r="A6488">
        <v>6487</v>
      </c>
      <c r="B6488" t="str">
        <f>"021154"</f>
        <v>0</v>
      </c>
      <c r="C6488" t="s">
        <v>655</v>
      </c>
      <c r="D6488" t="s">
        <v>10289</v>
      </c>
      <c r="E6488" t="str">
        <f>"3659900035487"</f>
        <v>0</v>
      </c>
      <c r="F6488" t="str">
        <f>"001160"</f>
        <v>0</v>
      </c>
      <c r="G6488" t="s">
        <v>21</v>
      </c>
    </row>
    <row r="6489" spans="1:7">
      <c r="A6489">
        <v>6488</v>
      </c>
      <c r="B6489" t="str">
        <f>"022733"</f>
        <v>0</v>
      </c>
      <c r="C6489" t="s">
        <v>10352</v>
      </c>
      <c r="D6489" t="s">
        <v>10353</v>
      </c>
      <c r="E6489" t="str">
        <f>"1470500039521"</f>
        <v>0</v>
      </c>
      <c r="F6489" t="str">
        <f>"001160"</f>
        <v>0</v>
      </c>
      <c r="G6489" t="s">
        <v>21</v>
      </c>
    </row>
    <row r="6490" spans="1:7">
      <c r="A6490">
        <v>6489</v>
      </c>
      <c r="B6490" t="str">
        <f>"023422"</f>
        <v>0</v>
      </c>
      <c r="C6490" t="s">
        <v>10354</v>
      </c>
      <c r="D6490" t="s">
        <v>10355</v>
      </c>
      <c r="E6490" t="str">
        <f>"3650100722171"</f>
        <v>0</v>
      </c>
      <c r="F6490" t="str">
        <f>"001160"</f>
        <v>0</v>
      </c>
      <c r="G6490" t="s">
        <v>21</v>
      </c>
    </row>
    <row r="6491" spans="1:7">
      <c r="A6491">
        <v>6490</v>
      </c>
      <c r="B6491" t="str">
        <f>"023984"</f>
        <v>0</v>
      </c>
      <c r="C6491" t="s">
        <v>10356</v>
      </c>
      <c r="D6491" t="s">
        <v>10357</v>
      </c>
      <c r="E6491" t="str">
        <f>"1659900098181"</f>
        <v>0</v>
      </c>
      <c r="F6491" t="str">
        <f>"001160"</f>
        <v>0</v>
      </c>
      <c r="G6491" t="s">
        <v>21</v>
      </c>
    </row>
    <row r="6492" spans="1:7">
      <c r="A6492">
        <v>6491</v>
      </c>
      <c r="B6492" t="str">
        <f>"024639"</f>
        <v>0</v>
      </c>
      <c r="C6492" t="s">
        <v>10358</v>
      </c>
      <c r="D6492" t="s">
        <v>10359</v>
      </c>
      <c r="E6492" t="str">
        <f>"3650100328856"</f>
        <v>0</v>
      </c>
      <c r="F6492" t="str">
        <f>"001160"</f>
        <v>0</v>
      </c>
      <c r="G6492" t="s">
        <v>21</v>
      </c>
    </row>
    <row r="6493" spans="1:7">
      <c r="A6493">
        <v>6492</v>
      </c>
      <c r="B6493" t="str">
        <f>"016963"</f>
        <v>0</v>
      </c>
      <c r="C6493" t="s">
        <v>1021</v>
      </c>
      <c r="D6493" t="s">
        <v>10360</v>
      </c>
      <c r="E6493" t="str">
        <f>"3669800049231"</f>
        <v>0</v>
      </c>
      <c r="F6493" t="str">
        <f>"001160"</f>
        <v>0</v>
      </c>
      <c r="G6493" t="s">
        <v>21</v>
      </c>
    </row>
    <row r="6494" spans="1:7">
      <c r="A6494">
        <v>6493</v>
      </c>
      <c r="B6494" t="str">
        <f>"021938"</f>
        <v>0</v>
      </c>
      <c r="C6494" t="s">
        <v>10361</v>
      </c>
      <c r="D6494" t="s">
        <v>5660</v>
      </c>
      <c r="E6494" t="str">
        <f>"3500100415326"</f>
        <v>0</v>
      </c>
      <c r="F6494" t="str">
        <f>"001160"</f>
        <v>0</v>
      </c>
      <c r="G6494" t="s">
        <v>21</v>
      </c>
    </row>
    <row r="6495" spans="1:7">
      <c r="A6495">
        <v>6494</v>
      </c>
      <c r="B6495" t="str">
        <f>"014987"</f>
        <v>0</v>
      </c>
      <c r="C6495" t="s">
        <v>46</v>
      </c>
      <c r="D6495" t="s">
        <v>10362</v>
      </c>
      <c r="E6495" t="str">
        <f>"3669800079202"</f>
        <v>0</v>
      </c>
      <c r="F6495" t="str">
        <f>"001160"</f>
        <v>0</v>
      </c>
      <c r="G6495" t="s">
        <v>21</v>
      </c>
    </row>
    <row r="6496" spans="1:7">
      <c r="A6496">
        <v>6495</v>
      </c>
      <c r="B6496" t="str">
        <f>"011569"</f>
        <v>0</v>
      </c>
      <c r="C6496" t="s">
        <v>10363</v>
      </c>
      <c r="D6496" t="s">
        <v>10364</v>
      </c>
      <c r="E6496" t="str">
        <f>"3660100460495"</f>
        <v>0</v>
      </c>
      <c r="F6496" t="str">
        <f>"001160"</f>
        <v>0</v>
      </c>
      <c r="G6496" t="s">
        <v>21</v>
      </c>
    </row>
    <row r="6497" spans="1:7">
      <c r="A6497">
        <v>6496</v>
      </c>
      <c r="B6497" t="str">
        <f>"011571"</f>
        <v>0</v>
      </c>
      <c r="C6497" t="s">
        <v>10365</v>
      </c>
      <c r="D6497" t="s">
        <v>7163</v>
      </c>
      <c r="E6497" t="str">
        <f>"3330501226674"</f>
        <v>0</v>
      </c>
      <c r="F6497" t="str">
        <f>"001160"</f>
        <v>0</v>
      </c>
      <c r="G6497" t="s">
        <v>21</v>
      </c>
    </row>
    <row r="6498" spans="1:7">
      <c r="A6498">
        <v>6497</v>
      </c>
      <c r="B6498" t="str">
        <f>"016020"</f>
        <v>0</v>
      </c>
      <c r="C6498" t="s">
        <v>10366</v>
      </c>
      <c r="D6498" t="s">
        <v>4242</v>
      </c>
      <c r="E6498" t="str">
        <f>"3650200161333"</f>
        <v>0</v>
      </c>
      <c r="F6498" t="str">
        <f>"001160"</f>
        <v>0</v>
      </c>
      <c r="G6498" t="s">
        <v>21</v>
      </c>
    </row>
    <row r="6499" spans="1:7">
      <c r="A6499">
        <v>6498</v>
      </c>
      <c r="B6499" t="str">
        <f>"019855"</f>
        <v>0</v>
      </c>
      <c r="C6499" t="s">
        <v>10367</v>
      </c>
      <c r="D6499" t="s">
        <v>10368</v>
      </c>
      <c r="E6499" t="str">
        <f>"3650800398148"</f>
        <v>0</v>
      </c>
      <c r="F6499" t="str">
        <f>"001160"</f>
        <v>0</v>
      </c>
      <c r="G6499" t="s">
        <v>21</v>
      </c>
    </row>
    <row r="6500" spans="1:7">
      <c r="A6500">
        <v>6499</v>
      </c>
      <c r="B6500" t="str">
        <f>"020889"</f>
        <v>0</v>
      </c>
      <c r="C6500" t="s">
        <v>10369</v>
      </c>
      <c r="D6500" t="s">
        <v>10370</v>
      </c>
      <c r="E6500" t="str">
        <f>"3100501166231"</f>
        <v>0</v>
      </c>
      <c r="F6500" t="str">
        <f>"001160"</f>
        <v>0</v>
      </c>
      <c r="G6500" t="s">
        <v>21</v>
      </c>
    </row>
    <row r="6501" spans="1:7">
      <c r="A6501">
        <v>6500</v>
      </c>
      <c r="B6501" t="str">
        <f>"022840"</f>
        <v>0</v>
      </c>
      <c r="C6501" t="s">
        <v>10371</v>
      </c>
      <c r="D6501" t="s">
        <v>10372</v>
      </c>
      <c r="E6501" t="str">
        <f>"3401200322143"</f>
        <v>0</v>
      </c>
      <c r="F6501" t="str">
        <f>"001160"</f>
        <v>0</v>
      </c>
      <c r="G6501" t="s">
        <v>21</v>
      </c>
    </row>
    <row r="6502" spans="1:7">
      <c r="A6502">
        <v>6501</v>
      </c>
      <c r="B6502" t="str">
        <f>"026093"</f>
        <v>0</v>
      </c>
      <c r="C6502" t="s">
        <v>10373</v>
      </c>
      <c r="D6502" t="s">
        <v>2736</v>
      </c>
      <c r="E6502" t="str">
        <f>"4659900001254"</f>
        <v>0</v>
      </c>
      <c r="F6502" t="str">
        <f>"001160"</f>
        <v>0</v>
      </c>
      <c r="G6502" t="s">
        <v>21</v>
      </c>
    </row>
    <row r="6503" spans="1:7">
      <c r="A6503">
        <v>6502</v>
      </c>
      <c r="B6503" t="str">
        <f>"026166"</f>
        <v>0</v>
      </c>
      <c r="C6503" t="s">
        <v>4173</v>
      </c>
      <c r="D6503" t="s">
        <v>10374</v>
      </c>
      <c r="E6503" t="str">
        <f>"1650200010533"</f>
        <v>0</v>
      </c>
      <c r="F6503" t="str">
        <f>"001160"</f>
        <v>0</v>
      </c>
      <c r="G6503" t="s">
        <v>21</v>
      </c>
    </row>
    <row r="6504" spans="1:7">
      <c r="A6504">
        <v>6503</v>
      </c>
      <c r="B6504" t="str">
        <f>"023468"</f>
        <v>0</v>
      </c>
      <c r="C6504" t="s">
        <v>5568</v>
      </c>
      <c r="D6504" t="s">
        <v>10375</v>
      </c>
      <c r="E6504" t="str">
        <f>"3520700274502"</f>
        <v>0</v>
      </c>
      <c r="F6504" t="str">
        <f>"001160"</f>
        <v>0</v>
      </c>
      <c r="G6504" t="s">
        <v>21</v>
      </c>
    </row>
    <row r="6505" spans="1:7">
      <c r="A6505">
        <v>6504</v>
      </c>
      <c r="B6505" t="str">
        <f>"000916"</f>
        <v>0</v>
      </c>
      <c r="C6505" t="s">
        <v>2907</v>
      </c>
      <c r="D6505" t="s">
        <v>10376</v>
      </c>
      <c r="E6505" t="str">
        <f>"3530500013101"</f>
        <v>0</v>
      </c>
      <c r="F6505" t="str">
        <f>"001190"</f>
        <v>0</v>
      </c>
      <c r="G6505" t="s">
        <v>21</v>
      </c>
    </row>
    <row r="6506" spans="1:7">
      <c r="A6506">
        <v>6505</v>
      </c>
      <c r="B6506" t="str">
        <f>"000929"</f>
        <v>0</v>
      </c>
      <c r="C6506" t="s">
        <v>10377</v>
      </c>
      <c r="D6506" t="s">
        <v>10378</v>
      </c>
      <c r="E6506" t="str">
        <f>"3530400035189"</f>
        <v>0</v>
      </c>
      <c r="F6506" t="str">
        <f>"001190"</f>
        <v>0</v>
      </c>
      <c r="G6506" t="s">
        <v>21</v>
      </c>
    </row>
    <row r="6507" spans="1:7">
      <c r="A6507">
        <v>6506</v>
      </c>
      <c r="B6507" t="str">
        <f>"001904"</f>
        <v>0</v>
      </c>
      <c r="C6507" t="s">
        <v>2349</v>
      </c>
      <c r="D6507" t="s">
        <v>10379</v>
      </c>
      <c r="E6507" t="str">
        <f>"3640500451345"</f>
        <v>0</v>
      </c>
      <c r="F6507" t="str">
        <f>"001190"</f>
        <v>0</v>
      </c>
      <c r="G6507" t="s">
        <v>21</v>
      </c>
    </row>
    <row r="6508" spans="1:7">
      <c r="A6508">
        <v>6507</v>
      </c>
      <c r="B6508" t="str">
        <f>"003316"</f>
        <v>0</v>
      </c>
      <c r="C6508" t="s">
        <v>798</v>
      </c>
      <c r="D6508" t="s">
        <v>10380</v>
      </c>
      <c r="E6508" t="str">
        <f>"3670600028169"</f>
        <v>0</v>
      </c>
      <c r="F6508" t="str">
        <f>"001190"</f>
        <v>0</v>
      </c>
      <c r="G6508" t="s">
        <v>21</v>
      </c>
    </row>
    <row r="6509" spans="1:7">
      <c r="A6509">
        <v>6508</v>
      </c>
      <c r="B6509" t="str">
        <f>"004041"</f>
        <v>0</v>
      </c>
      <c r="C6509" t="s">
        <v>391</v>
      </c>
      <c r="D6509" t="s">
        <v>10381</v>
      </c>
      <c r="E6509" t="str">
        <f>"3659900395921"</f>
        <v>0</v>
      </c>
      <c r="F6509" t="str">
        <f>"001190"</f>
        <v>0</v>
      </c>
      <c r="G6509" t="s">
        <v>21</v>
      </c>
    </row>
    <row r="6510" spans="1:7">
      <c r="A6510">
        <v>6509</v>
      </c>
      <c r="B6510" t="str">
        <f>"004585"</f>
        <v>0</v>
      </c>
      <c r="C6510" t="s">
        <v>1972</v>
      </c>
      <c r="D6510" t="s">
        <v>10382</v>
      </c>
      <c r="E6510" t="str">
        <f>"3540100671861"</f>
        <v>0</v>
      </c>
      <c r="F6510" t="str">
        <f>"001190"</f>
        <v>0</v>
      </c>
      <c r="G6510" t="s">
        <v>21</v>
      </c>
    </row>
    <row r="6511" spans="1:7">
      <c r="A6511">
        <v>6510</v>
      </c>
      <c r="B6511" t="str">
        <f>"004674"</f>
        <v>0</v>
      </c>
      <c r="C6511" t="s">
        <v>4342</v>
      </c>
      <c r="D6511" t="s">
        <v>10383</v>
      </c>
      <c r="E6511" t="str">
        <f>"3640100085988"</f>
        <v>0</v>
      </c>
      <c r="F6511" t="str">
        <f>"001190"</f>
        <v>0</v>
      </c>
      <c r="G6511" t="s">
        <v>21</v>
      </c>
    </row>
    <row r="6512" spans="1:7">
      <c r="A6512">
        <v>6511</v>
      </c>
      <c r="B6512" t="str">
        <f>"004802"</f>
        <v>0</v>
      </c>
      <c r="C6512" t="s">
        <v>10384</v>
      </c>
      <c r="D6512" t="s">
        <v>10385</v>
      </c>
      <c r="E6512" t="str">
        <f>"3509900817524"</f>
        <v>0</v>
      </c>
      <c r="F6512" t="str">
        <f>"001190"</f>
        <v>0</v>
      </c>
      <c r="G6512" t="s">
        <v>21</v>
      </c>
    </row>
    <row r="6513" spans="1:7">
      <c r="A6513">
        <v>6512</v>
      </c>
      <c r="B6513" t="str">
        <f>"006666"</f>
        <v>0</v>
      </c>
      <c r="C6513" t="s">
        <v>10386</v>
      </c>
      <c r="D6513" t="s">
        <v>10387</v>
      </c>
      <c r="E6513" t="str">
        <f>"3559900145640"</f>
        <v>0</v>
      </c>
      <c r="F6513" t="str">
        <f>"001190"</f>
        <v>0</v>
      </c>
      <c r="G6513" t="s">
        <v>21</v>
      </c>
    </row>
    <row r="6514" spans="1:7">
      <c r="A6514">
        <v>6513</v>
      </c>
      <c r="B6514" t="str">
        <f>"007237"</f>
        <v>0</v>
      </c>
      <c r="C6514" t="s">
        <v>10388</v>
      </c>
      <c r="D6514" t="s">
        <v>10389</v>
      </c>
      <c r="E6514" t="str">
        <f>"3430600100007"</f>
        <v>0</v>
      </c>
      <c r="F6514" t="str">
        <f>"001190"</f>
        <v>0</v>
      </c>
      <c r="G6514" t="s">
        <v>21</v>
      </c>
    </row>
    <row r="6515" spans="1:7">
      <c r="A6515">
        <v>6514</v>
      </c>
      <c r="B6515" t="str">
        <f>"008092"</f>
        <v>0</v>
      </c>
      <c r="C6515" t="s">
        <v>10390</v>
      </c>
      <c r="D6515" t="s">
        <v>10391</v>
      </c>
      <c r="E6515" t="str">
        <f>"3530100292071"</f>
        <v>0</v>
      </c>
      <c r="F6515" t="str">
        <f>"001190"</f>
        <v>0</v>
      </c>
      <c r="G6515" t="s">
        <v>21</v>
      </c>
    </row>
    <row r="6516" spans="1:7">
      <c r="A6516">
        <v>6515</v>
      </c>
      <c r="B6516" t="str">
        <f>"008093"</f>
        <v>0</v>
      </c>
      <c r="C6516" t="s">
        <v>1983</v>
      </c>
      <c r="D6516" t="s">
        <v>10391</v>
      </c>
      <c r="E6516" t="str">
        <f>"5530190001557"</f>
        <v>0</v>
      </c>
      <c r="F6516" t="str">
        <f>"001190"</f>
        <v>0</v>
      </c>
      <c r="G6516" t="s">
        <v>21</v>
      </c>
    </row>
    <row r="6517" spans="1:7">
      <c r="A6517">
        <v>6516</v>
      </c>
      <c r="B6517" t="str">
        <f>"008403"</f>
        <v>0</v>
      </c>
      <c r="C6517" t="s">
        <v>3841</v>
      </c>
      <c r="D6517" t="s">
        <v>10392</v>
      </c>
      <c r="E6517" t="str">
        <f>"3530700247840"</f>
        <v>0</v>
      </c>
      <c r="F6517" t="str">
        <f>"001190"</f>
        <v>0</v>
      </c>
      <c r="G6517" t="s">
        <v>21</v>
      </c>
    </row>
    <row r="6518" spans="1:7">
      <c r="A6518">
        <v>6517</v>
      </c>
      <c r="B6518" t="str">
        <f>"008404"</f>
        <v>0</v>
      </c>
      <c r="C6518" t="s">
        <v>10393</v>
      </c>
      <c r="D6518" t="s">
        <v>10394</v>
      </c>
      <c r="E6518" t="str">
        <f>"3530700247831"</f>
        <v>0</v>
      </c>
      <c r="F6518" t="str">
        <f>"001190"</f>
        <v>0</v>
      </c>
      <c r="G6518" t="s">
        <v>21</v>
      </c>
    </row>
    <row r="6519" spans="1:7">
      <c r="A6519">
        <v>6518</v>
      </c>
      <c r="B6519" t="str">
        <f>"009225"</f>
        <v>0</v>
      </c>
      <c r="C6519" t="s">
        <v>6929</v>
      </c>
      <c r="D6519" t="s">
        <v>10395</v>
      </c>
      <c r="E6519" t="str">
        <f>"3530300387741"</f>
        <v>0</v>
      </c>
      <c r="F6519" t="str">
        <f>"001190"</f>
        <v>0</v>
      </c>
      <c r="G6519" t="s">
        <v>21</v>
      </c>
    </row>
    <row r="6520" spans="1:7">
      <c r="A6520">
        <v>6519</v>
      </c>
      <c r="B6520" t="str">
        <f>"009275"</f>
        <v>0</v>
      </c>
      <c r="C6520" t="s">
        <v>3202</v>
      </c>
      <c r="D6520" t="s">
        <v>591</v>
      </c>
      <c r="E6520" t="str">
        <f>"3179900143845"</f>
        <v>0</v>
      </c>
      <c r="F6520" t="str">
        <f>"001190"</f>
        <v>0</v>
      </c>
      <c r="G6520" t="s">
        <v>21</v>
      </c>
    </row>
    <row r="6521" spans="1:7">
      <c r="A6521">
        <v>6520</v>
      </c>
      <c r="B6521" t="str">
        <f>"009317"</f>
        <v>0</v>
      </c>
      <c r="C6521" t="s">
        <v>458</v>
      </c>
      <c r="D6521" t="s">
        <v>10396</v>
      </c>
      <c r="E6521" t="str">
        <f>"3540500034796"</f>
        <v>0</v>
      </c>
      <c r="F6521" t="str">
        <f>"001190"</f>
        <v>0</v>
      </c>
      <c r="G6521" t="s">
        <v>21</v>
      </c>
    </row>
    <row r="6522" spans="1:7">
      <c r="A6522">
        <v>6521</v>
      </c>
      <c r="B6522" t="str">
        <f>"009475"</f>
        <v>0</v>
      </c>
      <c r="C6522" t="s">
        <v>3823</v>
      </c>
      <c r="D6522" t="s">
        <v>10397</v>
      </c>
      <c r="E6522" t="str">
        <f>"3539900115627"</f>
        <v>0</v>
      </c>
      <c r="F6522" t="str">
        <f>"001190"</f>
        <v>0</v>
      </c>
      <c r="G6522" t="s">
        <v>21</v>
      </c>
    </row>
    <row r="6523" spans="1:7">
      <c r="A6523">
        <v>6522</v>
      </c>
      <c r="B6523" t="str">
        <f>"009616"</f>
        <v>0</v>
      </c>
      <c r="C6523" t="s">
        <v>2232</v>
      </c>
      <c r="D6523" t="s">
        <v>1863</v>
      </c>
      <c r="E6523" t="str">
        <f>"3530700247866"</f>
        <v>0</v>
      </c>
      <c r="F6523" t="str">
        <f>"001190"</f>
        <v>0</v>
      </c>
      <c r="G6523" t="s">
        <v>21</v>
      </c>
    </row>
    <row r="6524" spans="1:7">
      <c r="A6524">
        <v>6523</v>
      </c>
      <c r="B6524" t="str">
        <f>"009642"</f>
        <v>0</v>
      </c>
      <c r="C6524" t="s">
        <v>10398</v>
      </c>
      <c r="D6524" t="s">
        <v>10399</v>
      </c>
      <c r="E6524" t="str">
        <f>"3429900156413"</f>
        <v>0</v>
      </c>
      <c r="F6524" t="str">
        <f>"001190"</f>
        <v>0</v>
      </c>
      <c r="G6524" t="s">
        <v>21</v>
      </c>
    </row>
    <row r="6525" spans="1:7">
      <c r="A6525">
        <v>6524</v>
      </c>
      <c r="B6525" t="str">
        <f>"009897"</f>
        <v>0</v>
      </c>
      <c r="C6525" t="s">
        <v>2828</v>
      </c>
      <c r="D6525" t="s">
        <v>10400</v>
      </c>
      <c r="E6525" t="str">
        <f>"3540100111840"</f>
        <v>0</v>
      </c>
      <c r="F6525" t="str">
        <f>"001190"</f>
        <v>0</v>
      </c>
      <c r="G6525" t="s">
        <v>21</v>
      </c>
    </row>
    <row r="6526" spans="1:7">
      <c r="A6526">
        <v>6525</v>
      </c>
      <c r="B6526" t="str">
        <f>"009898"</f>
        <v>0</v>
      </c>
      <c r="C6526" t="s">
        <v>4757</v>
      </c>
      <c r="D6526" t="s">
        <v>10401</v>
      </c>
      <c r="E6526" t="str">
        <f>"3660600550469"</f>
        <v>0</v>
      </c>
      <c r="F6526" t="str">
        <f>"001190"</f>
        <v>0</v>
      </c>
      <c r="G6526" t="s">
        <v>21</v>
      </c>
    </row>
    <row r="6527" spans="1:7">
      <c r="A6527">
        <v>6526</v>
      </c>
      <c r="B6527" t="str">
        <f>"009899"</f>
        <v>0</v>
      </c>
      <c r="C6527" t="s">
        <v>5883</v>
      </c>
      <c r="D6527" t="s">
        <v>10401</v>
      </c>
      <c r="E6527" t="str">
        <f>"3660600550451"</f>
        <v>0</v>
      </c>
      <c r="F6527" t="str">
        <f>"001190"</f>
        <v>0</v>
      </c>
      <c r="G6527" t="s">
        <v>21</v>
      </c>
    </row>
    <row r="6528" spans="1:7">
      <c r="A6528">
        <v>6527</v>
      </c>
      <c r="B6528" t="str">
        <f>"010588"</f>
        <v>0</v>
      </c>
      <c r="C6528" t="s">
        <v>3620</v>
      </c>
      <c r="D6528" t="s">
        <v>10402</v>
      </c>
      <c r="E6528" t="str">
        <f>"3530100322913"</f>
        <v>0</v>
      </c>
      <c r="F6528" t="str">
        <f>"001190"</f>
        <v>0</v>
      </c>
      <c r="G6528" t="s">
        <v>21</v>
      </c>
    </row>
    <row r="6529" spans="1:7">
      <c r="A6529">
        <v>6528</v>
      </c>
      <c r="B6529" t="str">
        <f>"011171"</f>
        <v>0</v>
      </c>
      <c r="C6529" t="s">
        <v>10403</v>
      </c>
      <c r="D6529" t="s">
        <v>10397</v>
      </c>
      <c r="E6529" t="str">
        <f>"3550900123915"</f>
        <v>0</v>
      </c>
      <c r="F6529" t="str">
        <f>"001190"</f>
        <v>0</v>
      </c>
      <c r="G6529" t="s">
        <v>21</v>
      </c>
    </row>
    <row r="6530" spans="1:7">
      <c r="A6530">
        <v>6529</v>
      </c>
      <c r="B6530" t="str">
        <f>"011395"</f>
        <v>0</v>
      </c>
      <c r="C6530" t="s">
        <v>10404</v>
      </c>
      <c r="D6530" t="s">
        <v>9283</v>
      </c>
      <c r="E6530" t="str">
        <f>"3530200053647"</f>
        <v>0</v>
      </c>
      <c r="F6530" t="str">
        <f>"001190"</f>
        <v>0</v>
      </c>
      <c r="G6530" t="s">
        <v>21</v>
      </c>
    </row>
    <row r="6531" spans="1:7">
      <c r="A6531">
        <v>6530</v>
      </c>
      <c r="B6531" t="str">
        <f>"011514"</f>
        <v>0</v>
      </c>
      <c r="C6531" t="s">
        <v>520</v>
      </c>
      <c r="D6531" t="s">
        <v>10405</v>
      </c>
      <c r="E6531" t="str">
        <f>"3530300214316"</f>
        <v>0</v>
      </c>
      <c r="F6531" t="str">
        <f>"001190"</f>
        <v>0</v>
      </c>
      <c r="G6531" t="s">
        <v>21</v>
      </c>
    </row>
    <row r="6532" spans="1:7">
      <c r="A6532">
        <v>6531</v>
      </c>
      <c r="B6532" t="str">
        <f>"011554"</f>
        <v>0</v>
      </c>
      <c r="C6532" t="s">
        <v>655</v>
      </c>
      <c r="D6532" t="s">
        <v>10406</v>
      </c>
      <c r="E6532" t="str">
        <f>"3190200500868"</f>
        <v>0</v>
      </c>
      <c r="F6532" t="str">
        <f>"001190"</f>
        <v>0</v>
      </c>
      <c r="G6532" t="s">
        <v>21</v>
      </c>
    </row>
    <row r="6533" spans="1:7">
      <c r="A6533">
        <v>6532</v>
      </c>
      <c r="B6533" t="str">
        <f>"011555"</f>
        <v>0</v>
      </c>
      <c r="C6533" t="s">
        <v>10407</v>
      </c>
      <c r="D6533" t="s">
        <v>10406</v>
      </c>
      <c r="E6533" t="str">
        <f>"3520101258194"</f>
        <v>0</v>
      </c>
      <c r="F6533" t="str">
        <f>"001190"</f>
        <v>0</v>
      </c>
      <c r="G6533" t="s">
        <v>21</v>
      </c>
    </row>
    <row r="6534" spans="1:7">
      <c r="A6534">
        <v>6533</v>
      </c>
      <c r="B6534" t="str">
        <f>"012860"</f>
        <v>0</v>
      </c>
      <c r="C6534" t="s">
        <v>10408</v>
      </c>
      <c r="D6534" t="s">
        <v>10409</v>
      </c>
      <c r="E6534" t="str">
        <f>"3650500052611"</f>
        <v>0</v>
      </c>
      <c r="F6534" t="str">
        <f>"001190"</f>
        <v>0</v>
      </c>
      <c r="G6534" t="s">
        <v>21</v>
      </c>
    </row>
    <row r="6535" spans="1:7">
      <c r="A6535">
        <v>6534</v>
      </c>
      <c r="B6535" t="str">
        <f>"013391"</f>
        <v>0</v>
      </c>
      <c r="C6535" t="s">
        <v>10410</v>
      </c>
      <c r="D6535" t="s">
        <v>10411</v>
      </c>
      <c r="E6535" t="str">
        <f>"3530100621996"</f>
        <v>0</v>
      </c>
      <c r="F6535" t="str">
        <f>"001190"</f>
        <v>0</v>
      </c>
      <c r="G6535" t="s">
        <v>21</v>
      </c>
    </row>
    <row r="6536" spans="1:7">
      <c r="A6536">
        <v>6535</v>
      </c>
      <c r="B6536" t="str">
        <f>"015998"</f>
        <v>0</v>
      </c>
      <c r="C6536" t="s">
        <v>2910</v>
      </c>
      <c r="D6536" t="s">
        <v>5632</v>
      </c>
      <c r="E6536" t="str">
        <f>"3529900347561"</f>
        <v>0</v>
      </c>
      <c r="F6536" t="str">
        <f>"001190"</f>
        <v>0</v>
      </c>
      <c r="G6536" t="s">
        <v>21</v>
      </c>
    </row>
    <row r="6537" spans="1:7">
      <c r="A6537">
        <v>6536</v>
      </c>
      <c r="B6537" t="str">
        <f>"017863"</f>
        <v>0</v>
      </c>
      <c r="C6537" t="s">
        <v>10412</v>
      </c>
      <c r="D6537" t="s">
        <v>10413</v>
      </c>
      <c r="E6537" t="str">
        <f>"3539800010891"</f>
        <v>0</v>
      </c>
      <c r="F6537" t="str">
        <f>"001190"</f>
        <v>0</v>
      </c>
      <c r="G6537" t="s">
        <v>21</v>
      </c>
    </row>
    <row r="6538" spans="1:7">
      <c r="A6538">
        <v>6537</v>
      </c>
      <c r="B6538" t="str">
        <f>"018035"</f>
        <v>0</v>
      </c>
      <c r="C6538" t="s">
        <v>4609</v>
      </c>
      <c r="D6538" t="s">
        <v>2473</v>
      </c>
      <c r="E6538" t="str">
        <f>"3539900227034"</f>
        <v>0</v>
      </c>
      <c r="F6538" t="str">
        <f>"001190"</f>
        <v>0</v>
      </c>
      <c r="G6538" t="s">
        <v>21</v>
      </c>
    </row>
    <row r="6539" spans="1:7">
      <c r="A6539">
        <v>6538</v>
      </c>
      <c r="B6539" t="str">
        <f>"019593"</f>
        <v>0</v>
      </c>
      <c r="C6539" t="s">
        <v>10414</v>
      </c>
      <c r="D6539" t="s">
        <v>10400</v>
      </c>
      <c r="E6539" t="str">
        <f>"5660690008894"</f>
        <v>0</v>
      </c>
      <c r="F6539" t="str">
        <f>"001190"</f>
        <v>0</v>
      </c>
      <c r="G6539" t="s">
        <v>21</v>
      </c>
    </row>
    <row r="6540" spans="1:7">
      <c r="A6540">
        <v>6539</v>
      </c>
      <c r="B6540" t="str">
        <f>"021098"</f>
        <v>0</v>
      </c>
      <c r="C6540" t="s">
        <v>10415</v>
      </c>
      <c r="D6540" t="s">
        <v>10416</v>
      </c>
      <c r="E6540" t="str">
        <f>"3530700224823"</f>
        <v>0</v>
      </c>
      <c r="F6540" t="str">
        <f>"001190"</f>
        <v>0</v>
      </c>
      <c r="G6540" t="s">
        <v>21</v>
      </c>
    </row>
    <row r="6541" spans="1:7">
      <c r="A6541">
        <v>6540</v>
      </c>
      <c r="B6541" t="str">
        <f>"022774"</f>
        <v>0</v>
      </c>
      <c r="C6541" t="s">
        <v>632</v>
      </c>
      <c r="D6541" t="s">
        <v>10417</v>
      </c>
      <c r="E6541" t="str">
        <f>"3410101902353"</f>
        <v>0</v>
      </c>
      <c r="F6541" t="str">
        <f>"001190"</f>
        <v>0</v>
      </c>
      <c r="G6541" t="s">
        <v>21</v>
      </c>
    </row>
    <row r="6542" spans="1:7">
      <c r="A6542">
        <v>6541</v>
      </c>
      <c r="B6542" t="str">
        <f>"022884"</f>
        <v>0</v>
      </c>
      <c r="C6542" t="s">
        <v>6106</v>
      </c>
      <c r="D6542" t="s">
        <v>10418</v>
      </c>
      <c r="E6542" t="str">
        <f>"3559900144295"</f>
        <v>0</v>
      </c>
      <c r="F6542" t="str">
        <f>"001190"</f>
        <v>0</v>
      </c>
      <c r="G6542" t="s">
        <v>21</v>
      </c>
    </row>
    <row r="6543" spans="1:7">
      <c r="A6543">
        <v>6542</v>
      </c>
      <c r="B6543" t="str">
        <f>"023240"</f>
        <v>0</v>
      </c>
      <c r="C6543" t="s">
        <v>10419</v>
      </c>
      <c r="D6543" t="s">
        <v>10420</v>
      </c>
      <c r="E6543" t="str">
        <f>"3209700020421"</f>
        <v>0</v>
      </c>
      <c r="F6543" t="str">
        <f>"001190"</f>
        <v>0</v>
      </c>
      <c r="G6543" t="s">
        <v>21</v>
      </c>
    </row>
    <row r="6544" spans="1:7">
      <c r="A6544">
        <v>6543</v>
      </c>
      <c r="B6544" t="str">
        <f>"012232"</f>
        <v>0</v>
      </c>
      <c r="C6544" t="s">
        <v>44</v>
      </c>
      <c r="D6544" t="s">
        <v>10421</v>
      </c>
      <c r="E6544" t="str">
        <f>"3530100533035"</f>
        <v>0</v>
      </c>
      <c r="F6544" t="str">
        <f>"001190"</f>
        <v>0</v>
      </c>
      <c r="G6544" t="s">
        <v>21</v>
      </c>
    </row>
    <row r="6545" spans="1:7">
      <c r="A6545">
        <v>6544</v>
      </c>
      <c r="B6545" t="str">
        <f>"013298"</f>
        <v>0</v>
      </c>
      <c r="C6545" t="s">
        <v>7931</v>
      </c>
      <c r="D6545" t="s">
        <v>10422</v>
      </c>
      <c r="E6545" t="str">
        <f>"3530100820956"</f>
        <v>0</v>
      </c>
      <c r="F6545" t="str">
        <f>"001190"</f>
        <v>0</v>
      </c>
      <c r="G6545" t="s">
        <v>21</v>
      </c>
    </row>
    <row r="6546" spans="1:7">
      <c r="A6546">
        <v>6545</v>
      </c>
      <c r="B6546" t="str">
        <f>"014273"</f>
        <v>0</v>
      </c>
      <c r="C6546" t="s">
        <v>10423</v>
      </c>
      <c r="D6546" t="s">
        <v>8623</v>
      </c>
      <c r="E6546" t="str">
        <f>"3841700593878"</f>
        <v>0</v>
      </c>
      <c r="F6546" t="str">
        <f>"001190"</f>
        <v>0</v>
      </c>
      <c r="G6546" t="s">
        <v>21</v>
      </c>
    </row>
    <row r="6547" spans="1:7">
      <c r="A6547">
        <v>6546</v>
      </c>
      <c r="B6547" t="str">
        <f>"017160"</f>
        <v>0</v>
      </c>
      <c r="C6547" t="s">
        <v>10424</v>
      </c>
      <c r="D6547" t="s">
        <v>10425</v>
      </c>
      <c r="E6547" t="str">
        <f>"3530800135750"</f>
        <v>0</v>
      </c>
      <c r="F6547" t="str">
        <f>"001190"</f>
        <v>0</v>
      </c>
      <c r="G6547" t="s">
        <v>21</v>
      </c>
    </row>
    <row r="6548" spans="1:7">
      <c r="A6548">
        <v>6547</v>
      </c>
      <c r="B6548" t="str">
        <f>"009100"</f>
        <v>0</v>
      </c>
      <c r="C6548" t="s">
        <v>10426</v>
      </c>
      <c r="D6548" t="s">
        <v>591</v>
      </c>
      <c r="E6548" t="str">
        <f>"3530800422058"</f>
        <v>0</v>
      </c>
      <c r="F6548" t="str">
        <f>"001190"</f>
        <v>0</v>
      </c>
      <c r="G6548" t="s">
        <v>21</v>
      </c>
    </row>
    <row r="6549" spans="1:7">
      <c r="A6549">
        <v>6548</v>
      </c>
      <c r="B6549" t="str">
        <f>"017437"</f>
        <v>0</v>
      </c>
      <c r="C6549" t="s">
        <v>514</v>
      </c>
      <c r="D6549" t="s">
        <v>10427</v>
      </c>
      <c r="E6549" t="str">
        <f>"3720600286761"</f>
        <v>0</v>
      </c>
      <c r="F6549" t="str">
        <f>"001190"</f>
        <v>0</v>
      </c>
      <c r="G6549" t="s">
        <v>21</v>
      </c>
    </row>
    <row r="6550" spans="1:7">
      <c r="A6550">
        <v>6549</v>
      </c>
      <c r="B6550" t="str">
        <f>"024424"</f>
        <v>0</v>
      </c>
      <c r="C6550" t="s">
        <v>10428</v>
      </c>
      <c r="D6550" t="s">
        <v>10429</v>
      </c>
      <c r="E6550" t="str">
        <f>"1509900545641"</f>
        <v>0</v>
      </c>
      <c r="F6550" t="str">
        <f>"001190"</f>
        <v>0</v>
      </c>
      <c r="G6550" t="s">
        <v>21</v>
      </c>
    </row>
    <row r="6551" spans="1:7">
      <c r="A6551">
        <v>6550</v>
      </c>
      <c r="B6551" t="str">
        <f>"015340"</f>
        <v>0</v>
      </c>
      <c r="C6551" t="s">
        <v>10430</v>
      </c>
      <c r="D6551" t="s">
        <v>10431</v>
      </c>
      <c r="E6551" t="str">
        <f>"3539900018508"</f>
        <v>0</v>
      </c>
      <c r="F6551" t="str">
        <f>"001190"</f>
        <v>0</v>
      </c>
      <c r="G6551" t="s">
        <v>21</v>
      </c>
    </row>
    <row r="6552" spans="1:7">
      <c r="A6552">
        <v>6551</v>
      </c>
      <c r="B6552" t="str">
        <f>"015341"</f>
        <v>0</v>
      </c>
      <c r="C6552" t="s">
        <v>10432</v>
      </c>
      <c r="D6552" t="s">
        <v>10433</v>
      </c>
      <c r="E6552" t="str">
        <f>"3530100720218"</f>
        <v>0</v>
      </c>
      <c r="F6552" t="str">
        <f>"001190"</f>
        <v>0</v>
      </c>
      <c r="G6552" t="s">
        <v>21</v>
      </c>
    </row>
    <row r="6553" spans="1:7">
      <c r="A6553">
        <v>6552</v>
      </c>
      <c r="B6553" t="str">
        <f>"023424"</f>
        <v>0</v>
      </c>
      <c r="C6553" t="s">
        <v>2176</v>
      </c>
      <c r="D6553" t="s">
        <v>10434</v>
      </c>
      <c r="E6553" t="str">
        <f>"1521200032121"</f>
        <v>0</v>
      </c>
      <c r="F6553" t="str">
        <f>"001190"</f>
        <v>0</v>
      </c>
      <c r="G6553" t="s">
        <v>21</v>
      </c>
    </row>
    <row r="6554" spans="1:7">
      <c r="A6554">
        <v>6553</v>
      </c>
      <c r="B6554" t="str">
        <f>"023512"</f>
        <v>0</v>
      </c>
      <c r="C6554" t="s">
        <v>10435</v>
      </c>
      <c r="D6554" t="s">
        <v>10436</v>
      </c>
      <c r="E6554" t="str">
        <f>"3530400090538"</f>
        <v>0</v>
      </c>
      <c r="F6554" t="str">
        <f>"001190"</f>
        <v>0</v>
      </c>
      <c r="G6554" t="s">
        <v>21</v>
      </c>
    </row>
    <row r="6555" spans="1:7">
      <c r="A6555">
        <v>6554</v>
      </c>
      <c r="B6555" t="str">
        <f>"023844"</f>
        <v>0</v>
      </c>
      <c r="C6555" t="s">
        <v>10437</v>
      </c>
      <c r="D6555" t="s">
        <v>5280</v>
      </c>
      <c r="E6555" t="str">
        <f>"3530900087501"</f>
        <v>0</v>
      </c>
      <c r="F6555" t="str">
        <f>"001190"</f>
        <v>0</v>
      </c>
      <c r="G6555" t="s">
        <v>21</v>
      </c>
    </row>
    <row r="6556" spans="1:7">
      <c r="A6556">
        <v>6555</v>
      </c>
      <c r="B6556" t="str">
        <f>"016493"</f>
        <v>0</v>
      </c>
      <c r="C6556" t="s">
        <v>4622</v>
      </c>
      <c r="D6556" t="s">
        <v>6532</v>
      </c>
      <c r="E6556" t="str">
        <f>"3800900139126"</f>
        <v>0</v>
      </c>
      <c r="F6556" t="str">
        <f>"001190"</f>
        <v>0</v>
      </c>
      <c r="G6556" t="s">
        <v>21</v>
      </c>
    </row>
    <row r="6557" spans="1:7">
      <c r="A6557">
        <v>6556</v>
      </c>
      <c r="B6557" t="str">
        <f>"027162"</f>
        <v>0</v>
      </c>
      <c r="C6557" t="s">
        <v>10438</v>
      </c>
      <c r="D6557" t="s">
        <v>10439</v>
      </c>
      <c r="E6557" t="str">
        <f>"1560100220740"</f>
        <v>0</v>
      </c>
      <c r="F6557" t="str">
        <f>"001190"</f>
        <v>0</v>
      </c>
      <c r="G6557" t="s">
        <v>21</v>
      </c>
    </row>
    <row r="6558" spans="1:7">
      <c r="A6558">
        <v>6557</v>
      </c>
      <c r="B6558" t="str">
        <f>"017629"</f>
        <v>0</v>
      </c>
      <c r="C6558" t="s">
        <v>10440</v>
      </c>
      <c r="D6558" t="s">
        <v>8264</v>
      </c>
      <c r="E6558" t="str">
        <f>"3640400162872"</f>
        <v>0</v>
      </c>
      <c r="F6558" t="str">
        <f>"001190"</f>
        <v>0</v>
      </c>
      <c r="G6558" t="s">
        <v>21</v>
      </c>
    </row>
    <row r="6559" spans="1:7">
      <c r="A6559">
        <v>6558</v>
      </c>
      <c r="B6559" t="str">
        <f>"024686"</f>
        <v>0</v>
      </c>
      <c r="C6559" t="s">
        <v>10441</v>
      </c>
      <c r="D6559" t="s">
        <v>10442</v>
      </c>
      <c r="E6559" t="str">
        <f>"1250100051312"</f>
        <v>0</v>
      </c>
      <c r="F6559" t="str">
        <f>"001190"</f>
        <v>0</v>
      </c>
      <c r="G6559" t="s">
        <v>21</v>
      </c>
    </row>
    <row r="6560" spans="1:7">
      <c r="A6560">
        <v>6559</v>
      </c>
      <c r="B6560" t="str">
        <f>"019207"</f>
        <v>0</v>
      </c>
      <c r="C6560" t="s">
        <v>10443</v>
      </c>
      <c r="D6560" t="s">
        <v>8316</v>
      </c>
      <c r="E6560" t="str">
        <f>"3500500112452"</f>
        <v>0</v>
      </c>
      <c r="F6560" t="str">
        <f>"001190"</f>
        <v>0</v>
      </c>
      <c r="G6560" t="s">
        <v>21</v>
      </c>
    </row>
    <row r="6561" spans="1:7">
      <c r="A6561">
        <v>6560</v>
      </c>
      <c r="B6561" t="str">
        <f>"026265"</f>
        <v>0</v>
      </c>
      <c r="C6561" t="s">
        <v>3331</v>
      </c>
      <c r="D6561" t="s">
        <v>10444</v>
      </c>
      <c r="E6561" t="str">
        <f>"1509900225001"</f>
        <v>0</v>
      </c>
      <c r="F6561" t="str">
        <f>"001190"</f>
        <v>0</v>
      </c>
      <c r="G6561" t="s">
        <v>21</v>
      </c>
    </row>
    <row r="6562" spans="1:7">
      <c r="A6562">
        <v>6561</v>
      </c>
      <c r="B6562" t="str">
        <f>"027427"</f>
        <v>0</v>
      </c>
      <c r="C6562" t="s">
        <v>10445</v>
      </c>
      <c r="D6562" t="s">
        <v>10446</v>
      </c>
      <c r="E6562" t="str">
        <f>"1500900064751"</f>
        <v>0</v>
      </c>
      <c r="F6562" t="str">
        <f>"001190"</f>
        <v>0</v>
      </c>
      <c r="G6562" t="s">
        <v>21</v>
      </c>
    </row>
    <row r="6563" spans="1:7">
      <c r="A6563">
        <v>6562</v>
      </c>
      <c r="B6563" t="str">
        <f>"024425"</f>
        <v>0</v>
      </c>
      <c r="C6563" t="s">
        <v>10447</v>
      </c>
      <c r="D6563" t="s">
        <v>10448</v>
      </c>
      <c r="E6563" t="str">
        <f>"1510100124821"</f>
        <v>0</v>
      </c>
      <c r="F6563" t="str">
        <f>"001190"</f>
        <v>0</v>
      </c>
      <c r="G6563" t="s">
        <v>21</v>
      </c>
    </row>
    <row r="6564" spans="1:7">
      <c r="A6564">
        <v>6563</v>
      </c>
      <c r="B6564" t="str">
        <f>"024426"</f>
        <v>0</v>
      </c>
      <c r="C6564" t="s">
        <v>5524</v>
      </c>
      <c r="D6564" t="s">
        <v>10449</v>
      </c>
      <c r="E6564" t="str">
        <f>"1510600006232"</f>
        <v>0</v>
      </c>
      <c r="F6564" t="str">
        <f>"001190"</f>
        <v>0</v>
      </c>
      <c r="G6564" t="s">
        <v>21</v>
      </c>
    </row>
    <row r="6565" spans="1:7">
      <c r="A6565">
        <v>6564</v>
      </c>
      <c r="B6565" t="str">
        <f>"025360"</f>
        <v>0</v>
      </c>
      <c r="C6565" t="s">
        <v>10450</v>
      </c>
      <c r="D6565" t="s">
        <v>10451</v>
      </c>
      <c r="E6565" t="str">
        <f>"3510500018529"</f>
        <v>0</v>
      </c>
      <c r="F6565" t="str">
        <f>"001190"</f>
        <v>0</v>
      </c>
      <c r="G6565" t="s">
        <v>21</v>
      </c>
    </row>
    <row r="6566" spans="1:7">
      <c r="A6566">
        <v>6565</v>
      </c>
      <c r="B6566" t="str">
        <f>"026264"</f>
        <v>0</v>
      </c>
      <c r="C6566" t="s">
        <v>10452</v>
      </c>
      <c r="D6566" t="s">
        <v>10453</v>
      </c>
      <c r="E6566" t="str">
        <f>"3510200378929"</f>
        <v>0</v>
      </c>
      <c r="F6566" t="str">
        <f>"001190"</f>
        <v>0</v>
      </c>
      <c r="G6566" t="s">
        <v>21</v>
      </c>
    </row>
    <row r="6567" spans="1:7">
      <c r="A6567">
        <v>6566</v>
      </c>
      <c r="B6567" t="str">
        <f>"026548"</f>
        <v>0</v>
      </c>
      <c r="C6567" t="s">
        <v>10454</v>
      </c>
      <c r="D6567" t="s">
        <v>10455</v>
      </c>
      <c r="E6567" t="str">
        <f>"1500200113961"</f>
        <v>0</v>
      </c>
      <c r="F6567" t="str">
        <f>"001190"</f>
        <v>0</v>
      </c>
      <c r="G6567" t="s">
        <v>21</v>
      </c>
    </row>
    <row r="6568" spans="1:7">
      <c r="A6568">
        <v>6567</v>
      </c>
      <c r="B6568" t="str">
        <f>"024876"</f>
        <v>0</v>
      </c>
      <c r="C6568" t="s">
        <v>10456</v>
      </c>
      <c r="D6568" t="s">
        <v>10457</v>
      </c>
      <c r="E6568" t="str">
        <f>"1529900200351"</f>
        <v>0</v>
      </c>
      <c r="F6568" t="str">
        <f>"001190"</f>
        <v>0</v>
      </c>
      <c r="G6568" t="s">
        <v>21</v>
      </c>
    </row>
    <row r="6569" spans="1:7">
      <c r="A6569">
        <v>6568</v>
      </c>
      <c r="B6569" t="str">
        <f>"009221"</f>
        <v>0</v>
      </c>
      <c r="C6569" t="s">
        <v>10458</v>
      </c>
      <c r="D6569" t="s">
        <v>2047</v>
      </c>
      <c r="E6569" t="str">
        <f>"3550100440177"</f>
        <v>0</v>
      </c>
      <c r="F6569" t="str">
        <f>"001190"</f>
        <v>0</v>
      </c>
      <c r="G6569" t="s">
        <v>21</v>
      </c>
    </row>
    <row r="6570" spans="1:7">
      <c r="A6570">
        <v>6569</v>
      </c>
      <c r="B6570" t="str">
        <f>"009226"</f>
        <v>0</v>
      </c>
      <c r="C6570" t="s">
        <v>6686</v>
      </c>
      <c r="D6570" t="s">
        <v>9469</v>
      </c>
      <c r="E6570" t="str">
        <f>"3530300385552"</f>
        <v>0</v>
      </c>
      <c r="F6570" t="str">
        <f>"001190"</f>
        <v>0</v>
      </c>
      <c r="G6570" t="s">
        <v>21</v>
      </c>
    </row>
    <row r="6571" spans="1:7">
      <c r="A6571">
        <v>6570</v>
      </c>
      <c r="B6571" t="str">
        <f>"012276"</f>
        <v>0</v>
      </c>
      <c r="C6571" t="s">
        <v>10459</v>
      </c>
      <c r="D6571" t="s">
        <v>10460</v>
      </c>
      <c r="E6571" t="str">
        <f>"5640590000808"</f>
        <v>0</v>
      </c>
      <c r="F6571" t="str">
        <f>"001190"</f>
        <v>0</v>
      </c>
      <c r="G6571" t="s">
        <v>21</v>
      </c>
    </row>
    <row r="6572" spans="1:7">
      <c r="A6572">
        <v>6571</v>
      </c>
      <c r="B6572" t="str">
        <f>"012960"</f>
        <v>0</v>
      </c>
      <c r="C6572" t="s">
        <v>10461</v>
      </c>
      <c r="D6572" t="s">
        <v>10462</v>
      </c>
      <c r="E6572" t="str">
        <f>"3501300615940"</f>
        <v>0</v>
      </c>
      <c r="F6572" t="str">
        <f>"001190"</f>
        <v>0</v>
      </c>
      <c r="G6572" t="s">
        <v>21</v>
      </c>
    </row>
    <row r="6573" spans="1:7">
      <c r="A6573">
        <v>6572</v>
      </c>
      <c r="B6573" t="str">
        <f>"017869"</f>
        <v>0</v>
      </c>
      <c r="C6573" t="s">
        <v>10463</v>
      </c>
      <c r="D6573" t="s">
        <v>10464</v>
      </c>
      <c r="E6573" t="str">
        <f>"3539900236874"</f>
        <v>0</v>
      </c>
      <c r="F6573" t="str">
        <f>"001190"</f>
        <v>0</v>
      </c>
      <c r="G6573" t="s">
        <v>21</v>
      </c>
    </row>
    <row r="6574" spans="1:7">
      <c r="A6574">
        <v>6573</v>
      </c>
      <c r="B6574" t="str">
        <f>"018383"</f>
        <v>0</v>
      </c>
      <c r="C6574" t="s">
        <v>10465</v>
      </c>
      <c r="D6574" t="s">
        <v>10466</v>
      </c>
      <c r="E6574" t="str">
        <f>"3530800059832"</f>
        <v>0</v>
      </c>
      <c r="F6574" t="str">
        <f>"001190"</f>
        <v>0</v>
      </c>
      <c r="G6574" t="s">
        <v>21</v>
      </c>
    </row>
    <row r="6575" spans="1:7">
      <c r="A6575">
        <v>6574</v>
      </c>
      <c r="B6575" t="str">
        <f>"018666"</f>
        <v>0</v>
      </c>
      <c r="C6575" t="s">
        <v>10467</v>
      </c>
      <c r="D6575" t="s">
        <v>10468</v>
      </c>
      <c r="E6575" t="str">
        <f>"3539900037561"</f>
        <v>0</v>
      </c>
      <c r="F6575" t="str">
        <f>"001190"</f>
        <v>0</v>
      </c>
      <c r="G6575" t="s">
        <v>21</v>
      </c>
    </row>
    <row r="6576" spans="1:7">
      <c r="A6576">
        <v>6575</v>
      </c>
      <c r="B6576" t="str">
        <f>"019162"</f>
        <v>0</v>
      </c>
      <c r="C6576" t="s">
        <v>10469</v>
      </c>
      <c r="D6576" t="s">
        <v>10470</v>
      </c>
      <c r="E6576" t="str">
        <f>"3530300200641"</f>
        <v>0</v>
      </c>
      <c r="F6576" t="str">
        <f>"001190"</f>
        <v>0</v>
      </c>
      <c r="G6576" t="s">
        <v>21</v>
      </c>
    </row>
    <row r="6577" spans="1:7">
      <c r="A6577">
        <v>6576</v>
      </c>
      <c r="B6577" t="str">
        <f>"019193"</f>
        <v>0</v>
      </c>
      <c r="C6577" t="s">
        <v>10471</v>
      </c>
      <c r="D6577" t="s">
        <v>10472</v>
      </c>
      <c r="E6577" t="str">
        <f>"3530400119579"</f>
        <v>0</v>
      </c>
      <c r="F6577" t="str">
        <f>"001190"</f>
        <v>0</v>
      </c>
      <c r="G6577" t="s">
        <v>21</v>
      </c>
    </row>
    <row r="6578" spans="1:7">
      <c r="A6578">
        <v>6577</v>
      </c>
      <c r="B6578" t="str">
        <f>"019296"</f>
        <v>0</v>
      </c>
      <c r="C6578" t="s">
        <v>10473</v>
      </c>
      <c r="D6578" t="s">
        <v>10474</v>
      </c>
      <c r="E6578" t="str">
        <f>"3609900284797"</f>
        <v>0</v>
      </c>
      <c r="F6578" t="str">
        <f>"001190"</f>
        <v>0</v>
      </c>
      <c r="G6578" t="s">
        <v>21</v>
      </c>
    </row>
    <row r="6579" spans="1:7">
      <c r="A6579">
        <v>6578</v>
      </c>
      <c r="B6579" t="str">
        <f>"019666"</f>
        <v>0</v>
      </c>
      <c r="C6579" t="s">
        <v>4903</v>
      </c>
      <c r="D6579" t="s">
        <v>10475</v>
      </c>
      <c r="E6579" t="str">
        <f>"3530100088163"</f>
        <v>0</v>
      </c>
      <c r="F6579" t="str">
        <f>"001190"</f>
        <v>0</v>
      </c>
      <c r="G6579" t="s">
        <v>21</v>
      </c>
    </row>
    <row r="6580" spans="1:7">
      <c r="A6580">
        <v>6579</v>
      </c>
      <c r="B6580" t="str">
        <f>"019992"</f>
        <v>0</v>
      </c>
      <c r="C6580" t="s">
        <v>7546</v>
      </c>
      <c r="D6580" t="s">
        <v>10476</v>
      </c>
      <c r="E6580" t="str">
        <f>"5530500087811"</f>
        <v>0</v>
      </c>
      <c r="F6580" t="str">
        <f>"001190"</f>
        <v>0</v>
      </c>
      <c r="G6580" t="s">
        <v>21</v>
      </c>
    </row>
    <row r="6581" spans="1:7">
      <c r="A6581">
        <v>6580</v>
      </c>
      <c r="B6581" t="str">
        <f>"020484"</f>
        <v>0</v>
      </c>
      <c r="C6581" t="s">
        <v>4783</v>
      </c>
      <c r="D6581" t="s">
        <v>10477</v>
      </c>
      <c r="E6581" t="str">
        <f>"3530600015734"</f>
        <v>0</v>
      </c>
      <c r="F6581" t="str">
        <f>"001190"</f>
        <v>0</v>
      </c>
      <c r="G6581" t="s">
        <v>21</v>
      </c>
    </row>
    <row r="6582" spans="1:7">
      <c r="A6582">
        <v>6581</v>
      </c>
      <c r="B6582" t="str">
        <f>"020600"</f>
        <v>0</v>
      </c>
      <c r="C6582" t="s">
        <v>10478</v>
      </c>
      <c r="D6582" t="s">
        <v>10479</v>
      </c>
      <c r="E6582" t="str">
        <f>"3530100885888"</f>
        <v>0</v>
      </c>
      <c r="F6582" t="str">
        <f>"001190"</f>
        <v>0</v>
      </c>
      <c r="G6582" t="s">
        <v>21</v>
      </c>
    </row>
    <row r="6583" spans="1:7">
      <c r="A6583">
        <v>6582</v>
      </c>
      <c r="B6583" t="str">
        <f>"020951"</f>
        <v>0</v>
      </c>
      <c r="C6583" t="s">
        <v>1524</v>
      </c>
      <c r="D6583" t="s">
        <v>10480</v>
      </c>
      <c r="E6583" t="str">
        <f>"3530800479769"</f>
        <v>0</v>
      </c>
      <c r="F6583" t="str">
        <f>"001190"</f>
        <v>0</v>
      </c>
      <c r="G6583" t="s">
        <v>21</v>
      </c>
    </row>
    <row r="6584" spans="1:7">
      <c r="A6584">
        <v>6583</v>
      </c>
      <c r="B6584" t="str">
        <f>"021367"</f>
        <v>0</v>
      </c>
      <c r="C6584" t="s">
        <v>10481</v>
      </c>
      <c r="D6584" t="s">
        <v>10482</v>
      </c>
      <c r="E6584" t="str">
        <f>"3810100672334"</f>
        <v>0</v>
      </c>
      <c r="F6584" t="str">
        <f>"001190"</f>
        <v>0</v>
      </c>
      <c r="G6584" t="s">
        <v>21</v>
      </c>
    </row>
    <row r="6585" spans="1:7">
      <c r="A6585">
        <v>6584</v>
      </c>
      <c r="B6585" t="str">
        <f>"021370"</f>
        <v>0</v>
      </c>
      <c r="C6585" t="s">
        <v>1718</v>
      </c>
      <c r="D6585" t="s">
        <v>10483</v>
      </c>
      <c r="E6585" t="str">
        <f>"3539900244591"</f>
        <v>0</v>
      </c>
      <c r="F6585" t="str">
        <f>"001190"</f>
        <v>0</v>
      </c>
      <c r="G6585" t="s">
        <v>21</v>
      </c>
    </row>
    <row r="6586" spans="1:7">
      <c r="A6586">
        <v>6585</v>
      </c>
      <c r="B6586" t="str">
        <f>"021401"</f>
        <v>0</v>
      </c>
      <c r="C6586" t="s">
        <v>391</v>
      </c>
      <c r="D6586" t="s">
        <v>10484</v>
      </c>
      <c r="E6586" t="str">
        <f>"5530100022959"</f>
        <v>0</v>
      </c>
      <c r="F6586" t="str">
        <f>"001190"</f>
        <v>0</v>
      </c>
      <c r="G6586" t="s">
        <v>21</v>
      </c>
    </row>
    <row r="6587" spans="1:7">
      <c r="A6587">
        <v>6586</v>
      </c>
      <c r="B6587" t="str">
        <f>"022208"</f>
        <v>0</v>
      </c>
      <c r="C6587" t="s">
        <v>10485</v>
      </c>
      <c r="D6587" t="s">
        <v>6285</v>
      </c>
      <c r="E6587" t="str">
        <f>"2530600011056"</f>
        <v>0</v>
      </c>
      <c r="F6587" t="str">
        <f>"001190"</f>
        <v>0</v>
      </c>
      <c r="G6587" t="s">
        <v>21</v>
      </c>
    </row>
    <row r="6588" spans="1:7">
      <c r="A6588">
        <v>6587</v>
      </c>
      <c r="B6588" t="str">
        <f>"023385"</f>
        <v>0</v>
      </c>
      <c r="C6588" t="s">
        <v>10486</v>
      </c>
      <c r="D6588" t="s">
        <v>10487</v>
      </c>
      <c r="E6588" t="str">
        <f>"3530800087925"</f>
        <v>0</v>
      </c>
      <c r="F6588" t="str">
        <f>"001190"</f>
        <v>0</v>
      </c>
      <c r="G6588" t="s">
        <v>21</v>
      </c>
    </row>
    <row r="6589" spans="1:7">
      <c r="A6589">
        <v>6588</v>
      </c>
      <c r="B6589" t="str">
        <f>"023420"</f>
        <v>0</v>
      </c>
      <c r="C6589" t="s">
        <v>10488</v>
      </c>
      <c r="D6589" t="s">
        <v>10489</v>
      </c>
      <c r="E6589" t="str">
        <f>"3530200077295"</f>
        <v>0</v>
      </c>
      <c r="F6589" t="str">
        <f>"001190"</f>
        <v>0</v>
      </c>
      <c r="G6589" t="s">
        <v>21</v>
      </c>
    </row>
    <row r="6590" spans="1:7">
      <c r="A6590">
        <v>6589</v>
      </c>
      <c r="B6590" t="str">
        <f>"023880"</f>
        <v>0</v>
      </c>
      <c r="C6590" t="s">
        <v>10461</v>
      </c>
      <c r="D6590" t="s">
        <v>10490</v>
      </c>
      <c r="E6590" t="str">
        <f>"1539900199417"</f>
        <v>0</v>
      </c>
      <c r="F6590" t="str">
        <f>"001190"</f>
        <v>0</v>
      </c>
      <c r="G6590" t="s">
        <v>21</v>
      </c>
    </row>
    <row r="6591" spans="1:7">
      <c r="A6591">
        <v>6590</v>
      </c>
      <c r="B6591" t="str">
        <f>"024382"</f>
        <v>0</v>
      </c>
      <c r="C6591" t="s">
        <v>10491</v>
      </c>
      <c r="D6591" t="s">
        <v>10492</v>
      </c>
      <c r="E6591" t="str">
        <f>"1539900202116"</f>
        <v>0</v>
      </c>
      <c r="F6591" t="str">
        <f>"001190"</f>
        <v>0</v>
      </c>
      <c r="G6591" t="s">
        <v>21</v>
      </c>
    </row>
    <row r="6592" spans="1:7">
      <c r="A6592">
        <v>6591</v>
      </c>
      <c r="B6592" t="str">
        <f>"024675"</f>
        <v>0</v>
      </c>
      <c r="C6592" t="s">
        <v>10493</v>
      </c>
      <c r="D6592" t="s">
        <v>10494</v>
      </c>
      <c r="E6592" t="str">
        <f>"1539900016711"</f>
        <v>0</v>
      </c>
      <c r="F6592" t="str">
        <f>"001190"</f>
        <v>0</v>
      </c>
      <c r="G6592" t="s">
        <v>21</v>
      </c>
    </row>
    <row r="6593" spans="1:7">
      <c r="A6593">
        <v>6592</v>
      </c>
      <c r="B6593" t="str">
        <f>"024710"</f>
        <v>0</v>
      </c>
      <c r="C6593" t="s">
        <v>10495</v>
      </c>
      <c r="D6593" t="s">
        <v>10496</v>
      </c>
      <c r="E6593" t="str">
        <f>"3539900090870"</f>
        <v>0</v>
      </c>
      <c r="F6593" t="str">
        <f>"001190"</f>
        <v>0</v>
      </c>
      <c r="G6593" t="s">
        <v>21</v>
      </c>
    </row>
    <row r="6594" spans="1:7">
      <c r="A6594">
        <v>6593</v>
      </c>
      <c r="B6594" t="str">
        <f>"024877"</f>
        <v>0</v>
      </c>
      <c r="C6594" t="s">
        <v>10497</v>
      </c>
      <c r="D6594" t="s">
        <v>10498</v>
      </c>
      <c r="E6594" t="str">
        <f>"3530800043022"</f>
        <v>0</v>
      </c>
      <c r="F6594" t="str">
        <f>"001190"</f>
        <v>0</v>
      </c>
      <c r="G6594" t="s">
        <v>21</v>
      </c>
    </row>
    <row r="6595" spans="1:7">
      <c r="A6595">
        <v>6594</v>
      </c>
      <c r="B6595" t="str">
        <f>"025491"</f>
        <v>0</v>
      </c>
      <c r="C6595" t="s">
        <v>4020</v>
      </c>
      <c r="D6595" t="s">
        <v>9655</v>
      </c>
      <c r="E6595" t="str">
        <f>"1539900032369"</f>
        <v>0</v>
      </c>
      <c r="F6595" t="str">
        <f>"001190"</f>
        <v>0</v>
      </c>
      <c r="G6595" t="s">
        <v>21</v>
      </c>
    </row>
    <row r="6596" spans="1:7">
      <c r="A6596">
        <v>6595</v>
      </c>
      <c r="B6596" t="str">
        <f>"025689"</f>
        <v>0</v>
      </c>
      <c r="C6596" t="s">
        <v>10499</v>
      </c>
      <c r="D6596" t="s">
        <v>10500</v>
      </c>
      <c r="E6596" t="str">
        <f>"1539900031176"</f>
        <v>0</v>
      </c>
      <c r="F6596" t="str">
        <f>"001190"</f>
        <v>0</v>
      </c>
      <c r="G6596" t="s">
        <v>21</v>
      </c>
    </row>
    <row r="6597" spans="1:7">
      <c r="A6597">
        <v>6596</v>
      </c>
      <c r="B6597" t="str">
        <f>"026836"</f>
        <v>0</v>
      </c>
      <c r="C6597" t="s">
        <v>10501</v>
      </c>
      <c r="D6597" t="s">
        <v>8391</v>
      </c>
      <c r="E6597" t="str">
        <f>"1539900394261"</f>
        <v>0</v>
      </c>
      <c r="F6597" t="str">
        <f>"001190"</f>
        <v>0</v>
      </c>
      <c r="G6597" t="s">
        <v>21</v>
      </c>
    </row>
    <row r="6598" spans="1:7">
      <c r="A6598">
        <v>6597</v>
      </c>
      <c r="B6598" t="str">
        <f>"027267"</f>
        <v>0</v>
      </c>
      <c r="C6598" t="s">
        <v>6473</v>
      </c>
      <c r="D6598" t="s">
        <v>10502</v>
      </c>
      <c r="E6598" t="str">
        <f>"1240200001651"</f>
        <v>0</v>
      </c>
      <c r="F6598" t="str">
        <f>"001190"</f>
        <v>0</v>
      </c>
      <c r="G6598" t="s">
        <v>21</v>
      </c>
    </row>
    <row r="6599" spans="1:7">
      <c r="A6599">
        <v>6598</v>
      </c>
      <c r="B6599" t="str">
        <f>"027425"</f>
        <v>0</v>
      </c>
      <c r="C6599" t="s">
        <v>7152</v>
      </c>
      <c r="D6599" t="s">
        <v>10503</v>
      </c>
      <c r="E6599" t="str">
        <f>"1509900008638"</f>
        <v>0</v>
      </c>
      <c r="F6599" t="str">
        <f>"001190"</f>
        <v>0</v>
      </c>
      <c r="G6599" t="s">
        <v>21</v>
      </c>
    </row>
    <row r="6600" spans="1:7">
      <c r="A6600">
        <v>6599</v>
      </c>
      <c r="B6600" t="str">
        <f>"027426"</f>
        <v>0</v>
      </c>
      <c r="C6600" t="s">
        <v>3518</v>
      </c>
      <c r="D6600" t="s">
        <v>10504</v>
      </c>
      <c r="E6600" t="str">
        <f>"1549900340721"</f>
        <v>0</v>
      </c>
      <c r="F6600" t="str">
        <f>"001190"</f>
        <v>0</v>
      </c>
      <c r="G6600" t="s">
        <v>21</v>
      </c>
    </row>
    <row r="6601" spans="1:7">
      <c r="A6601">
        <v>6600</v>
      </c>
      <c r="B6601" t="str">
        <f>"027439"</f>
        <v>0</v>
      </c>
      <c r="C6601" t="s">
        <v>4388</v>
      </c>
      <c r="D6601" t="s">
        <v>10505</v>
      </c>
      <c r="E6601" t="str">
        <f>"1520800106478"</f>
        <v>0</v>
      </c>
      <c r="F6601" t="str">
        <f>"001190"</f>
        <v>0</v>
      </c>
      <c r="G6601" t="s">
        <v>21</v>
      </c>
    </row>
    <row r="6602" spans="1:7">
      <c r="A6602">
        <v>6601</v>
      </c>
      <c r="B6602" t="str">
        <f>"027494"</f>
        <v>0</v>
      </c>
      <c r="C6602" t="s">
        <v>7148</v>
      </c>
      <c r="D6602" t="s">
        <v>10506</v>
      </c>
      <c r="E6602" t="str">
        <f>"3530100535160"</f>
        <v>0</v>
      </c>
      <c r="F6602" t="str">
        <f>"001190"</f>
        <v>0</v>
      </c>
      <c r="G6602" t="s">
        <v>21</v>
      </c>
    </row>
    <row r="6603" spans="1:7">
      <c r="A6603">
        <v>6602</v>
      </c>
      <c r="B6603" t="str">
        <f>"021097"</f>
        <v>0</v>
      </c>
      <c r="C6603" t="s">
        <v>10507</v>
      </c>
      <c r="D6603" t="s">
        <v>10508</v>
      </c>
      <c r="E6603" t="str">
        <f>"3549900095740"</f>
        <v>0</v>
      </c>
      <c r="F6603" t="str">
        <f>"001190"</f>
        <v>0</v>
      </c>
      <c r="G6603" t="s">
        <v>21</v>
      </c>
    </row>
    <row r="6604" spans="1:7">
      <c r="A6604">
        <v>6603</v>
      </c>
      <c r="B6604" t="str">
        <f>"024559"</f>
        <v>0</v>
      </c>
      <c r="C6604" t="s">
        <v>10509</v>
      </c>
      <c r="D6604" t="s">
        <v>10510</v>
      </c>
      <c r="E6604" t="str">
        <f>"3540300378262"</f>
        <v>0</v>
      </c>
      <c r="F6604" t="str">
        <f>"001190"</f>
        <v>0</v>
      </c>
      <c r="G6604" t="s">
        <v>21</v>
      </c>
    </row>
    <row r="6605" spans="1:7">
      <c r="A6605">
        <v>6604</v>
      </c>
      <c r="B6605" t="str">
        <f>"025688"</f>
        <v>0</v>
      </c>
      <c r="C6605" t="s">
        <v>10511</v>
      </c>
      <c r="D6605" t="s">
        <v>10512</v>
      </c>
      <c r="E6605" t="str">
        <f>"1239900194272"</f>
        <v>0</v>
      </c>
      <c r="F6605" t="str">
        <f>"001190"</f>
        <v>0</v>
      </c>
      <c r="G6605" t="s">
        <v>21</v>
      </c>
    </row>
    <row r="6606" spans="1:7">
      <c r="A6606">
        <v>6605</v>
      </c>
      <c r="B6606" t="str">
        <f>"026547"</f>
        <v>0</v>
      </c>
      <c r="C6606" t="s">
        <v>4714</v>
      </c>
      <c r="D6606" t="s">
        <v>10513</v>
      </c>
      <c r="E6606" t="str">
        <f>"1929900331842"</f>
        <v>0</v>
      </c>
      <c r="F6606" t="str">
        <f>"001190"</f>
        <v>0</v>
      </c>
      <c r="G6606" t="s">
        <v>21</v>
      </c>
    </row>
    <row r="6607" spans="1:7">
      <c r="A6607">
        <v>6606</v>
      </c>
      <c r="B6607" t="str">
        <f>"014698"</f>
        <v>0</v>
      </c>
      <c r="C6607" t="s">
        <v>197</v>
      </c>
      <c r="D6607" t="s">
        <v>10514</v>
      </c>
      <c r="E6607" t="str">
        <f>"3550700097546"</f>
        <v>0</v>
      </c>
      <c r="F6607" t="str">
        <f>"001190"</f>
        <v>0</v>
      </c>
      <c r="G6607" t="s">
        <v>21</v>
      </c>
    </row>
    <row r="6608" spans="1:7">
      <c r="A6608">
        <v>6607</v>
      </c>
      <c r="B6608" t="str">
        <f>"025992"</f>
        <v>0</v>
      </c>
      <c r="C6608" t="s">
        <v>10515</v>
      </c>
      <c r="D6608" t="s">
        <v>10516</v>
      </c>
      <c r="E6608" t="str">
        <f>"1600100108604"</f>
        <v>0</v>
      </c>
      <c r="F6608" t="str">
        <f>"001190"</f>
        <v>0</v>
      </c>
      <c r="G6608" t="s">
        <v>21</v>
      </c>
    </row>
    <row r="6609" spans="1:7">
      <c r="A6609">
        <v>6608</v>
      </c>
      <c r="B6609" t="str">
        <f>"026597"</f>
        <v>0</v>
      </c>
      <c r="C6609" t="s">
        <v>10517</v>
      </c>
      <c r="D6609" t="s">
        <v>10518</v>
      </c>
      <c r="E6609" t="str">
        <f>"1639900087006"</f>
        <v>0</v>
      </c>
      <c r="F6609" t="str">
        <f>"001190"</f>
        <v>0</v>
      </c>
      <c r="G6609" t="s">
        <v>21</v>
      </c>
    </row>
    <row r="6610" spans="1:7">
      <c r="A6610">
        <v>6609</v>
      </c>
      <c r="B6610" t="str">
        <f>"008255"</f>
        <v>0</v>
      </c>
      <c r="C6610" t="s">
        <v>4372</v>
      </c>
      <c r="D6610" t="s">
        <v>10519</v>
      </c>
      <c r="E6610" t="str">
        <f>"3640800030876"</f>
        <v>0</v>
      </c>
      <c r="F6610" t="str">
        <f>"001190"</f>
        <v>0</v>
      </c>
      <c r="G6610" t="s">
        <v>21</v>
      </c>
    </row>
    <row r="6611" spans="1:7">
      <c r="A6611">
        <v>6610</v>
      </c>
      <c r="B6611" t="str">
        <f>"024174"</f>
        <v>0</v>
      </c>
      <c r="C6611" t="s">
        <v>10520</v>
      </c>
      <c r="D6611" t="s">
        <v>10521</v>
      </c>
      <c r="E6611" t="str">
        <f>"1539900170931"</f>
        <v>0</v>
      </c>
      <c r="F6611" t="str">
        <f>"001190"</f>
        <v>0</v>
      </c>
      <c r="G6611" t="s">
        <v>21</v>
      </c>
    </row>
    <row r="6612" spans="1:7">
      <c r="A6612">
        <v>6611</v>
      </c>
      <c r="B6612" t="str">
        <f>"025991"</f>
        <v>0</v>
      </c>
      <c r="C6612" t="s">
        <v>10522</v>
      </c>
      <c r="D6612" t="s">
        <v>10523</v>
      </c>
      <c r="E6612" t="str">
        <f>"3640900053568"</f>
        <v>0</v>
      </c>
      <c r="F6612" t="str">
        <f>"001190"</f>
        <v>0</v>
      </c>
      <c r="G6612" t="s">
        <v>21</v>
      </c>
    </row>
    <row r="6613" spans="1:7">
      <c r="A6613">
        <v>6612</v>
      </c>
      <c r="B6613" t="str">
        <f>"022262"</f>
        <v>0</v>
      </c>
      <c r="C6613" t="s">
        <v>10524</v>
      </c>
      <c r="D6613" t="s">
        <v>10525</v>
      </c>
      <c r="E6613" t="str">
        <f>"1669800001541"</f>
        <v>0</v>
      </c>
      <c r="F6613" t="str">
        <f>"001190"</f>
        <v>0</v>
      </c>
      <c r="G6613" t="s">
        <v>21</v>
      </c>
    </row>
    <row r="6614" spans="1:7">
      <c r="A6614">
        <v>6613</v>
      </c>
      <c r="B6614" t="str">
        <f>"026167"</f>
        <v>0</v>
      </c>
      <c r="C6614" t="s">
        <v>10526</v>
      </c>
      <c r="D6614" t="s">
        <v>10527</v>
      </c>
      <c r="E6614" t="str">
        <f>"1779900095954"</f>
        <v>0</v>
      </c>
      <c r="F6614" t="str">
        <f>"001190"</f>
        <v>0</v>
      </c>
      <c r="G6614" t="s">
        <v>21</v>
      </c>
    </row>
    <row r="6615" spans="1:7">
      <c r="A6615">
        <v>6614</v>
      </c>
      <c r="B6615" t="str">
        <f>"025012"</f>
        <v>0</v>
      </c>
      <c r="C6615" t="s">
        <v>10528</v>
      </c>
      <c r="D6615" t="s">
        <v>10529</v>
      </c>
      <c r="E6615" t="str">
        <f>"3920100237220"</f>
        <v>0</v>
      </c>
      <c r="F6615" t="str">
        <f>"001190"</f>
        <v>0</v>
      </c>
      <c r="G6615" t="s">
        <v>21</v>
      </c>
    </row>
    <row r="6616" spans="1:7">
      <c r="A6616">
        <v>6615</v>
      </c>
      <c r="B6616" t="str">
        <f>"027535"</f>
        <v>0</v>
      </c>
      <c r="C6616" t="s">
        <v>10530</v>
      </c>
      <c r="D6616" t="s">
        <v>10531</v>
      </c>
      <c r="E6616" t="str">
        <f>"1570300069981"</f>
        <v>0</v>
      </c>
      <c r="F6616" t="str">
        <f>"001190"</f>
        <v>0</v>
      </c>
      <c r="G6616" t="s">
        <v>21</v>
      </c>
    </row>
    <row r="6617" spans="1:7">
      <c r="A6617">
        <v>6616</v>
      </c>
      <c r="B6617" t="str">
        <f>"027536"</f>
        <v>0</v>
      </c>
      <c r="C6617" t="s">
        <v>10532</v>
      </c>
      <c r="D6617" t="s">
        <v>10533</v>
      </c>
      <c r="E6617" t="str">
        <f>"1579900002486"</f>
        <v>0</v>
      </c>
      <c r="F6617" t="str">
        <f>"001190"</f>
        <v>0</v>
      </c>
      <c r="G6617" t="s">
        <v>21</v>
      </c>
    </row>
    <row r="6618" spans="1:7">
      <c r="A6618">
        <v>6617</v>
      </c>
      <c r="B6618" t="str">
        <f>"000561"</f>
        <v>0</v>
      </c>
      <c r="C6618" t="s">
        <v>3586</v>
      </c>
      <c r="D6618" t="s">
        <v>10534</v>
      </c>
      <c r="E6618" t="str">
        <f>"3679900080997"</f>
        <v>0</v>
      </c>
      <c r="F6618" t="str">
        <f>"001200"</f>
        <v>0</v>
      </c>
      <c r="G6618" t="s">
        <v>21</v>
      </c>
    </row>
    <row r="6619" spans="1:7">
      <c r="A6619">
        <v>6618</v>
      </c>
      <c r="B6619" t="str">
        <f>"000696"</f>
        <v>0</v>
      </c>
      <c r="C6619" t="s">
        <v>10535</v>
      </c>
      <c r="D6619" t="s">
        <v>10536</v>
      </c>
      <c r="E6619" t="str">
        <f>"5670100083001"</f>
        <v>0</v>
      </c>
      <c r="F6619" t="str">
        <f>"001200"</f>
        <v>0</v>
      </c>
      <c r="G6619" t="s">
        <v>21</v>
      </c>
    </row>
    <row r="6620" spans="1:7">
      <c r="A6620">
        <v>6619</v>
      </c>
      <c r="B6620" t="str">
        <f>"000891"</f>
        <v>0</v>
      </c>
      <c r="C6620" t="s">
        <v>86</v>
      </c>
      <c r="D6620" t="s">
        <v>10537</v>
      </c>
      <c r="E6620" t="str">
        <f>"3600200008551"</f>
        <v>0</v>
      </c>
      <c r="F6620" t="str">
        <f>"001200"</f>
        <v>0</v>
      </c>
      <c r="G6620" t="s">
        <v>21</v>
      </c>
    </row>
    <row r="6621" spans="1:7">
      <c r="A6621">
        <v>6620</v>
      </c>
      <c r="B6621" t="str">
        <f>"002886"</f>
        <v>0</v>
      </c>
      <c r="C6621" t="s">
        <v>5247</v>
      </c>
      <c r="D6621" t="s">
        <v>10538</v>
      </c>
      <c r="E6621" t="str">
        <f>"3330300924811"</f>
        <v>0</v>
      </c>
      <c r="F6621" t="str">
        <f>"001200"</f>
        <v>0</v>
      </c>
      <c r="G6621" t="s">
        <v>21</v>
      </c>
    </row>
    <row r="6622" spans="1:7">
      <c r="A6622">
        <v>6621</v>
      </c>
      <c r="B6622" t="str">
        <f>"002950"</f>
        <v>0</v>
      </c>
      <c r="C6622" t="s">
        <v>4341</v>
      </c>
      <c r="D6622" t="s">
        <v>10539</v>
      </c>
      <c r="E6622" t="str">
        <f>"3679900184385"</f>
        <v>0</v>
      </c>
      <c r="F6622" t="str">
        <f>"001200"</f>
        <v>0</v>
      </c>
      <c r="G6622" t="s">
        <v>21</v>
      </c>
    </row>
    <row r="6623" spans="1:7">
      <c r="A6623">
        <v>6622</v>
      </c>
      <c r="B6623" t="str">
        <f>"003115"</f>
        <v>0</v>
      </c>
      <c r="C6623" t="s">
        <v>32</v>
      </c>
      <c r="D6623" t="s">
        <v>3403</v>
      </c>
      <c r="E6623" t="str">
        <f>"3520100665861"</f>
        <v>0</v>
      </c>
      <c r="F6623" t="str">
        <f>"001200"</f>
        <v>0</v>
      </c>
      <c r="G6623" t="s">
        <v>21</v>
      </c>
    </row>
    <row r="6624" spans="1:7">
      <c r="A6624">
        <v>6623</v>
      </c>
      <c r="B6624" t="str">
        <f>"004435"</f>
        <v>0</v>
      </c>
      <c r="C6624" t="s">
        <v>6279</v>
      </c>
      <c r="D6624" t="s">
        <v>5976</v>
      </c>
      <c r="E6624" t="str">
        <f>"3679800001203"</f>
        <v>0</v>
      </c>
      <c r="F6624" t="str">
        <f>"001200"</f>
        <v>0</v>
      </c>
      <c r="G6624" t="s">
        <v>21</v>
      </c>
    </row>
    <row r="6625" spans="1:7">
      <c r="A6625">
        <v>6624</v>
      </c>
      <c r="B6625" t="str">
        <f>"004436"</f>
        <v>0</v>
      </c>
      <c r="C6625" t="s">
        <v>10540</v>
      </c>
      <c r="D6625" t="s">
        <v>10541</v>
      </c>
      <c r="E6625" t="str">
        <f>"3550500092621"</f>
        <v>0</v>
      </c>
      <c r="F6625" t="str">
        <f>"001200"</f>
        <v>0</v>
      </c>
      <c r="G6625" t="s">
        <v>21</v>
      </c>
    </row>
    <row r="6626" spans="1:7">
      <c r="A6626">
        <v>6625</v>
      </c>
      <c r="B6626" t="str">
        <f>"005349"</f>
        <v>0</v>
      </c>
      <c r="C6626" t="s">
        <v>4355</v>
      </c>
      <c r="D6626" t="s">
        <v>10542</v>
      </c>
      <c r="E6626" t="str">
        <f>"3670600147214"</f>
        <v>0</v>
      </c>
      <c r="F6626" t="str">
        <f>"001200"</f>
        <v>0</v>
      </c>
      <c r="G6626" t="s">
        <v>21</v>
      </c>
    </row>
    <row r="6627" spans="1:7">
      <c r="A6627">
        <v>6626</v>
      </c>
      <c r="B6627" t="str">
        <f>"006193"</f>
        <v>0</v>
      </c>
      <c r="C6627" t="s">
        <v>10543</v>
      </c>
      <c r="D6627" t="s">
        <v>10544</v>
      </c>
      <c r="E6627" t="str">
        <f>"3670700967426"</f>
        <v>0</v>
      </c>
      <c r="F6627" t="str">
        <f>"001200"</f>
        <v>0</v>
      </c>
      <c r="G6627" t="s">
        <v>21</v>
      </c>
    </row>
    <row r="6628" spans="1:7">
      <c r="A6628">
        <v>6627</v>
      </c>
      <c r="B6628" t="str">
        <f>"007121"</f>
        <v>0</v>
      </c>
      <c r="C6628" t="s">
        <v>175</v>
      </c>
      <c r="D6628" t="s">
        <v>10545</v>
      </c>
      <c r="E6628" t="str">
        <f>"3810500107847"</f>
        <v>0</v>
      </c>
      <c r="F6628" t="str">
        <f>"001200"</f>
        <v>0</v>
      </c>
      <c r="G6628" t="s">
        <v>21</v>
      </c>
    </row>
    <row r="6629" spans="1:7">
      <c r="A6629">
        <v>6628</v>
      </c>
      <c r="B6629" t="str">
        <f>"007228"</f>
        <v>0</v>
      </c>
      <c r="C6629" t="s">
        <v>1851</v>
      </c>
      <c r="D6629" t="s">
        <v>10546</v>
      </c>
      <c r="E6629" t="str">
        <f>"3670700151108"</f>
        <v>0</v>
      </c>
      <c r="F6629" t="str">
        <f>"001200"</f>
        <v>0</v>
      </c>
      <c r="G6629" t="s">
        <v>21</v>
      </c>
    </row>
    <row r="6630" spans="1:7">
      <c r="A6630">
        <v>6629</v>
      </c>
      <c r="B6630" t="str">
        <f>"007523"</f>
        <v>0</v>
      </c>
      <c r="C6630" t="s">
        <v>2260</v>
      </c>
      <c r="D6630" t="s">
        <v>10547</v>
      </c>
      <c r="E6630" t="str">
        <f>"5670500010540"</f>
        <v>0</v>
      </c>
      <c r="F6630" t="str">
        <f>"001200"</f>
        <v>0</v>
      </c>
      <c r="G6630" t="s">
        <v>21</v>
      </c>
    </row>
    <row r="6631" spans="1:7">
      <c r="A6631">
        <v>6630</v>
      </c>
      <c r="B6631" t="str">
        <f>"007954"</f>
        <v>0</v>
      </c>
      <c r="C6631" t="s">
        <v>3090</v>
      </c>
      <c r="D6631" t="s">
        <v>10548</v>
      </c>
      <c r="E6631" t="str">
        <f>"3670500121027"</f>
        <v>0</v>
      </c>
      <c r="F6631" t="str">
        <f>"001200"</f>
        <v>0</v>
      </c>
      <c r="G6631" t="s">
        <v>21</v>
      </c>
    </row>
    <row r="6632" spans="1:7">
      <c r="A6632">
        <v>6631</v>
      </c>
      <c r="B6632" t="str">
        <f>"007998"</f>
        <v>0</v>
      </c>
      <c r="C6632" t="s">
        <v>10549</v>
      </c>
      <c r="D6632" t="s">
        <v>10550</v>
      </c>
      <c r="E6632" t="str">
        <f>"3540200181688"</f>
        <v>0</v>
      </c>
      <c r="F6632" t="str">
        <f>"001200"</f>
        <v>0</v>
      </c>
      <c r="G6632" t="s">
        <v>21</v>
      </c>
    </row>
    <row r="6633" spans="1:7">
      <c r="A6633">
        <v>6632</v>
      </c>
      <c r="B6633" t="str">
        <f>"008604"</f>
        <v>0</v>
      </c>
      <c r="C6633" t="s">
        <v>10551</v>
      </c>
      <c r="D6633" t="s">
        <v>9957</v>
      </c>
      <c r="E6633" t="str">
        <f>"3110101516227"</f>
        <v>0</v>
      </c>
      <c r="F6633" t="str">
        <f>"001200"</f>
        <v>0</v>
      </c>
      <c r="G6633" t="s">
        <v>21</v>
      </c>
    </row>
    <row r="6634" spans="1:7">
      <c r="A6634">
        <v>6633</v>
      </c>
      <c r="B6634" t="str">
        <f>"008631"</f>
        <v>0</v>
      </c>
      <c r="C6634" t="s">
        <v>10552</v>
      </c>
      <c r="D6634" t="s">
        <v>10553</v>
      </c>
      <c r="E6634" t="str">
        <f>"3330200005547"</f>
        <v>0</v>
      </c>
      <c r="F6634" t="str">
        <f>"001200"</f>
        <v>0</v>
      </c>
      <c r="G6634" t="s">
        <v>21</v>
      </c>
    </row>
    <row r="6635" spans="1:7">
      <c r="A6635">
        <v>6634</v>
      </c>
      <c r="B6635" t="str">
        <f>"008696"</f>
        <v>0</v>
      </c>
      <c r="C6635" t="s">
        <v>4039</v>
      </c>
      <c r="D6635" t="s">
        <v>10554</v>
      </c>
      <c r="E6635" t="str">
        <f>"3679800131301"</f>
        <v>0</v>
      </c>
      <c r="F6635" t="str">
        <f>"001200"</f>
        <v>0</v>
      </c>
      <c r="G6635" t="s">
        <v>21</v>
      </c>
    </row>
    <row r="6636" spans="1:7">
      <c r="A6636">
        <v>6635</v>
      </c>
      <c r="B6636" t="str">
        <f>"008724"</f>
        <v>0</v>
      </c>
      <c r="C6636" t="s">
        <v>10555</v>
      </c>
      <c r="D6636" t="s">
        <v>10556</v>
      </c>
      <c r="E6636" t="str">
        <f>"3670301408521"</f>
        <v>0</v>
      </c>
      <c r="F6636" t="str">
        <f>"001200"</f>
        <v>0</v>
      </c>
      <c r="G6636" t="s">
        <v>21</v>
      </c>
    </row>
    <row r="6637" spans="1:7">
      <c r="A6637">
        <v>6636</v>
      </c>
      <c r="B6637" t="str">
        <f>"009170"</f>
        <v>0</v>
      </c>
      <c r="C6637" t="s">
        <v>10557</v>
      </c>
      <c r="D6637" t="s">
        <v>10558</v>
      </c>
      <c r="E6637" t="str">
        <f>"5670190050140"</f>
        <v>0</v>
      </c>
      <c r="F6637" t="str">
        <f>"001200"</f>
        <v>0</v>
      </c>
      <c r="G6637" t="s">
        <v>21</v>
      </c>
    </row>
    <row r="6638" spans="1:7">
      <c r="A6638">
        <v>6637</v>
      </c>
      <c r="B6638" t="str">
        <f>"009338"</f>
        <v>0</v>
      </c>
      <c r="C6638" t="s">
        <v>46</v>
      </c>
      <c r="D6638" t="s">
        <v>10559</v>
      </c>
      <c r="E6638" t="str">
        <f>"5670500036247"</f>
        <v>0</v>
      </c>
      <c r="F6638" t="str">
        <f>"001200"</f>
        <v>0</v>
      </c>
      <c r="G6638" t="s">
        <v>21</v>
      </c>
    </row>
    <row r="6639" spans="1:7">
      <c r="A6639">
        <v>6638</v>
      </c>
      <c r="B6639" t="str">
        <f>"009402"</f>
        <v>0</v>
      </c>
      <c r="C6639" t="s">
        <v>4779</v>
      </c>
      <c r="D6639" t="s">
        <v>10560</v>
      </c>
      <c r="E6639" t="str">
        <f>"3670700085474"</f>
        <v>0</v>
      </c>
      <c r="F6639" t="str">
        <f>"001200"</f>
        <v>0</v>
      </c>
      <c r="G6639" t="s">
        <v>21</v>
      </c>
    </row>
    <row r="6640" spans="1:7">
      <c r="A6640">
        <v>6639</v>
      </c>
      <c r="B6640" t="str">
        <f>"009492"</f>
        <v>0</v>
      </c>
      <c r="C6640" t="s">
        <v>10561</v>
      </c>
      <c r="D6640" t="s">
        <v>10562</v>
      </c>
      <c r="E6640" t="str">
        <f>"3679800131280"</f>
        <v>0</v>
      </c>
      <c r="F6640" t="str">
        <f>"001200"</f>
        <v>0</v>
      </c>
      <c r="G6640" t="s">
        <v>21</v>
      </c>
    </row>
    <row r="6641" spans="1:7">
      <c r="A6641">
        <v>6640</v>
      </c>
      <c r="B6641" t="str">
        <f>"009800"</f>
        <v>0</v>
      </c>
      <c r="C6641" t="s">
        <v>10563</v>
      </c>
      <c r="D6641" t="s">
        <v>10564</v>
      </c>
      <c r="E6641" t="str">
        <f>"3670400224428"</f>
        <v>0</v>
      </c>
      <c r="F6641" t="str">
        <f>"001200"</f>
        <v>0</v>
      </c>
      <c r="G6641" t="s">
        <v>21</v>
      </c>
    </row>
    <row r="6642" spans="1:7">
      <c r="A6642">
        <v>6641</v>
      </c>
      <c r="B6642" t="str">
        <f>"009801"</f>
        <v>0</v>
      </c>
      <c r="C6642" t="s">
        <v>4049</v>
      </c>
      <c r="D6642" t="s">
        <v>10559</v>
      </c>
      <c r="E6642" t="str">
        <f>"5670590045925"</f>
        <v>0</v>
      </c>
      <c r="F6642" t="str">
        <f>"001200"</f>
        <v>0</v>
      </c>
      <c r="G6642" t="s">
        <v>21</v>
      </c>
    </row>
    <row r="6643" spans="1:7">
      <c r="A6643">
        <v>6642</v>
      </c>
      <c r="B6643" t="str">
        <f>"010278"</f>
        <v>0</v>
      </c>
      <c r="C6643" t="s">
        <v>10565</v>
      </c>
      <c r="D6643" t="s">
        <v>10566</v>
      </c>
      <c r="E6643" t="str">
        <f>"3540300210876"</f>
        <v>0</v>
      </c>
      <c r="F6643" t="str">
        <f>"001200"</f>
        <v>0</v>
      </c>
      <c r="G6643" t="s">
        <v>21</v>
      </c>
    </row>
    <row r="6644" spans="1:7">
      <c r="A6644">
        <v>6643</v>
      </c>
      <c r="B6644" t="str">
        <f>"010949"</f>
        <v>0</v>
      </c>
      <c r="C6644" t="s">
        <v>645</v>
      </c>
      <c r="D6644" t="s">
        <v>10567</v>
      </c>
      <c r="E6644" t="str">
        <f>"3679900231383"</f>
        <v>0</v>
      </c>
      <c r="F6644" t="str">
        <f>"001200"</f>
        <v>0</v>
      </c>
      <c r="G6644" t="s">
        <v>21</v>
      </c>
    </row>
    <row r="6645" spans="1:7">
      <c r="A6645">
        <v>6644</v>
      </c>
      <c r="B6645" t="str">
        <f>"011095"</f>
        <v>0</v>
      </c>
      <c r="C6645" t="s">
        <v>86</v>
      </c>
      <c r="D6645" t="s">
        <v>10568</v>
      </c>
      <c r="E6645" t="str">
        <f>"3670400021578"</f>
        <v>0</v>
      </c>
      <c r="F6645" t="str">
        <f>"001200"</f>
        <v>0</v>
      </c>
      <c r="G6645" t="s">
        <v>21</v>
      </c>
    </row>
    <row r="6646" spans="1:7">
      <c r="A6646">
        <v>6645</v>
      </c>
      <c r="B6646" t="str">
        <f>"011190"</f>
        <v>0</v>
      </c>
      <c r="C6646" t="s">
        <v>10569</v>
      </c>
      <c r="D6646" t="s">
        <v>10570</v>
      </c>
      <c r="E6646" t="str">
        <f>"3679800131255"</f>
        <v>0</v>
      </c>
      <c r="F6646" t="str">
        <f>"001200"</f>
        <v>0</v>
      </c>
      <c r="G6646" t="s">
        <v>21</v>
      </c>
    </row>
    <row r="6647" spans="1:7">
      <c r="A6647">
        <v>6646</v>
      </c>
      <c r="B6647" t="str">
        <f>"011191"</f>
        <v>0</v>
      </c>
      <c r="C6647" t="s">
        <v>10571</v>
      </c>
      <c r="D6647" t="s">
        <v>10572</v>
      </c>
      <c r="E6647" t="str">
        <f>"3670400077549"</f>
        <v>0</v>
      </c>
      <c r="F6647" t="str">
        <f>"001200"</f>
        <v>0</v>
      </c>
      <c r="G6647" t="s">
        <v>21</v>
      </c>
    </row>
    <row r="6648" spans="1:7">
      <c r="A6648">
        <v>6647</v>
      </c>
      <c r="B6648" t="str">
        <f>"012003"</f>
        <v>0</v>
      </c>
      <c r="C6648" t="s">
        <v>6681</v>
      </c>
      <c r="D6648" t="s">
        <v>2557</v>
      </c>
      <c r="E6648" t="str">
        <f>"3410500151076"</f>
        <v>0</v>
      </c>
      <c r="F6648" t="str">
        <f>"001200"</f>
        <v>0</v>
      </c>
      <c r="G6648" t="s">
        <v>21</v>
      </c>
    </row>
    <row r="6649" spans="1:7">
      <c r="A6649">
        <v>6648</v>
      </c>
      <c r="B6649" t="str">
        <f>"012165"</f>
        <v>0</v>
      </c>
      <c r="C6649" t="s">
        <v>10573</v>
      </c>
      <c r="D6649" t="s">
        <v>1618</v>
      </c>
      <c r="E6649" t="str">
        <f>"3170300252106"</f>
        <v>0</v>
      </c>
      <c r="F6649" t="str">
        <f>"001200"</f>
        <v>0</v>
      </c>
      <c r="G6649" t="s">
        <v>21</v>
      </c>
    </row>
    <row r="6650" spans="1:7">
      <c r="A6650">
        <v>6649</v>
      </c>
      <c r="B6650" t="str">
        <f>"012584"</f>
        <v>0</v>
      </c>
      <c r="C6650" t="s">
        <v>10574</v>
      </c>
      <c r="D6650" t="s">
        <v>10575</v>
      </c>
      <c r="E6650" t="str">
        <f>"3639900036726"</f>
        <v>0</v>
      </c>
      <c r="F6650" t="str">
        <f>"001200"</f>
        <v>0</v>
      </c>
      <c r="G6650" t="s">
        <v>21</v>
      </c>
    </row>
    <row r="6651" spans="1:7">
      <c r="A6651">
        <v>6650</v>
      </c>
      <c r="B6651" t="str">
        <f>"012639"</f>
        <v>0</v>
      </c>
      <c r="C6651" t="s">
        <v>5823</v>
      </c>
      <c r="D6651" t="s">
        <v>4272</v>
      </c>
      <c r="E6651" t="str">
        <f>"3440900026155"</f>
        <v>0</v>
      </c>
      <c r="F6651" t="str">
        <f>"001200"</f>
        <v>0</v>
      </c>
      <c r="G6651" t="s">
        <v>21</v>
      </c>
    </row>
    <row r="6652" spans="1:7">
      <c r="A6652">
        <v>6651</v>
      </c>
      <c r="B6652" t="str">
        <f>"012861"</f>
        <v>0</v>
      </c>
      <c r="C6652" t="s">
        <v>2441</v>
      </c>
      <c r="D6652" t="s">
        <v>10576</v>
      </c>
      <c r="E6652" t="str">
        <f>"3671000274143"</f>
        <v>0</v>
      </c>
      <c r="F6652" t="str">
        <f>"001200"</f>
        <v>0</v>
      </c>
      <c r="G6652" t="s">
        <v>21</v>
      </c>
    </row>
    <row r="6653" spans="1:7">
      <c r="A6653">
        <v>6652</v>
      </c>
      <c r="B6653" t="str">
        <f>"012864"</f>
        <v>0</v>
      </c>
      <c r="C6653" t="s">
        <v>2535</v>
      </c>
      <c r="D6653" t="s">
        <v>10577</v>
      </c>
      <c r="E6653" t="str">
        <f>"3670301159229"</f>
        <v>0</v>
      </c>
      <c r="F6653" t="str">
        <f>"001200"</f>
        <v>0</v>
      </c>
      <c r="G6653" t="s">
        <v>21</v>
      </c>
    </row>
    <row r="6654" spans="1:7">
      <c r="A6654">
        <v>6653</v>
      </c>
      <c r="B6654" t="str">
        <f>"013074"</f>
        <v>0</v>
      </c>
      <c r="C6654" t="s">
        <v>56</v>
      </c>
      <c r="D6654" t="s">
        <v>10578</v>
      </c>
      <c r="E6654" t="str">
        <f>"3710500555816"</f>
        <v>0</v>
      </c>
      <c r="F6654" t="str">
        <f>"001200"</f>
        <v>0</v>
      </c>
      <c r="G6654" t="s">
        <v>21</v>
      </c>
    </row>
    <row r="6655" spans="1:7">
      <c r="A6655">
        <v>6654</v>
      </c>
      <c r="B6655" t="str">
        <f>"013079"</f>
        <v>0</v>
      </c>
      <c r="C6655" t="s">
        <v>10579</v>
      </c>
      <c r="D6655" t="s">
        <v>10580</v>
      </c>
      <c r="E6655" t="str">
        <f>"3670300423496"</f>
        <v>0</v>
      </c>
      <c r="F6655" t="str">
        <f>"001200"</f>
        <v>0</v>
      </c>
      <c r="G6655" t="s">
        <v>21</v>
      </c>
    </row>
    <row r="6656" spans="1:7">
      <c r="A6656">
        <v>6655</v>
      </c>
      <c r="B6656" t="str">
        <f>"013210"</f>
        <v>0</v>
      </c>
      <c r="C6656" t="s">
        <v>5340</v>
      </c>
      <c r="D6656" t="s">
        <v>10581</v>
      </c>
      <c r="E6656" t="str">
        <f>"3600400489049"</f>
        <v>0</v>
      </c>
      <c r="F6656" t="str">
        <f>"001200"</f>
        <v>0</v>
      </c>
      <c r="G6656" t="s">
        <v>21</v>
      </c>
    </row>
    <row r="6657" spans="1:7">
      <c r="A6657">
        <v>6656</v>
      </c>
      <c r="B6657" t="str">
        <f>"013929"</f>
        <v>0</v>
      </c>
      <c r="C6657" t="s">
        <v>4084</v>
      </c>
      <c r="D6657" t="s">
        <v>10582</v>
      </c>
      <c r="E6657" t="str">
        <f>"3570501223347"</f>
        <v>0</v>
      </c>
      <c r="F6657" t="str">
        <f>"001200"</f>
        <v>0</v>
      </c>
      <c r="G6657" t="s">
        <v>21</v>
      </c>
    </row>
    <row r="6658" spans="1:7">
      <c r="A6658">
        <v>6657</v>
      </c>
      <c r="B6658" t="str">
        <f>"014038"</f>
        <v>0</v>
      </c>
      <c r="C6658" t="s">
        <v>10583</v>
      </c>
      <c r="D6658" t="s">
        <v>10584</v>
      </c>
      <c r="E6658" t="str">
        <f>"4670800001190"</f>
        <v>0</v>
      </c>
      <c r="F6658" t="str">
        <f>"001200"</f>
        <v>0</v>
      </c>
      <c r="G6658" t="s">
        <v>21</v>
      </c>
    </row>
    <row r="6659" spans="1:7">
      <c r="A6659">
        <v>6658</v>
      </c>
      <c r="B6659" t="str">
        <f>"014176"</f>
        <v>0</v>
      </c>
      <c r="C6659" t="s">
        <v>10585</v>
      </c>
      <c r="D6659" t="s">
        <v>10586</v>
      </c>
      <c r="E6659" t="str">
        <f>"3670101094581"</f>
        <v>0</v>
      </c>
      <c r="F6659" t="str">
        <f>"001200"</f>
        <v>0</v>
      </c>
      <c r="G6659" t="s">
        <v>21</v>
      </c>
    </row>
    <row r="6660" spans="1:7">
      <c r="A6660">
        <v>6659</v>
      </c>
      <c r="B6660" t="str">
        <f>"014252"</f>
        <v>0</v>
      </c>
      <c r="C6660" t="s">
        <v>2371</v>
      </c>
      <c r="D6660" t="s">
        <v>10587</v>
      </c>
      <c r="E6660" t="str">
        <f>"5670790010815"</f>
        <v>0</v>
      </c>
      <c r="F6660" t="str">
        <f>"001200"</f>
        <v>0</v>
      </c>
      <c r="G6660" t="s">
        <v>21</v>
      </c>
    </row>
    <row r="6661" spans="1:7">
      <c r="A6661">
        <v>6660</v>
      </c>
      <c r="B6661" t="str">
        <f>"015474"</f>
        <v>0</v>
      </c>
      <c r="C6661" t="s">
        <v>10588</v>
      </c>
      <c r="D6661" t="s">
        <v>10589</v>
      </c>
      <c r="E6661" t="str">
        <f>"3670301078822"</f>
        <v>0</v>
      </c>
      <c r="F6661" t="str">
        <f>"001200"</f>
        <v>0</v>
      </c>
      <c r="G6661" t="s">
        <v>21</v>
      </c>
    </row>
    <row r="6662" spans="1:7">
      <c r="A6662">
        <v>6661</v>
      </c>
      <c r="B6662" t="str">
        <f>"015951"</f>
        <v>0</v>
      </c>
      <c r="C6662" t="s">
        <v>5258</v>
      </c>
      <c r="D6662" t="s">
        <v>10590</v>
      </c>
      <c r="E6662" t="str">
        <f>"3670500137624"</f>
        <v>0</v>
      </c>
      <c r="F6662" t="str">
        <f>"001200"</f>
        <v>0</v>
      </c>
      <c r="G6662" t="s">
        <v>21</v>
      </c>
    </row>
    <row r="6663" spans="1:7">
      <c r="A6663">
        <v>6662</v>
      </c>
      <c r="B6663" t="str">
        <f>"016138"</f>
        <v>0</v>
      </c>
      <c r="C6663" t="s">
        <v>802</v>
      </c>
      <c r="D6663" t="s">
        <v>10591</v>
      </c>
      <c r="E6663" t="str">
        <f>"3670700308872"</f>
        <v>0</v>
      </c>
      <c r="F6663" t="str">
        <f>"001200"</f>
        <v>0</v>
      </c>
      <c r="G6663" t="s">
        <v>21</v>
      </c>
    </row>
    <row r="6664" spans="1:7">
      <c r="A6664">
        <v>6663</v>
      </c>
      <c r="B6664" t="str">
        <f>"018048"</f>
        <v>0</v>
      </c>
      <c r="C6664" t="s">
        <v>1878</v>
      </c>
      <c r="D6664" t="s">
        <v>10592</v>
      </c>
      <c r="E6664" t="str">
        <f>"3601200092545"</f>
        <v>0</v>
      </c>
      <c r="F6664" t="str">
        <f>"001200"</f>
        <v>0</v>
      </c>
      <c r="G6664" t="s">
        <v>21</v>
      </c>
    </row>
    <row r="6665" spans="1:7">
      <c r="A6665">
        <v>6664</v>
      </c>
      <c r="B6665" t="str">
        <f>"018117"</f>
        <v>0</v>
      </c>
      <c r="C6665" t="s">
        <v>442</v>
      </c>
      <c r="D6665" t="s">
        <v>10593</v>
      </c>
      <c r="E6665" t="str">
        <f>"3670500069556"</f>
        <v>0</v>
      </c>
      <c r="F6665" t="str">
        <f>"001200"</f>
        <v>0</v>
      </c>
      <c r="G6665" t="s">
        <v>21</v>
      </c>
    </row>
    <row r="6666" spans="1:7">
      <c r="A6666">
        <v>6665</v>
      </c>
      <c r="B6666" t="str">
        <f>"018405"</f>
        <v>0</v>
      </c>
      <c r="C6666" t="s">
        <v>10594</v>
      </c>
      <c r="D6666" t="s">
        <v>10595</v>
      </c>
      <c r="E6666" t="str">
        <f>"3160400193179"</f>
        <v>0</v>
      </c>
      <c r="F6666" t="str">
        <f>"001200"</f>
        <v>0</v>
      </c>
      <c r="G6666" t="s">
        <v>21</v>
      </c>
    </row>
    <row r="6667" spans="1:7">
      <c r="A6667">
        <v>6666</v>
      </c>
      <c r="B6667" t="str">
        <f>"020590"</f>
        <v>0</v>
      </c>
      <c r="C6667" t="s">
        <v>10596</v>
      </c>
      <c r="D6667" t="s">
        <v>10597</v>
      </c>
      <c r="E6667" t="str">
        <f>"3420100219927"</f>
        <v>0</v>
      </c>
      <c r="F6667" t="str">
        <f>"001200"</f>
        <v>0</v>
      </c>
      <c r="G6667" t="s">
        <v>21</v>
      </c>
    </row>
    <row r="6668" spans="1:7">
      <c r="A6668">
        <v>6667</v>
      </c>
      <c r="B6668" t="str">
        <f>"020852"</f>
        <v>0</v>
      </c>
      <c r="C6668" t="s">
        <v>9819</v>
      </c>
      <c r="D6668" t="s">
        <v>10598</v>
      </c>
      <c r="E6668" t="str">
        <f>"3639900032160"</f>
        <v>0</v>
      </c>
      <c r="F6668" t="str">
        <f>"001200"</f>
        <v>0</v>
      </c>
      <c r="G6668" t="s">
        <v>21</v>
      </c>
    </row>
    <row r="6669" spans="1:7">
      <c r="A6669">
        <v>6668</v>
      </c>
      <c r="B6669" t="str">
        <f>"026967"</f>
        <v>0</v>
      </c>
      <c r="C6669" t="s">
        <v>10599</v>
      </c>
      <c r="D6669" t="s">
        <v>10600</v>
      </c>
      <c r="E6669" t="str">
        <f>"3910300166784"</f>
        <v>0</v>
      </c>
      <c r="F6669" t="str">
        <f>"001200"</f>
        <v>0</v>
      </c>
      <c r="G6669" t="s">
        <v>21</v>
      </c>
    </row>
    <row r="6670" spans="1:7">
      <c r="A6670">
        <v>6669</v>
      </c>
      <c r="B6670" t="str">
        <f>"026970"</f>
        <v>0</v>
      </c>
      <c r="C6670" t="s">
        <v>3700</v>
      </c>
      <c r="D6670" t="s">
        <v>10601</v>
      </c>
      <c r="E6670" t="str">
        <f>"3169900093431"</f>
        <v>0</v>
      </c>
      <c r="F6670" t="str">
        <f>"001200"</f>
        <v>0</v>
      </c>
      <c r="G6670" t="s">
        <v>21</v>
      </c>
    </row>
    <row r="6671" spans="1:7">
      <c r="A6671">
        <v>6670</v>
      </c>
      <c r="B6671" t="str">
        <f>"023109"</f>
        <v>0</v>
      </c>
      <c r="C6671" t="s">
        <v>10602</v>
      </c>
      <c r="D6671" t="s">
        <v>10603</v>
      </c>
      <c r="E6671" t="str">
        <f>"3679900226240"</f>
        <v>0</v>
      </c>
      <c r="F6671" t="str">
        <f>"001200"</f>
        <v>0</v>
      </c>
      <c r="G6671" t="s">
        <v>21</v>
      </c>
    </row>
    <row r="6672" spans="1:7">
      <c r="A6672">
        <v>6671</v>
      </c>
      <c r="B6672" t="str">
        <f>"024908"</f>
        <v>0</v>
      </c>
      <c r="C6672" t="s">
        <v>7893</v>
      </c>
      <c r="D6672" t="s">
        <v>10604</v>
      </c>
      <c r="E6672" t="str">
        <f>"1670300119731"</f>
        <v>0</v>
      </c>
      <c r="F6672" t="str">
        <f>"001200"</f>
        <v>0</v>
      </c>
      <c r="G6672" t="s">
        <v>21</v>
      </c>
    </row>
    <row r="6673" spans="1:7">
      <c r="A6673">
        <v>6672</v>
      </c>
      <c r="B6673" t="str">
        <f>"026586"</f>
        <v>0</v>
      </c>
      <c r="C6673" t="s">
        <v>7885</v>
      </c>
      <c r="D6673" t="s">
        <v>10605</v>
      </c>
      <c r="E6673" t="str">
        <f>"1679900143160"</f>
        <v>0</v>
      </c>
      <c r="F6673" t="str">
        <f>"001200"</f>
        <v>0</v>
      </c>
      <c r="G6673" t="s">
        <v>21</v>
      </c>
    </row>
    <row r="6674" spans="1:7">
      <c r="A6674">
        <v>6673</v>
      </c>
      <c r="B6674" t="str">
        <f>"022051"</f>
        <v>0</v>
      </c>
      <c r="C6674" t="s">
        <v>10606</v>
      </c>
      <c r="D6674" t="s">
        <v>10607</v>
      </c>
      <c r="E6674" t="str">
        <f>"3102000695721"</f>
        <v>0</v>
      </c>
      <c r="F6674" t="str">
        <f>"001200"</f>
        <v>0</v>
      </c>
      <c r="G6674" t="s">
        <v>21</v>
      </c>
    </row>
    <row r="6675" spans="1:7">
      <c r="A6675">
        <v>6674</v>
      </c>
      <c r="B6675" t="str">
        <f>"025003"</f>
        <v>0</v>
      </c>
      <c r="C6675" t="s">
        <v>10608</v>
      </c>
      <c r="D6675" t="s">
        <v>8962</v>
      </c>
      <c r="E6675" t="str">
        <f>"1579900038715"</f>
        <v>0</v>
      </c>
      <c r="F6675" t="str">
        <f>"001200"</f>
        <v>0</v>
      </c>
      <c r="G6675" t="s">
        <v>21</v>
      </c>
    </row>
    <row r="6676" spans="1:7">
      <c r="A6676">
        <v>6675</v>
      </c>
      <c r="B6676" t="str">
        <f>"025128"</f>
        <v>0</v>
      </c>
      <c r="C6676" t="s">
        <v>10609</v>
      </c>
      <c r="D6676" t="s">
        <v>10610</v>
      </c>
      <c r="E6676" t="str">
        <f>"1101400028032"</f>
        <v>0</v>
      </c>
      <c r="F6676" t="str">
        <f>"001200"</f>
        <v>0</v>
      </c>
      <c r="G6676" t="s">
        <v>21</v>
      </c>
    </row>
    <row r="6677" spans="1:7">
      <c r="A6677">
        <v>6676</v>
      </c>
      <c r="B6677" t="str">
        <f>"026513"</f>
        <v>0</v>
      </c>
      <c r="C6677" t="s">
        <v>10611</v>
      </c>
      <c r="D6677" t="s">
        <v>10612</v>
      </c>
      <c r="E6677" t="str">
        <f>"1100701539680"</f>
        <v>0</v>
      </c>
      <c r="F6677" t="str">
        <f>"001200"</f>
        <v>0</v>
      </c>
      <c r="G6677" t="s">
        <v>21</v>
      </c>
    </row>
    <row r="6678" spans="1:7">
      <c r="A6678">
        <v>6677</v>
      </c>
      <c r="B6678" t="str">
        <f>"027164"</f>
        <v>0</v>
      </c>
      <c r="C6678" t="s">
        <v>10613</v>
      </c>
      <c r="D6678" t="s">
        <v>298</v>
      </c>
      <c r="E6678" t="str">
        <f>"3140600385934"</f>
        <v>0</v>
      </c>
      <c r="F6678" t="str">
        <f>"001200"</f>
        <v>0</v>
      </c>
      <c r="G6678" t="s">
        <v>21</v>
      </c>
    </row>
    <row r="6679" spans="1:7">
      <c r="A6679">
        <v>6678</v>
      </c>
      <c r="B6679" t="str">
        <f>"017134"</f>
        <v>0</v>
      </c>
      <c r="C6679" t="s">
        <v>10614</v>
      </c>
      <c r="D6679" t="s">
        <v>10615</v>
      </c>
      <c r="E6679" t="str">
        <f>"3369900004177"</f>
        <v>0</v>
      </c>
      <c r="F6679" t="str">
        <f>"001200"</f>
        <v>0</v>
      </c>
      <c r="G6679" t="s">
        <v>21</v>
      </c>
    </row>
    <row r="6680" spans="1:7">
      <c r="A6680">
        <v>6679</v>
      </c>
      <c r="B6680" t="str">
        <f>"024963"</f>
        <v>0</v>
      </c>
      <c r="C6680" t="s">
        <v>10616</v>
      </c>
      <c r="D6680" t="s">
        <v>10617</v>
      </c>
      <c r="E6680" t="str">
        <f>"3670400358041"</f>
        <v>0</v>
      </c>
      <c r="F6680" t="str">
        <f>"001200"</f>
        <v>0</v>
      </c>
      <c r="G6680" t="s">
        <v>21</v>
      </c>
    </row>
    <row r="6681" spans="1:7">
      <c r="A6681">
        <v>6680</v>
      </c>
      <c r="B6681" t="str">
        <f>"026174"</f>
        <v>0</v>
      </c>
      <c r="C6681" t="s">
        <v>8569</v>
      </c>
      <c r="D6681" t="s">
        <v>10618</v>
      </c>
      <c r="E6681" t="str">
        <f>"1650200116935"</f>
        <v>0</v>
      </c>
      <c r="F6681" t="str">
        <f>"001200"</f>
        <v>0</v>
      </c>
      <c r="G6681" t="s">
        <v>21</v>
      </c>
    </row>
    <row r="6682" spans="1:7">
      <c r="A6682">
        <v>6681</v>
      </c>
      <c r="B6682" t="str">
        <f>"022994"</f>
        <v>0</v>
      </c>
      <c r="C6682" t="s">
        <v>6066</v>
      </c>
      <c r="D6682" t="s">
        <v>10619</v>
      </c>
      <c r="E6682" t="str">
        <f>"3430100694188"</f>
        <v>0</v>
      </c>
      <c r="F6682" t="str">
        <f>"001200"</f>
        <v>0</v>
      </c>
      <c r="G6682" t="s">
        <v>21</v>
      </c>
    </row>
    <row r="6683" spans="1:7">
      <c r="A6683">
        <v>6682</v>
      </c>
      <c r="B6683" t="str">
        <f>"027163"</f>
        <v>0</v>
      </c>
      <c r="C6683" t="s">
        <v>935</v>
      </c>
      <c r="D6683" t="s">
        <v>4221</v>
      </c>
      <c r="E6683" t="str">
        <f>"1199900077391"</f>
        <v>0</v>
      </c>
      <c r="F6683" t="str">
        <f>"001200"</f>
        <v>0</v>
      </c>
      <c r="G6683" t="s">
        <v>21</v>
      </c>
    </row>
    <row r="6684" spans="1:7">
      <c r="A6684">
        <v>6683</v>
      </c>
      <c r="B6684" t="str">
        <f>"013130"</f>
        <v>0</v>
      </c>
      <c r="C6684" t="s">
        <v>470</v>
      </c>
      <c r="D6684" t="s">
        <v>10620</v>
      </c>
      <c r="E6684" t="str">
        <f>"3801300949080"</f>
        <v>0</v>
      </c>
      <c r="F6684" t="str">
        <f>"001200"</f>
        <v>0</v>
      </c>
      <c r="G6684" t="s">
        <v>21</v>
      </c>
    </row>
    <row r="6685" spans="1:7">
      <c r="A6685">
        <v>6684</v>
      </c>
      <c r="B6685" t="str">
        <f>"020884"</f>
        <v>0</v>
      </c>
      <c r="C6685" t="s">
        <v>10621</v>
      </c>
      <c r="D6685" t="s">
        <v>10622</v>
      </c>
      <c r="E6685" t="str">
        <f>"3570100291686"</f>
        <v>0</v>
      </c>
      <c r="F6685" t="str">
        <f>"001200"</f>
        <v>0</v>
      </c>
      <c r="G6685" t="s">
        <v>21</v>
      </c>
    </row>
    <row r="6686" spans="1:7">
      <c r="A6686">
        <v>6685</v>
      </c>
      <c r="B6686" t="str">
        <f>"025450"</f>
        <v>0</v>
      </c>
      <c r="C6686" t="s">
        <v>10623</v>
      </c>
      <c r="D6686" t="s">
        <v>10624</v>
      </c>
      <c r="E6686" t="str">
        <f>"1509900415985"</f>
        <v>0</v>
      </c>
      <c r="F6686" t="str">
        <f>"001200"</f>
        <v>0</v>
      </c>
      <c r="G6686" t="s">
        <v>21</v>
      </c>
    </row>
    <row r="6687" spans="1:7">
      <c r="A6687">
        <v>6686</v>
      </c>
      <c r="B6687" t="str">
        <f>"025931"</f>
        <v>0</v>
      </c>
      <c r="C6687" t="s">
        <v>634</v>
      </c>
      <c r="D6687" t="s">
        <v>10625</v>
      </c>
      <c r="E6687" t="str">
        <f>"3500900277599"</f>
        <v>0</v>
      </c>
      <c r="F6687" t="str">
        <f>"001200"</f>
        <v>0</v>
      </c>
      <c r="G6687" t="s">
        <v>21</v>
      </c>
    </row>
    <row r="6688" spans="1:7">
      <c r="A6688">
        <v>6687</v>
      </c>
      <c r="B6688" t="str">
        <f>"026171"</f>
        <v>0</v>
      </c>
      <c r="C6688" t="s">
        <v>10626</v>
      </c>
      <c r="D6688" t="s">
        <v>10627</v>
      </c>
      <c r="E6688" t="str">
        <f>"1500200104288"</f>
        <v>0</v>
      </c>
      <c r="F6688" t="str">
        <f>"001200"</f>
        <v>0</v>
      </c>
      <c r="G6688" t="s">
        <v>21</v>
      </c>
    </row>
    <row r="6689" spans="1:7">
      <c r="A6689">
        <v>6688</v>
      </c>
      <c r="B6689" t="str">
        <f>"026172"</f>
        <v>0</v>
      </c>
      <c r="C6689" t="s">
        <v>10628</v>
      </c>
      <c r="D6689" t="s">
        <v>10629</v>
      </c>
      <c r="E6689" t="str">
        <f>"1509900500664"</f>
        <v>0</v>
      </c>
      <c r="F6689" t="str">
        <f>"001200"</f>
        <v>0</v>
      </c>
      <c r="G6689" t="s">
        <v>21</v>
      </c>
    </row>
    <row r="6690" spans="1:7">
      <c r="A6690">
        <v>6689</v>
      </c>
      <c r="B6690" t="str">
        <f>"026755"</f>
        <v>0</v>
      </c>
      <c r="C6690" t="s">
        <v>1269</v>
      </c>
      <c r="D6690" t="s">
        <v>10630</v>
      </c>
      <c r="E6690" t="str">
        <f>"1500900075795"</f>
        <v>0</v>
      </c>
      <c r="F6690" t="str">
        <f>"001200"</f>
        <v>0</v>
      </c>
      <c r="G6690" t="s">
        <v>21</v>
      </c>
    </row>
    <row r="6691" spans="1:7">
      <c r="A6691">
        <v>6690</v>
      </c>
      <c r="B6691" t="str">
        <f>"026751"</f>
        <v>0</v>
      </c>
      <c r="C6691" t="s">
        <v>2676</v>
      </c>
      <c r="D6691" t="s">
        <v>10631</v>
      </c>
      <c r="E6691" t="str">
        <f>"1510100212208"</f>
        <v>0</v>
      </c>
      <c r="F6691" t="str">
        <f>"001200"</f>
        <v>0</v>
      </c>
      <c r="G6691" t="s">
        <v>21</v>
      </c>
    </row>
    <row r="6692" spans="1:7">
      <c r="A6692">
        <v>6691</v>
      </c>
      <c r="B6692" t="str">
        <f>"026754"</f>
        <v>0</v>
      </c>
      <c r="C6692" t="s">
        <v>4182</v>
      </c>
      <c r="D6692" t="s">
        <v>10632</v>
      </c>
      <c r="E6692" t="str">
        <f>"1510100206640"</f>
        <v>0</v>
      </c>
      <c r="F6692" t="str">
        <f>"001200"</f>
        <v>0</v>
      </c>
      <c r="G6692" t="s">
        <v>21</v>
      </c>
    </row>
    <row r="6693" spans="1:7">
      <c r="A6693">
        <v>6692</v>
      </c>
      <c r="B6693" t="str">
        <f>"026750"</f>
        <v>0</v>
      </c>
      <c r="C6693" t="s">
        <v>10633</v>
      </c>
      <c r="D6693" t="s">
        <v>10634</v>
      </c>
      <c r="E6693" t="str">
        <f>"1530700076925"</f>
        <v>0</v>
      </c>
      <c r="F6693" t="str">
        <f>"001200"</f>
        <v>0</v>
      </c>
      <c r="G6693" t="s">
        <v>21</v>
      </c>
    </row>
    <row r="6694" spans="1:7">
      <c r="A6694">
        <v>6693</v>
      </c>
      <c r="B6694" t="str">
        <f>"024827"</f>
        <v>0</v>
      </c>
      <c r="C6694" t="s">
        <v>10635</v>
      </c>
      <c r="D6694" t="s">
        <v>10636</v>
      </c>
      <c r="E6694" t="str">
        <f>"1540100003421"</f>
        <v>0</v>
      </c>
      <c r="F6694" t="str">
        <f>"001200"</f>
        <v>0</v>
      </c>
      <c r="G6694" t="s">
        <v>21</v>
      </c>
    </row>
    <row r="6695" spans="1:7">
      <c r="A6695">
        <v>6694</v>
      </c>
      <c r="B6695" t="str">
        <f>"026749"</f>
        <v>0</v>
      </c>
      <c r="C6695" t="s">
        <v>1204</v>
      </c>
      <c r="D6695" t="s">
        <v>10637</v>
      </c>
      <c r="E6695" t="str">
        <f>"1540300098697"</f>
        <v>0</v>
      </c>
      <c r="F6695" t="str">
        <f>"001200"</f>
        <v>0</v>
      </c>
      <c r="G6695" t="s">
        <v>21</v>
      </c>
    </row>
    <row r="6696" spans="1:7">
      <c r="A6696">
        <v>6695</v>
      </c>
      <c r="B6696" t="str">
        <f>"023748"</f>
        <v>0</v>
      </c>
      <c r="C6696" t="s">
        <v>1315</v>
      </c>
      <c r="D6696" t="s">
        <v>10638</v>
      </c>
      <c r="E6696" t="str">
        <f>"1551100001828"</f>
        <v>0</v>
      </c>
      <c r="F6696" t="str">
        <f>"001200"</f>
        <v>0</v>
      </c>
      <c r="G6696" t="s">
        <v>21</v>
      </c>
    </row>
    <row r="6697" spans="1:7">
      <c r="A6697">
        <v>6696</v>
      </c>
      <c r="B6697" t="str">
        <f>"026512"</f>
        <v>0</v>
      </c>
      <c r="C6697" t="s">
        <v>9423</v>
      </c>
      <c r="D6697" t="s">
        <v>10639</v>
      </c>
      <c r="E6697" t="str">
        <f>"1570300085340"</f>
        <v>0</v>
      </c>
      <c r="F6697" t="str">
        <f>"001200"</f>
        <v>0</v>
      </c>
      <c r="G6697" t="s">
        <v>21</v>
      </c>
    </row>
    <row r="6698" spans="1:7">
      <c r="A6698">
        <v>6697</v>
      </c>
      <c r="B6698" t="str">
        <f>"026758"</f>
        <v>0</v>
      </c>
      <c r="C6698" t="s">
        <v>10114</v>
      </c>
      <c r="D6698" t="s">
        <v>10640</v>
      </c>
      <c r="E6698" t="str">
        <f>"1570300098573"</f>
        <v>0</v>
      </c>
      <c r="F6698" t="str">
        <f>"001200"</f>
        <v>0</v>
      </c>
      <c r="G6698" t="s">
        <v>21</v>
      </c>
    </row>
    <row r="6699" spans="1:7">
      <c r="A6699">
        <v>6698</v>
      </c>
      <c r="B6699" t="str">
        <f>"026759"</f>
        <v>0</v>
      </c>
      <c r="C6699" t="s">
        <v>10641</v>
      </c>
      <c r="D6699" t="s">
        <v>10642</v>
      </c>
      <c r="E6699" t="str">
        <f>"1100701119711"</f>
        <v>0</v>
      </c>
      <c r="F6699" t="str">
        <f>"001200"</f>
        <v>0</v>
      </c>
      <c r="G6699" t="s">
        <v>21</v>
      </c>
    </row>
    <row r="6700" spans="1:7">
      <c r="A6700">
        <v>6699</v>
      </c>
      <c r="B6700" t="str">
        <f>"026753"</f>
        <v>0</v>
      </c>
      <c r="C6700" t="s">
        <v>10643</v>
      </c>
      <c r="D6700" t="s">
        <v>10644</v>
      </c>
      <c r="E6700" t="str">
        <f>"1600800017326"</f>
        <v>0</v>
      </c>
      <c r="F6700" t="str">
        <f>"001200"</f>
        <v>0</v>
      </c>
      <c r="G6700" t="s">
        <v>21</v>
      </c>
    </row>
    <row r="6701" spans="1:7">
      <c r="A6701">
        <v>6700</v>
      </c>
      <c r="B6701" t="str">
        <f>"027165"</f>
        <v>0</v>
      </c>
      <c r="C6701" t="s">
        <v>6596</v>
      </c>
      <c r="D6701" t="s">
        <v>10645</v>
      </c>
      <c r="E6701" t="str">
        <f>"3600100595439"</f>
        <v>0</v>
      </c>
      <c r="F6701" t="str">
        <f>"001200"</f>
        <v>0</v>
      </c>
      <c r="G6701" t="s">
        <v>21</v>
      </c>
    </row>
    <row r="6702" spans="1:7">
      <c r="A6702">
        <v>6701</v>
      </c>
      <c r="B6702" t="str">
        <f>"026757"</f>
        <v>0</v>
      </c>
      <c r="C6702" t="s">
        <v>10646</v>
      </c>
      <c r="D6702" t="s">
        <v>10647</v>
      </c>
      <c r="E6702" t="str">
        <f>"3620101211120"</f>
        <v>0</v>
      </c>
      <c r="F6702" t="str">
        <f>"001200"</f>
        <v>0</v>
      </c>
      <c r="G6702" t="s">
        <v>21</v>
      </c>
    </row>
    <row r="6703" spans="1:7">
      <c r="A6703">
        <v>6702</v>
      </c>
      <c r="B6703" t="str">
        <f>"026752"</f>
        <v>0</v>
      </c>
      <c r="C6703" t="s">
        <v>10648</v>
      </c>
      <c r="D6703" t="s">
        <v>10649</v>
      </c>
      <c r="E6703" t="str">
        <f>"1650100009967"</f>
        <v>0</v>
      </c>
      <c r="F6703" t="str">
        <f>"001200"</f>
        <v>0</v>
      </c>
      <c r="G6703" t="s">
        <v>21</v>
      </c>
    </row>
    <row r="6704" spans="1:7">
      <c r="A6704">
        <v>6703</v>
      </c>
      <c r="B6704" t="str">
        <f>"024066"</f>
        <v>0</v>
      </c>
      <c r="C6704" t="s">
        <v>10650</v>
      </c>
      <c r="D6704" t="s">
        <v>10651</v>
      </c>
      <c r="E6704" t="str">
        <f>"3540500297657"</f>
        <v>0</v>
      </c>
      <c r="F6704" t="str">
        <f>"001200"</f>
        <v>0</v>
      </c>
      <c r="G6704" t="s">
        <v>21</v>
      </c>
    </row>
    <row r="6705" spans="1:7">
      <c r="A6705">
        <v>6704</v>
      </c>
      <c r="B6705" t="str">
        <f>"026748"</f>
        <v>0</v>
      </c>
      <c r="C6705" t="s">
        <v>78</v>
      </c>
      <c r="D6705" t="s">
        <v>10652</v>
      </c>
      <c r="E6705" t="str">
        <f>"3650600700100"</f>
        <v>0</v>
      </c>
      <c r="F6705" t="str">
        <f>"001200"</f>
        <v>0</v>
      </c>
      <c r="G6705" t="s">
        <v>21</v>
      </c>
    </row>
    <row r="6706" spans="1:7">
      <c r="A6706">
        <v>6705</v>
      </c>
      <c r="B6706" t="str">
        <f>"012507"</f>
        <v>0</v>
      </c>
      <c r="C6706" t="s">
        <v>802</v>
      </c>
      <c r="D6706" t="s">
        <v>10060</v>
      </c>
      <c r="E6706" t="str">
        <f>"3920100758289"</f>
        <v>0</v>
      </c>
      <c r="F6706" t="str">
        <f>"001200"</f>
        <v>0</v>
      </c>
      <c r="G6706" t="s">
        <v>21</v>
      </c>
    </row>
    <row r="6707" spans="1:7">
      <c r="A6707">
        <v>6706</v>
      </c>
      <c r="B6707" t="str">
        <f>"024250"</f>
        <v>0</v>
      </c>
      <c r="C6707" t="s">
        <v>3331</v>
      </c>
      <c r="D6707" t="s">
        <v>10653</v>
      </c>
      <c r="E6707" t="str">
        <f>"1669700063308"</f>
        <v>0</v>
      </c>
      <c r="F6707" t="str">
        <f>"001200"</f>
        <v>0</v>
      </c>
      <c r="G6707" t="s">
        <v>21</v>
      </c>
    </row>
    <row r="6708" spans="1:7">
      <c r="A6708">
        <v>6707</v>
      </c>
      <c r="B6708" t="str">
        <f>"008633"</f>
        <v>0</v>
      </c>
      <c r="C6708" t="s">
        <v>2607</v>
      </c>
      <c r="D6708" t="s">
        <v>10654</v>
      </c>
      <c r="E6708" t="str">
        <f>"3550100250009"</f>
        <v>0</v>
      </c>
      <c r="F6708" t="str">
        <f>"001200"</f>
        <v>0</v>
      </c>
      <c r="G6708" t="s">
        <v>21</v>
      </c>
    </row>
    <row r="6709" spans="1:7">
      <c r="A6709">
        <v>6708</v>
      </c>
      <c r="B6709" t="str">
        <f>"010347"</f>
        <v>0</v>
      </c>
      <c r="C6709" t="s">
        <v>130</v>
      </c>
      <c r="D6709" t="s">
        <v>10655</v>
      </c>
      <c r="E6709" t="str">
        <f>"5140600004490"</f>
        <v>0</v>
      </c>
      <c r="F6709" t="str">
        <f>"001200"</f>
        <v>0</v>
      </c>
      <c r="G6709" t="s">
        <v>21</v>
      </c>
    </row>
    <row r="6710" spans="1:7">
      <c r="A6710">
        <v>6709</v>
      </c>
      <c r="B6710" t="str">
        <f>"011829"</f>
        <v>0</v>
      </c>
      <c r="C6710" t="s">
        <v>4924</v>
      </c>
      <c r="D6710" t="s">
        <v>10656</v>
      </c>
      <c r="E6710" t="str">
        <f>"3310800223839"</f>
        <v>0</v>
      </c>
      <c r="F6710" t="str">
        <f>"001200"</f>
        <v>0</v>
      </c>
      <c r="G6710" t="s">
        <v>21</v>
      </c>
    </row>
    <row r="6711" spans="1:7">
      <c r="A6711">
        <v>6710</v>
      </c>
      <c r="B6711" t="str">
        <f>"011968"</f>
        <v>0</v>
      </c>
      <c r="C6711" t="s">
        <v>1021</v>
      </c>
      <c r="D6711" t="s">
        <v>10657</v>
      </c>
      <c r="E6711" t="str">
        <f>"3650900363826"</f>
        <v>0</v>
      </c>
      <c r="F6711" t="str">
        <f>"001200"</f>
        <v>0</v>
      </c>
      <c r="G6711" t="s">
        <v>21</v>
      </c>
    </row>
    <row r="6712" spans="1:7">
      <c r="A6712">
        <v>6711</v>
      </c>
      <c r="B6712" t="str">
        <f>"012026"</f>
        <v>0</v>
      </c>
      <c r="C6712" t="s">
        <v>7515</v>
      </c>
      <c r="D6712" t="s">
        <v>10658</v>
      </c>
      <c r="E6712" t="str">
        <f>"3490600125794"</f>
        <v>0</v>
      </c>
      <c r="F6712" t="str">
        <f>"001200"</f>
        <v>0</v>
      </c>
      <c r="G6712" t="s">
        <v>21</v>
      </c>
    </row>
    <row r="6713" spans="1:7">
      <c r="A6713">
        <v>6712</v>
      </c>
      <c r="B6713" t="str">
        <f>"012582"</f>
        <v>0</v>
      </c>
      <c r="C6713" t="s">
        <v>3411</v>
      </c>
      <c r="D6713" t="s">
        <v>479</v>
      </c>
      <c r="E6713" t="str">
        <f>"3550500424756"</f>
        <v>0</v>
      </c>
      <c r="F6713" t="str">
        <f>"001200"</f>
        <v>0</v>
      </c>
      <c r="G6713" t="s">
        <v>21</v>
      </c>
    </row>
    <row r="6714" spans="1:7">
      <c r="A6714">
        <v>6713</v>
      </c>
      <c r="B6714" t="str">
        <f>"012698"</f>
        <v>0</v>
      </c>
      <c r="C6714" t="s">
        <v>4799</v>
      </c>
      <c r="D6714" t="s">
        <v>10659</v>
      </c>
      <c r="E6714" t="str">
        <f>"3650101041836"</f>
        <v>0</v>
      </c>
      <c r="F6714" t="str">
        <f>"001200"</f>
        <v>0</v>
      </c>
      <c r="G6714" t="s">
        <v>21</v>
      </c>
    </row>
    <row r="6715" spans="1:7">
      <c r="A6715">
        <v>6714</v>
      </c>
      <c r="B6715" t="str">
        <f>"012863"</f>
        <v>0</v>
      </c>
      <c r="C6715" t="s">
        <v>10660</v>
      </c>
      <c r="D6715" t="s">
        <v>10661</v>
      </c>
      <c r="E6715" t="str">
        <f>"3521200020456"</f>
        <v>0</v>
      </c>
      <c r="F6715" t="str">
        <f>"001200"</f>
        <v>0</v>
      </c>
      <c r="G6715" t="s">
        <v>21</v>
      </c>
    </row>
    <row r="6716" spans="1:7">
      <c r="A6716">
        <v>6715</v>
      </c>
      <c r="B6716" t="str">
        <f>"013102"</f>
        <v>0</v>
      </c>
      <c r="C6716" t="s">
        <v>5588</v>
      </c>
      <c r="D6716" t="s">
        <v>10662</v>
      </c>
      <c r="E6716" t="str">
        <f>"4670800004407"</f>
        <v>0</v>
      </c>
      <c r="F6716" t="str">
        <f>"001200"</f>
        <v>0</v>
      </c>
      <c r="G6716" t="s">
        <v>21</v>
      </c>
    </row>
    <row r="6717" spans="1:7">
      <c r="A6717">
        <v>6716</v>
      </c>
      <c r="B6717" t="str">
        <f>"013209"</f>
        <v>0</v>
      </c>
      <c r="C6717" t="s">
        <v>86</v>
      </c>
      <c r="D6717" t="s">
        <v>10663</v>
      </c>
      <c r="E6717" t="str">
        <f>"3501200045262"</f>
        <v>0</v>
      </c>
      <c r="F6717" t="str">
        <f>"001200"</f>
        <v>0</v>
      </c>
      <c r="G6717" t="s">
        <v>21</v>
      </c>
    </row>
    <row r="6718" spans="1:7">
      <c r="A6718">
        <v>6717</v>
      </c>
      <c r="B6718" t="str">
        <f>"013358"</f>
        <v>0</v>
      </c>
      <c r="C6718" t="s">
        <v>2894</v>
      </c>
      <c r="D6718" t="s">
        <v>10576</v>
      </c>
      <c r="E6718" t="str">
        <f>"3671000274194"</f>
        <v>0</v>
      </c>
      <c r="F6718" t="str">
        <f>"001200"</f>
        <v>0</v>
      </c>
      <c r="G6718" t="s">
        <v>21</v>
      </c>
    </row>
    <row r="6719" spans="1:7">
      <c r="A6719">
        <v>6718</v>
      </c>
      <c r="B6719" t="str">
        <f>"014251"</f>
        <v>0</v>
      </c>
      <c r="C6719" t="s">
        <v>10664</v>
      </c>
      <c r="D6719" t="s">
        <v>10665</v>
      </c>
      <c r="E6719" t="str">
        <f>"3670100768325"</f>
        <v>0</v>
      </c>
      <c r="F6719" t="str">
        <f>"001200"</f>
        <v>0</v>
      </c>
      <c r="G6719" t="s">
        <v>21</v>
      </c>
    </row>
    <row r="6720" spans="1:7">
      <c r="A6720">
        <v>6719</v>
      </c>
      <c r="B6720" t="str">
        <f>"014461"</f>
        <v>0</v>
      </c>
      <c r="C6720" t="s">
        <v>10666</v>
      </c>
      <c r="D6720" t="s">
        <v>10582</v>
      </c>
      <c r="E6720" t="str">
        <f>"3670100204936"</f>
        <v>0</v>
      </c>
      <c r="F6720" t="str">
        <f>"001200"</f>
        <v>0</v>
      </c>
      <c r="G6720" t="s">
        <v>21</v>
      </c>
    </row>
    <row r="6721" spans="1:7">
      <c r="A6721">
        <v>6720</v>
      </c>
      <c r="B6721" t="str">
        <f>"014908"</f>
        <v>0</v>
      </c>
      <c r="C6721" t="s">
        <v>3546</v>
      </c>
      <c r="D6721" t="s">
        <v>10667</v>
      </c>
      <c r="E6721" t="str">
        <f>"3671000263982"</f>
        <v>0</v>
      </c>
      <c r="F6721" t="str">
        <f>"001200"</f>
        <v>0</v>
      </c>
      <c r="G6721" t="s">
        <v>21</v>
      </c>
    </row>
    <row r="6722" spans="1:7">
      <c r="A6722">
        <v>6721</v>
      </c>
      <c r="B6722" t="str">
        <f>"015578"</f>
        <v>0</v>
      </c>
      <c r="C6722" t="s">
        <v>2476</v>
      </c>
      <c r="D6722" t="s">
        <v>10665</v>
      </c>
      <c r="E6722" t="str">
        <f>"3670100768341"</f>
        <v>0</v>
      </c>
      <c r="F6722" t="str">
        <f>"001200"</f>
        <v>0</v>
      </c>
      <c r="G6722" t="s">
        <v>21</v>
      </c>
    </row>
    <row r="6723" spans="1:7">
      <c r="A6723">
        <v>6722</v>
      </c>
      <c r="B6723" t="str">
        <f>"015962"</f>
        <v>0</v>
      </c>
      <c r="C6723" t="s">
        <v>10668</v>
      </c>
      <c r="D6723" t="s">
        <v>10669</v>
      </c>
      <c r="E6723" t="str">
        <f>"3409900488670"</f>
        <v>0</v>
      </c>
      <c r="F6723" t="str">
        <f>"001200"</f>
        <v>0</v>
      </c>
      <c r="G6723" t="s">
        <v>21</v>
      </c>
    </row>
    <row r="6724" spans="1:7">
      <c r="A6724">
        <v>6723</v>
      </c>
      <c r="B6724" t="str">
        <f>"018476"</f>
        <v>0</v>
      </c>
      <c r="C6724" t="s">
        <v>10670</v>
      </c>
      <c r="D6724" t="s">
        <v>10671</v>
      </c>
      <c r="E6724" t="str">
        <f>"3670100580962"</f>
        <v>0</v>
      </c>
      <c r="F6724" t="str">
        <f>"001200"</f>
        <v>0</v>
      </c>
      <c r="G6724" t="s">
        <v>21</v>
      </c>
    </row>
    <row r="6725" spans="1:7">
      <c r="A6725">
        <v>6724</v>
      </c>
      <c r="B6725" t="str">
        <f>"018612"</f>
        <v>0</v>
      </c>
      <c r="C6725" t="s">
        <v>10672</v>
      </c>
      <c r="D6725" t="s">
        <v>10673</v>
      </c>
      <c r="E6725" t="str">
        <f>"3670101430867"</f>
        <v>0</v>
      </c>
      <c r="F6725" t="str">
        <f>"001200"</f>
        <v>0</v>
      </c>
      <c r="G6725" t="s">
        <v>21</v>
      </c>
    </row>
    <row r="6726" spans="1:7">
      <c r="A6726">
        <v>6725</v>
      </c>
      <c r="B6726" t="str">
        <f>"019390"</f>
        <v>0</v>
      </c>
      <c r="C6726" t="s">
        <v>10674</v>
      </c>
      <c r="D6726" t="s">
        <v>10675</v>
      </c>
      <c r="E6726" t="str">
        <f>"3670301306558"</f>
        <v>0</v>
      </c>
      <c r="F6726" t="str">
        <f>"001200"</f>
        <v>0</v>
      </c>
      <c r="G6726" t="s">
        <v>21</v>
      </c>
    </row>
    <row r="6727" spans="1:7">
      <c r="A6727">
        <v>6726</v>
      </c>
      <c r="B6727" t="str">
        <f>"019745"</f>
        <v>0</v>
      </c>
      <c r="C6727" t="s">
        <v>78</v>
      </c>
      <c r="D6727" t="s">
        <v>10676</v>
      </c>
      <c r="E6727" t="str">
        <f>"3679900148401"</f>
        <v>0</v>
      </c>
      <c r="F6727" t="str">
        <f>"001200"</f>
        <v>0</v>
      </c>
      <c r="G6727" t="s">
        <v>21</v>
      </c>
    </row>
    <row r="6728" spans="1:7">
      <c r="A6728">
        <v>6727</v>
      </c>
      <c r="B6728" t="str">
        <f>"019862"</f>
        <v>0</v>
      </c>
      <c r="C6728" t="s">
        <v>10677</v>
      </c>
      <c r="D6728" t="s">
        <v>10678</v>
      </c>
      <c r="E6728" t="str">
        <f>"3841200244025"</f>
        <v>0</v>
      </c>
      <c r="F6728" t="str">
        <f>"001200"</f>
        <v>0</v>
      </c>
      <c r="G6728" t="s">
        <v>21</v>
      </c>
    </row>
    <row r="6729" spans="1:7">
      <c r="A6729">
        <v>6728</v>
      </c>
      <c r="B6729" t="str">
        <f>"019864"</f>
        <v>0</v>
      </c>
      <c r="C6729" t="s">
        <v>10679</v>
      </c>
      <c r="D6729" t="s">
        <v>10680</v>
      </c>
      <c r="E6729" t="str">
        <f>"3420300261200"</f>
        <v>0</v>
      </c>
      <c r="F6729" t="str">
        <f>"001200"</f>
        <v>0</v>
      </c>
      <c r="G6729" t="s">
        <v>21</v>
      </c>
    </row>
    <row r="6730" spans="1:7">
      <c r="A6730">
        <v>6729</v>
      </c>
      <c r="B6730" t="str">
        <f>"019865"</f>
        <v>0</v>
      </c>
      <c r="C6730" t="s">
        <v>2994</v>
      </c>
      <c r="D6730" t="s">
        <v>10681</v>
      </c>
      <c r="E6730" t="str">
        <f>"3679900234897"</f>
        <v>0</v>
      </c>
      <c r="F6730" t="str">
        <f>"001200"</f>
        <v>0</v>
      </c>
      <c r="G6730" t="s">
        <v>21</v>
      </c>
    </row>
    <row r="6731" spans="1:7">
      <c r="A6731">
        <v>6730</v>
      </c>
      <c r="B6731" t="str">
        <f>"019921"</f>
        <v>0</v>
      </c>
      <c r="C6731" t="s">
        <v>6636</v>
      </c>
      <c r="D6731" t="s">
        <v>10682</v>
      </c>
      <c r="E6731" t="str">
        <f>"5670300058123"</f>
        <v>0</v>
      </c>
      <c r="F6731" t="str">
        <f>"001200"</f>
        <v>0</v>
      </c>
      <c r="G6731" t="s">
        <v>21</v>
      </c>
    </row>
    <row r="6732" spans="1:7">
      <c r="A6732">
        <v>6731</v>
      </c>
      <c r="B6732" t="str">
        <f>"019929"</f>
        <v>0</v>
      </c>
      <c r="C6732" t="s">
        <v>10683</v>
      </c>
      <c r="D6732" t="s">
        <v>10684</v>
      </c>
      <c r="E6732" t="str">
        <f>"3610100612856"</f>
        <v>0</v>
      </c>
      <c r="F6732" t="str">
        <f>"001200"</f>
        <v>0</v>
      </c>
      <c r="G6732" t="s">
        <v>21</v>
      </c>
    </row>
    <row r="6733" spans="1:7">
      <c r="A6733">
        <v>6732</v>
      </c>
      <c r="B6733" t="str">
        <f>"020117"</f>
        <v>0</v>
      </c>
      <c r="C6733" t="s">
        <v>10685</v>
      </c>
      <c r="D6733" t="s">
        <v>10686</v>
      </c>
      <c r="E6733" t="str">
        <f>"3670500789966"</f>
        <v>0</v>
      </c>
      <c r="F6733" t="str">
        <f>"001200"</f>
        <v>0</v>
      </c>
      <c r="G6733" t="s">
        <v>21</v>
      </c>
    </row>
    <row r="6734" spans="1:7">
      <c r="A6734">
        <v>6733</v>
      </c>
      <c r="B6734" t="str">
        <f>"020334"</f>
        <v>0</v>
      </c>
      <c r="C6734" t="s">
        <v>10687</v>
      </c>
      <c r="D6734" t="s">
        <v>10688</v>
      </c>
      <c r="E6734" t="str">
        <f>"3670400358092"</f>
        <v>0</v>
      </c>
      <c r="F6734" t="str">
        <f>"001200"</f>
        <v>0</v>
      </c>
      <c r="G6734" t="s">
        <v>21</v>
      </c>
    </row>
    <row r="6735" spans="1:7">
      <c r="A6735">
        <v>6734</v>
      </c>
      <c r="B6735" t="str">
        <f>"020680"</f>
        <v>0</v>
      </c>
      <c r="C6735" t="s">
        <v>10689</v>
      </c>
      <c r="D6735" t="s">
        <v>10690</v>
      </c>
      <c r="E6735" t="str">
        <f>"3670300318820"</f>
        <v>0</v>
      </c>
      <c r="F6735" t="str">
        <f>"001200"</f>
        <v>0</v>
      </c>
      <c r="G6735" t="s">
        <v>21</v>
      </c>
    </row>
    <row r="6736" spans="1:7">
      <c r="A6736">
        <v>6735</v>
      </c>
      <c r="B6736" t="str">
        <f>"020837"</f>
        <v>0</v>
      </c>
      <c r="C6736" t="s">
        <v>2301</v>
      </c>
      <c r="D6736" t="s">
        <v>10691</v>
      </c>
      <c r="E6736" t="str">
        <f>"3160800200415"</f>
        <v>0</v>
      </c>
      <c r="F6736" t="str">
        <f>"001200"</f>
        <v>0</v>
      </c>
      <c r="G6736" t="s">
        <v>21</v>
      </c>
    </row>
    <row r="6737" spans="1:7">
      <c r="A6737">
        <v>6736</v>
      </c>
      <c r="B6737" t="str">
        <f>"021048"</f>
        <v>0</v>
      </c>
      <c r="C6737" t="s">
        <v>411</v>
      </c>
      <c r="D6737" t="s">
        <v>10692</v>
      </c>
      <c r="E6737" t="str">
        <f>"3102200654603"</f>
        <v>0</v>
      </c>
      <c r="F6737" t="str">
        <f>"001200"</f>
        <v>0</v>
      </c>
      <c r="G6737" t="s">
        <v>21</v>
      </c>
    </row>
    <row r="6738" spans="1:7">
      <c r="A6738">
        <v>6737</v>
      </c>
      <c r="B6738" t="str">
        <f>"021236"</f>
        <v>0</v>
      </c>
      <c r="C6738" t="s">
        <v>10693</v>
      </c>
      <c r="D6738" t="s">
        <v>10694</v>
      </c>
      <c r="E6738" t="str">
        <f>"3101000641493"</f>
        <v>0</v>
      </c>
      <c r="F6738" t="str">
        <f>"001200"</f>
        <v>0</v>
      </c>
      <c r="G6738" t="s">
        <v>21</v>
      </c>
    </row>
    <row r="6739" spans="1:7">
      <c r="A6739">
        <v>6738</v>
      </c>
      <c r="B6739" t="str">
        <f>"021348"</f>
        <v>0</v>
      </c>
      <c r="C6739" t="s">
        <v>10695</v>
      </c>
      <c r="D6739" t="s">
        <v>10696</v>
      </c>
      <c r="E6739" t="str">
        <f>"3670300654374"</f>
        <v>0</v>
      </c>
      <c r="F6739" t="str">
        <f>"001200"</f>
        <v>0</v>
      </c>
      <c r="G6739" t="s">
        <v>21</v>
      </c>
    </row>
    <row r="6740" spans="1:7">
      <c r="A6740">
        <v>6739</v>
      </c>
      <c r="B6740" t="str">
        <f>"021703"</f>
        <v>0</v>
      </c>
      <c r="C6740" t="s">
        <v>10697</v>
      </c>
      <c r="D6740" t="s">
        <v>8055</v>
      </c>
      <c r="E6740" t="str">
        <f>"3671000037397"</f>
        <v>0</v>
      </c>
      <c r="F6740" t="str">
        <f>"001200"</f>
        <v>0</v>
      </c>
      <c r="G6740" t="s">
        <v>21</v>
      </c>
    </row>
    <row r="6741" spans="1:7">
      <c r="A6741">
        <v>6740</v>
      </c>
      <c r="B6741" t="str">
        <f>"021935"</f>
        <v>0</v>
      </c>
      <c r="C6741" t="s">
        <v>10698</v>
      </c>
      <c r="D6741" t="s">
        <v>10699</v>
      </c>
      <c r="E6741" t="str">
        <f>"3670101313593"</f>
        <v>0</v>
      </c>
      <c r="F6741" t="str">
        <f>"001200"</f>
        <v>0</v>
      </c>
      <c r="G6741" t="s">
        <v>21</v>
      </c>
    </row>
    <row r="6742" spans="1:7">
      <c r="A6742">
        <v>6741</v>
      </c>
      <c r="B6742" t="str">
        <f>"021967"</f>
        <v>0</v>
      </c>
      <c r="C6742" t="s">
        <v>10700</v>
      </c>
      <c r="D6742" t="s">
        <v>10701</v>
      </c>
      <c r="E6742" t="str">
        <f>"5250599002815"</f>
        <v>0</v>
      </c>
      <c r="F6742" t="str">
        <f>"001200"</f>
        <v>0</v>
      </c>
      <c r="G6742" t="s">
        <v>21</v>
      </c>
    </row>
    <row r="6743" spans="1:7">
      <c r="A6743">
        <v>6742</v>
      </c>
      <c r="B6743" t="str">
        <f>"022296"</f>
        <v>0</v>
      </c>
      <c r="C6743" t="s">
        <v>10702</v>
      </c>
      <c r="D6743" t="s">
        <v>10703</v>
      </c>
      <c r="E6743" t="str">
        <f>"3679900079981"</f>
        <v>0</v>
      </c>
      <c r="F6743" t="str">
        <f>"001200"</f>
        <v>0</v>
      </c>
      <c r="G6743" t="s">
        <v>21</v>
      </c>
    </row>
    <row r="6744" spans="1:7">
      <c r="A6744">
        <v>6743</v>
      </c>
      <c r="B6744" t="str">
        <f>"022616"</f>
        <v>0</v>
      </c>
      <c r="C6744" t="s">
        <v>10704</v>
      </c>
      <c r="D6744" t="s">
        <v>10705</v>
      </c>
      <c r="E6744" t="str">
        <f>"3670100604896"</f>
        <v>0</v>
      </c>
      <c r="F6744" t="str">
        <f>"001200"</f>
        <v>0</v>
      </c>
      <c r="G6744" t="s">
        <v>21</v>
      </c>
    </row>
    <row r="6745" spans="1:7">
      <c r="A6745">
        <v>6744</v>
      </c>
      <c r="B6745" t="str">
        <f>"022617"</f>
        <v>0</v>
      </c>
      <c r="C6745" t="s">
        <v>1244</v>
      </c>
      <c r="D6745" t="s">
        <v>10706</v>
      </c>
      <c r="E6745" t="str">
        <f>"3410400535778"</f>
        <v>0</v>
      </c>
      <c r="F6745" t="str">
        <f>"001200"</f>
        <v>0</v>
      </c>
      <c r="G6745" t="s">
        <v>21</v>
      </c>
    </row>
    <row r="6746" spans="1:7">
      <c r="A6746">
        <v>6745</v>
      </c>
      <c r="B6746" t="str">
        <f>"023136"</f>
        <v>0</v>
      </c>
      <c r="C6746" t="s">
        <v>10707</v>
      </c>
      <c r="D6746" t="s">
        <v>10708</v>
      </c>
      <c r="E6746" t="str">
        <f>"3670900019262"</f>
        <v>0</v>
      </c>
      <c r="F6746" t="str">
        <f>"001200"</f>
        <v>0</v>
      </c>
      <c r="G6746" t="s">
        <v>21</v>
      </c>
    </row>
    <row r="6747" spans="1:7">
      <c r="A6747">
        <v>6746</v>
      </c>
      <c r="B6747" t="str">
        <f>"023197"</f>
        <v>0</v>
      </c>
      <c r="C6747" t="s">
        <v>10709</v>
      </c>
      <c r="D6747" t="s">
        <v>10710</v>
      </c>
      <c r="E6747" t="str">
        <f>"1670400011592"</f>
        <v>0</v>
      </c>
      <c r="F6747" t="str">
        <f>"001200"</f>
        <v>0</v>
      </c>
      <c r="G6747" t="s">
        <v>21</v>
      </c>
    </row>
    <row r="6748" spans="1:7">
      <c r="A6748">
        <v>6747</v>
      </c>
      <c r="B6748" t="str">
        <f>"023357"</f>
        <v>0</v>
      </c>
      <c r="C6748" t="s">
        <v>9120</v>
      </c>
      <c r="D6748" t="s">
        <v>10711</v>
      </c>
      <c r="E6748" t="str">
        <f>"3460200073096"</f>
        <v>0</v>
      </c>
      <c r="F6748" t="str">
        <f>"001200"</f>
        <v>0</v>
      </c>
      <c r="G6748" t="s">
        <v>21</v>
      </c>
    </row>
    <row r="6749" spans="1:7">
      <c r="A6749">
        <v>6748</v>
      </c>
      <c r="B6749" t="str">
        <f>"023574"</f>
        <v>0</v>
      </c>
      <c r="C6749" t="s">
        <v>10712</v>
      </c>
      <c r="D6749" t="s">
        <v>10713</v>
      </c>
      <c r="E6749" t="str">
        <f>"3650100137899"</f>
        <v>0</v>
      </c>
      <c r="F6749" t="str">
        <f>"001200"</f>
        <v>0</v>
      </c>
      <c r="G6749" t="s">
        <v>21</v>
      </c>
    </row>
    <row r="6750" spans="1:7">
      <c r="A6750">
        <v>6749</v>
      </c>
      <c r="B6750" t="str">
        <f>"023723"</f>
        <v>0</v>
      </c>
      <c r="C6750" t="s">
        <v>9554</v>
      </c>
      <c r="D6750" t="s">
        <v>10576</v>
      </c>
      <c r="E6750" t="str">
        <f>"1669800081961"</f>
        <v>0</v>
      </c>
      <c r="F6750" t="str">
        <f>"001200"</f>
        <v>0</v>
      </c>
      <c r="G6750" t="s">
        <v>21</v>
      </c>
    </row>
    <row r="6751" spans="1:7">
      <c r="A6751">
        <v>6750</v>
      </c>
      <c r="B6751" t="str">
        <f>"024612"</f>
        <v>0</v>
      </c>
      <c r="C6751" t="s">
        <v>10714</v>
      </c>
      <c r="D6751" t="s">
        <v>10715</v>
      </c>
      <c r="E6751" t="str">
        <f>"1679990004377"</f>
        <v>0</v>
      </c>
      <c r="F6751" t="str">
        <f>"001200"</f>
        <v>0</v>
      </c>
      <c r="G6751" t="s">
        <v>21</v>
      </c>
    </row>
    <row r="6752" spans="1:7">
      <c r="A6752">
        <v>6751</v>
      </c>
      <c r="B6752" t="str">
        <f>"024642"</f>
        <v>0</v>
      </c>
      <c r="C6752" t="s">
        <v>10716</v>
      </c>
      <c r="D6752" t="s">
        <v>10717</v>
      </c>
      <c r="E6752" t="str">
        <f>"1630100001397"</f>
        <v>0</v>
      </c>
      <c r="F6752" t="str">
        <f>"001200"</f>
        <v>0</v>
      </c>
      <c r="G6752" t="s">
        <v>21</v>
      </c>
    </row>
    <row r="6753" spans="1:7">
      <c r="A6753">
        <v>6752</v>
      </c>
      <c r="B6753" t="str">
        <f>"024643"</f>
        <v>0</v>
      </c>
      <c r="C6753" t="s">
        <v>10718</v>
      </c>
      <c r="D6753" t="s">
        <v>10719</v>
      </c>
      <c r="E6753" t="str">
        <f>"3670100236111"</f>
        <v>0</v>
      </c>
      <c r="F6753" t="str">
        <f>"001200"</f>
        <v>0</v>
      </c>
      <c r="G6753" t="s">
        <v>21</v>
      </c>
    </row>
    <row r="6754" spans="1:7">
      <c r="A6754">
        <v>6753</v>
      </c>
      <c r="B6754" t="str">
        <f>"024825"</f>
        <v>0</v>
      </c>
      <c r="C6754" t="s">
        <v>10720</v>
      </c>
      <c r="D6754" t="s">
        <v>10721</v>
      </c>
      <c r="E6754" t="str">
        <f>"3670300799101"</f>
        <v>0</v>
      </c>
      <c r="F6754" t="str">
        <f>"001200"</f>
        <v>0</v>
      </c>
      <c r="G6754" t="s">
        <v>21</v>
      </c>
    </row>
    <row r="6755" spans="1:7">
      <c r="A6755">
        <v>6754</v>
      </c>
      <c r="B6755" t="str">
        <f>"025299"</f>
        <v>0</v>
      </c>
      <c r="C6755" t="s">
        <v>5586</v>
      </c>
      <c r="D6755" t="s">
        <v>10722</v>
      </c>
      <c r="E6755" t="str">
        <f>"3670400237236"</f>
        <v>0</v>
      </c>
      <c r="F6755" t="str">
        <f>"001200"</f>
        <v>0</v>
      </c>
      <c r="G6755" t="s">
        <v>21</v>
      </c>
    </row>
    <row r="6756" spans="1:7">
      <c r="A6756">
        <v>6755</v>
      </c>
      <c r="B6756" t="str">
        <f>"025300"</f>
        <v>0</v>
      </c>
      <c r="C6756" t="s">
        <v>10723</v>
      </c>
      <c r="D6756" t="s">
        <v>10724</v>
      </c>
      <c r="E6756" t="str">
        <f>"1141000001978"</f>
        <v>0</v>
      </c>
      <c r="F6756" t="str">
        <f>"001200"</f>
        <v>0</v>
      </c>
      <c r="G6756" t="s">
        <v>21</v>
      </c>
    </row>
    <row r="6757" spans="1:7">
      <c r="A6757">
        <v>6756</v>
      </c>
      <c r="B6757" t="str">
        <f>"025302"</f>
        <v>0</v>
      </c>
      <c r="C6757" t="s">
        <v>1104</v>
      </c>
      <c r="D6757" t="s">
        <v>10725</v>
      </c>
      <c r="E6757" t="str">
        <f>"1670500014976"</f>
        <v>0</v>
      </c>
      <c r="F6757" t="str">
        <f>"001200"</f>
        <v>0</v>
      </c>
      <c r="G6757" t="s">
        <v>21</v>
      </c>
    </row>
    <row r="6758" spans="1:7">
      <c r="A6758">
        <v>6757</v>
      </c>
      <c r="B6758" t="str">
        <f>"025451"</f>
        <v>0</v>
      </c>
      <c r="C6758" t="s">
        <v>10726</v>
      </c>
      <c r="D6758" t="s">
        <v>10727</v>
      </c>
      <c r="E6758" t="str">
        <f>"3670300549368"</f>
        <v>0</v>
      </c>
      <c r="F6758" t="str">
        <f>"001200"</f>
        <v>0</v>
      </c>
      <c r="G6758" t="s">
        <v>21</v>
      </c>
    </row>
    <row r="6759" spans="1:7">
      <c r="A6759">
        <v>6758</v>
      </c>
      <c r="B6759" t="str">
        <f>"025629"</f>
        <v>0</v>
      </c>
      <c r="C6759" t="s">
        <v>10728</v>
      </c>
      <c r="D6759" t="s">
        <v>10729</v>
      </c>
      <c r="E6759" t="str">
        <f>"1670200025867"</f>
        <v>0</v>
      </c>
      <c r="F6759" t="str">
        <f>"001200"</f>
        <v>0</v>
      </c>
      <c r="G6759" t="s">
        <v>21</v>
      </c>
    </row>
    <row r="6760" spans="1:7">
      <c r="A6760">
        <v>6759</v>
      </c>
      <c r="B6760" t="str">
        <f>"025630"</f>
        <v>0</v>
      </c>
      <c r="C6760" t="s">
        <v>2292</v>
      </c>
      <c r="D6760" t="s">
        <v>10730</v>
      </c>
      <c r="E6760" t="str">
        <f>"1670400121894"</f>
        <v>0</v>
      </c>
      <c r="F6760" t="str">
        <f>"001200"</f>
        <v>0</v>
      </c>
      <c r="G6760" t="s">
        <v>21</v>
      </c>
    </row>
    <row r="6761" spans="1:7">
      <c r="A6761">
        <v>6760</v>
      </c>
      <c r="B6761" t="str">
        <f>"026173"</f>
        <v>0</v>
      </c>
      <c r="C6761" t="s">
        <v>10731</v>
      </c>
      <c r="D6761" t="s">
        <v>10732</v>
      </c>
      <c r="E6761" t="str">
        <f>"1660500003150"</f>
        <v>0</v>
      </c>
      <c r="F6761" t="str">
        <f>"001200"</f>
        <v>0</v>
      </c>
      <c r="G6761" t="s">
        <v>21</v>
      </c>
    </row>
    <row r="6762" spans="1:7">
      <c r="A6762">
        <v>6761</v>
      </c>
      <c r="B6762" t="str">
        <f>"027468"</f>
        <v>0</v>
      </c>
      <c r="C6762" t="s">
        <v>10733</v>
      </c>
      <c r="D6762" t="s">
        <v>10734</v>
      </c>
      <c r="E6762" t="str">
        <f>"1719900147091"</f>
        <v>0</v>
      </c>
      <c r="F6762" t="str">
        <f>"001200"</f>
        <v>0</v>
      </c>
      <c r="G6762" t="s">
        <v>21</v>
      </c>
    </row>
    <row r="6763" spans="1:7">
      <c r="A6763">
        <v>6762</v>
      </c>
      <c r="B6763" t="str">
        <f>"026756"</f>
        <v>0</v>
      </c>
      <c r="C6763" t="s">
        <v>10735</v>
      </c>
      <c r="D6763" t="s">
        <v>10736</v>
      </c>
      <c r="E6763" t="str">
        <f>"1709900447699"</f>
        <v>0</v>
      </c>
      <c r="F6763" t="str">
        <f>"001200"</f>
        <v>0</v>
      </c>
      <c r="G6763" t="s">
        <v>21</v>
      </c>
    </row>
    <row r="6764" spans="1:7">
      <c r="A6764">
        <v>6763</v>
      </c>
      <c r="B6764" t="str">
        <f>"025301"</f>
        <v>0</v>
      </c>
      <c r="C6764" t="s">
        <v>10737</v>
      </c>
      <c r="D6764" t="s">
        <v>10738</v>
      </c>
      <c r="E6764" t="str">
        <f>"1770400089612"</f>
        <v>0</v>
      </c>
      <c r="F6764" t="str">
        <f>"001200"</f>
        <v>0</v>
      </c>
      <c r="G6764" t="s">
        <v>21</v>
      </c>
    </row>
    <row r="6765" spans="1:7">
      <c r="A6765">
        <v>6764</v>
      </c>
      <c r="B6765" t="str">
        <f>"026376"</f>
        <v>0</v>
      </c>
      <c r="C6765" t="s">
        <v>7370</v>
      </c>
      <c r="D6765" t="s">
        <v>10739</v>
      </c>
      <c r="E6765" t="str">
        <f>"1959900295102"</f>
        <v>0</v>
      </c>
      <c r="F6765" t="str">
        <f>"001200"</f>
        <v>0</v>
      </c>
      <c r="G6765" t="s">
        <v>21</v>
      </c>
    </row>
    <row r="6766" spans="1:7">
      <c r="A6766">
        <v>6765</v>
      </c>
      <c r="B6766" t="str">
        <f>"027522"</f>
        <v>0</v>
      </c>
      <c r="C6766" t="s">
        <v>2208</v>
      </c>
      <c r="D6766" t="s">
        <v>10740</v>
      </c>
      <c r="E6766" t="str">
        <f>"1909800765921"</f>
        <v>0</v>
      </c>
      <c r="F6766" t="str">
        <f>"001200"</f>
        <v>0</v>
      </c>
      <c r="G6766" t="s">
        <v>21</v>
      </c>
    </row>
    <row r="6767" spans="1:7">
      <c r="A6767">
        <v>6766</v>
      </c>
      <c r="B6767" t="str">
        <f>"027523"</f>
        <v>0</v>
      </c>
      <c r="C6767" t="s">
        <v>4182</v>
      </c>
      <c r="D6767" t="s">
        <v>6178</v>
      </c>
      <c r="E6767" t="str">
        <f>"1729900261196"</f>
        <v>0</v>
      </c>
      <c r="F6767" t="str">
        <f>"001200"</f>
        <v>0</v>
      </c>
      <c r="G6767" t="s">
        <v>21</v>
      </c>
    </row>
    <row r="6768" spans="1:7">
      <c r="A6768">
        <v>6767</v>
      </c>
      <c r="B6768" t="str">
        <f>"027524"</f>
        <v>0</v>
      </c>
      <c r="C6768" t="s">
        <v>2648</v>
      </c>
      <c r="D6768" t="s">
        <v>10741</v>
      </c>
      <c r="E6768" t="str">
        <f>"1570500157450"</f>
        <v>0</v>
      </c>
      <c r="F6768" t="str">
        <f>"001200"</f>
        <v>0</v>
      </c>
      <c r="G6768" t="s">
        <v>21</v>
      </c>
    </row>
    <row r="6769" spans="1:7">
      <c r="A6769">
        <v>6768</v>
      </c>
      <c r="B6769" t="str">
        <f>"027525"</f>
        <v>0</v>
      </c>
      <c r="C6769" t="s">
        <v>10742</v>
      </c>
      <c r="D6769" t="s">
        <v>10743</v>
      </c>
      <c r="E6769" t="str">
        <f>"1939900082176"</f>
        <v>0</v>
      </c>
      <c r="F6769" t="str">
        <f>"001200"</f>
        <v>0</v>
      </c>
      <c r="G6769" t="s">
        <v>21</v>
      </c>
    </row>
    <row r="6770" spans="1:7">
      <c r="A6770">
        <v>6769</v>
      </c>
      <c r="B6770" t="str">
        <f>"027526"</f>
        <v>0</v>
      </c>
      <c r="C6770" t="s">
        <v>10744</v>
      </c>
      <c r="D6770" t="s">
        <v>10745</v>
      </c>
      <c r="E6770" t="str">
        <f>"1800700158520"</f>
        <v>0</v>
      </c>
      <c r="F6770" t="str">
        <f>"001200"</f>
        <v>0</v>
      </c>
      <c r="G6770" t="s">
        <v>21</v>
      </c>
    </row>
    <row r="6771" spans="1:7">
      <c r="A6771">
        <v>6770</v>
      </c>
      <c r="B6771" t="str">
        <f>"027527"</f>
        <v>0</v>
      </c>
      <c r="C6771" t="s">
        <v>10746</v>
      </c>
      <c r="D6771" t="s">
        <v>10747</v>
      </c>
      <c r="E6771" t="str">
        <f>"1909800973206"</f>
        <v>0</v>
      </c>
      <c r="F6771" t="str">
        <f>"001200"</f>
        <v>0</v>
      </c>
      <c r="G6771" t="s">
        <v>21</v>
      </c>
    </row>
    <row r="6772" spans="1:7">
      <c r="A6772">
        <v>6771</v>
      </c>
      <c r="B6772" t="str">
        <f>"027528"</f>
        <v>0</v>
      </c>
      <c r="C6772" t="s">
        <v>10748</v>
      </c>
      <c r="D6772" t="s">
        <v>4216</v>
      </c>
      <c r="E6772" t="str">
        <f>"3650900434219"</f>
        <v>0</v>
      </c>
      <c r="F6772" t="str">
        <f>"001200"</f>
        <v>0</v>
      </c>
      <c r="G6772" t="s">
        <v>21</v>
      </c>
    </row>
    <row r="6773" spans="1:7">
      <c r="A6773">
        <v>6772</v>
      </c>
      <c r="B6773" t="str">
        <f>"027592"</f>
        <v>0</v>
      </c>
      <c r="C6773" t="s">
        <v>10749</v>
      </c>
      <c r="D6773" t="s">
        <v>10750</v>
      </c>
      <c r="E6773" t="str">
        <f>"1659900466465"</f>
        <v>0</v>
      </c>
      <c r="F6773" t="str">
        <f>"001200"</f>
        <v>0</v>
      </c>
      <c r="G6773" t="s">
        <v>21</v>
      </c>
    </row>
    <row r="6774" spans="1:7">
      <c r="A6774">
        <v>6773</v>
      </c>
      <c r="B6774" t="str">
        <f>"027593"</f>
        <v>0</v>
      </c>
      <c r="C6774" t="s">
        <v>10751</v>
      </c>
      <c r="D6774" t="s">
        <v>10752</v>
      </c>
      <c r="E6774" t="str">
        <f>"1101700132021"</f>
        <v>0</v>
      </c>
      <c r="F6774" t="str">
        <f>"001200"</f>
        <v>0</v>
      </c>
      <c r="G6774" t="s">
        <v>21</v>
      </c>
    </row>
    <row r="6775" spans="1:7">
      <c r="A6775">
        <v>6774</v>
      </c>
      <c r="B6775" t="str">
        <f>"027594"</f>
        <v>0</v>
      </c>
      <c r="C6775" t="s">
        <v>1441</v>
      </c>
      <c r="D6775" t="s">
        <v>10753</v>
      </c>
      <c r="E6775" t="str">
        <f>"1509900916135"</f>
        <v>0</v>
      </c>
      <c r="F6775" t="str">
        <f>"001200"</f>
        <v>0</v>
      </c>
      <c r="G6775" t="s">
        <v>21</v>
      </c>
    </row>
    <row r="6776" spans="1:7">
      <c r="A6776">
        <v>6775</v>
      </c>
      <c r="B6776" t="str">
        <f>"027595"</f>
        <v>0</v>
      </c>
      <c r="C6776" t="s">
        <v>10754</v>
      </c>
      <c r="D6776" t="s">
        <v>10755</v>
      </c>
      <c r="E6776" t="str">
        <f>"3670200059199"</f>
        <v>0</v>
      </c>
      <c r="F6776" t="str">
        <f>"001200"</f>
        <v>0</v>
      </c>
      <c r="G6776" t="s">
        <v>21</v>
      </c>
    </row>
    <row r="6777" spans="1:7">
      <c r="A6777">
        <v>6776</v>
      </c>
      <c r="B6777" t="str">
        <f>"001046"</f>
        <v>0</v>
      </c>
      <c r="C6777" t="s">
        <v>10756</v>
      </c>
      <c r="D6777" t="s">
        <v>2065</v>
      </c>
      <c r="E6777" t="str">
        <f>"3769900326049"</f>
        <v>0</v>
      </c>
      <c r="F6777" t="str">
        <f>"001210"</f>
        <v>0</v>
      </c>
      <c r="G6777" t="s">
        <v>21</v>
      </c>
    </row>
    <row r="6778" spans="1:7">
      <c r="A6778">
        <v>6777</v>
      </c>
      <c r="B6778" t="str">
        <f>"002230"</f>
        <v>0</v>
      </c>
      <c r="C6778" t="s">
        <v>2283</v>
      </c>
      <c r="D6778" t="s">
        <v>10757</v>
      </c>
      <c r="E6778" t="str">
        <f>"3760600366705"</f>
        <v>0</v>
      </c>
      <c r="F6778" t="str">
        <f>"001210"</f>
        <v>0</v>
      </c>
      <c r="G6778" t="s">
        <v>21</v>
      </c>
    </row>
    <row r="6779" spans="1:7">
      <c r="A6779">
        <v>6778</v>
      </c>
      <c r="B6779" t="str">
        <f>"002401"</f>
        <v>0</v>
      </c>
      <c r="C6779" t="s">
        <v>5247</v>
      </c>
      <c r="D6779" t="s">
        <v>10758</v>
      </c>
      <c r="E6779" t="str">
        <f>"3769900258001"</f>
        <v>0</v>
      </c>
      <c r="F6779" t="str">
        <f>"001210"</f>
        <v>0</v>
      </c>
      <c r="G6779" t="s">
        <v>21</v>
      </c>
    </row>
    <row r="6780" spans="1:7">
      <c r="A6780">
        <v>6779</v>
      </c>
      <c r="B6780" t="str">
        <f>"002554"</f>
        <v>0</v>
      </c>
      <c r="C6780" t="s">
        <v>4795</v>
      </c>
      <c r="D6780" t="s">
        <v>10759</v>
      </c>
      <c r="E6780" t="str">
        <f>"3770600363293"</f>
        <v>0</v>
      </c>
      <c r="F6780" t="str">
        <f>"001210"</f>
        <v>0</v>
      </c>
      <c r="G6780" t="s">
        <v>21</v>
      </c>
    </row>
    <row r="6781" spans="1:7">
      <c r="A6781">
        <v>6780</v>
      </c>
      <c r="B6781" t="str">
        <f>"003656"</f>
        <v>0</v>
      </c>
      <c r="C6781" t="s">
        <v>2746</v>
      </c>
      <c r="D6781" t="s">
        <v>10760</v>
      </c>
      <c r="E6781" t="str">
        <f>"3760400243120"</f>
        <v>0</v>
      </c>
      <c r="F6781" t="str">
        <f>"001210"</f>
        <v>0</v>
      </c>
      <c r="G6781" t="s">
        <v>21</v>
      </c>
    </row>
    <row r="6782" spans="1:7">
      <c r="A6782">
        <v>6781</v>
      </c>
      <c r="B6782" t="str">
        <f>"004005"</f>
        <v>0</v>
      </c>
      <c r="C6782" t="s">
        <v>3823</v>
      </c>
      <c r="D6782" t="s">
        <v>10761</v>
      </c>
      <c r="E6782" t="str">
        <f>"3769800091287"</f>
        <v>0</v>
      </c>
      <c r="F6782" t="str">
        <f>"001210"</f>
        <v>0</v>
      </c>
      <c r="G6782" t="s">
        <v>21</v>
      </c>
    </row>
    <row r="6783" spans="1:7">
      <c r="A6783">
        <v>6782</v>
      </c>
      <c r="B6783" t="str">
        <f>"004229"</f>
        <v>0</v>
      </c>
      <c r="C6783" t="s">
        <v>10762</v>
      </c>
      <c r="D6783" t="s">
        <v>10763</v>
      </c>
      <c r="E6783" t="str">
        <f>"3760600023492"</f>
        <v>0</v>
      </c>
      <c r="F6783" t="str">
        <f>"001210"</f>
        <v>0</v>
      </c>
      <c r="G6783" t="s">
        <v>21</v>
      </c>
    </row>
    <row r="6784" spans="1:7">
      <c r="A6784">
        <v>6783</v>
      </c>
      <c r="B6784" t="str">
        <f>"005439"</f>
        <v>0</v>
      </c>
      <c r="C6784" t="s">
        <v>10764</v>
      </c>
      <c r="D6784" t="s">
        <v>10765</v>
      </c>
      <c r="E6784" t="str">
        <f>"3760500974584"</f>
        <v>0</v>
      </c>
      <c r="F6784" t="str">
        <f>"001210"</f>
        <v>0</v>
      </c>
      <c r="G6784" t="s">
        <v>21</v>
      </c>
    </row>
    <row r="6785" spans="1:7">
      <c r="A6785">
        <v>6784</v>
      </c>
      <c r="B6785" t="str">
        <f>"005659"</f>
        <v>0</v>
      </c>
      <c r="C6785" t="s">
        <v>1498</v>
      </c>
      <c r="D6785" t="s">
        <v>10766</v>
      </c>
      <c r="E6785" t="str">
        <f>"3760600119236"</f>
        <v>0</v>
      </c>
      <c r="F6785" t="str">
        <f>"001210"</f>
        <v>0</v>
      </c>
      <c r="G6785" t="s">
        <v>21</v>
      </c>
    </row>
    <row r="6786" spans="1:7">
      <c r="A6786">
        <v>6785</v>
      </c>
      <c r="B6786" t="str">
        <f>"006252"</f>
        <v>0</v>
      </c>
      <c r="C6786" t="s">
        <v>4948</v>
      </c>
      <c r="D6786" t="s">
        <v>10767</v>
      </c>
      <c r="E6786" t="str">
        <f>"3700800424601"</f>
        <v>0</v>
      </c>
      <c r="F6786" t="str">
        <f>"001210"</f>
        <v>0</v>
      </c>
      <c r="G6786" t="s">
        <v>21</v>
      </c>
    </row>
    <row r="6787" spans="1:7">
      <c r="A6787">
        <v>6786</v>
      </c>
      <c r="B6787" t="str">
        <f>"006866"</f>
        <v>0</v>
      </c>
      <c r="C6787" t="s">
        <v>2726</v>
      </c>
      <c r="D6787" t="s">
        <v>8090</v>
      </c>
      <c r="E6787" t="str">
        <f>"3760500520494"</f>
        <v>0</v>
      </c>
      <c r="F6787" t="str">
        <f>"001210"</f>
        <v>0</v>
      </c>
      <c r="G6787" t="s">
        <v>21</v>
      </c>
    </row>
    <row r="6788" spans="1:7">
      <c r="A6788">
        <v>6787</v>
      </c>
      <c r="B6788" t="str">
        <f>"007332"</f>
        <v>0</v>
      </c>
      <c r="C6788" t="s">
        <v>10768</v>
      </c>
      <c r="D6788" t="s">
        <v>10769</v>
      </c>
      <c r="E6788" t="str">
        <f>"3760500091976"</f>
        <v>0</v>
      </c>
      <c r="F6788" t="str">
        <f>"001210"</f>
        <v>0</v>
      </c>
      <c r="G6788" t="s">
        <v>21</v>
      </c>
    </row>
    <row r="6789" spans="1:7">
      <c r="A6789">
        <v>6788</v>
      </c>
      <c r="B6789" t="str">
        <f>"007760"</f>
        <v>0</v>
      </c>
      <c r="C6789" t="s">
        <v>2351</v>
      </c>
      <c r="D6789" t="s">
        <v>10770</v>
      </c>
      <c r="E6789" t="str">
        <f>"5760100022396"</f>
        <v>0</v>
      </c>
      <c r="F6789" t="str">
        <f>"001210"</f>
        <v>0</v>
      </c>
      <c r="G6789" t="s">
        <v>21</v>
      </c>
    </row>
    <row r="6790" spans="1:7">
      <c r="A6790">
        <v>6789</v>
      </c>
      <c r="B6790" t="str">
        <f>"007796"</f>
        <v>0</v>
      </c>
      <c r="C6790" t="s">
        <v>3518</v>
      </c>
      <c r="D6790" t="s">
        <v>10771</v>
      </c>
      <c r="E6790" t="str">
        <f>"3760600109575"</f>
        <v>0</v>
      </c>
      <c r="F6790" t="str">
        <f>"001210"</f>
        <v>0</v>
      </c>
      <c r="G6790" t="s">
        <v>21</v>
      </c>
    </row>
    <row r="6791" spans="1:7">
      <c r="A6791">
        <v>6790</v>
      </c>
      <c r="B6791" t="str">
        <f>"008538"</f>
        <v>0</v>
      </c>
      <c r="C6791" t="s">
        <v>10772</v>
      </c>
      <c r="D6791" t="s">
        <v>10773</v>
      </c>
      <c r="E6791" t="str">
        <f>"3840900091697"</f>
        <v>0</v>
      </c>
      <c r="F6791" t="str">
        <f>"001210"</f>
        <v>0</v>
      </c>
      <c r="G6791" t="s">
        <v>21</v>
      </c>
    </row>
    <row r="6792" spans="1:7">
      <c r="A6792">
        <v>6791</v>
      </c>
      <c r="B6792" t="str">
        <f>"008621"</f>
        <v>0</v>
      </c>
      <c r="C6792" t="s">
        <v>10774</v>
      </c>
      <c r="D6792" t="s">
        <v>10775</v>
      </c>
      <c r="E6792" t="str">
        <f>"3760600110018"</f>
        <v>0</v>
      </c>
      <c r="F6792" t="str">
        <f>"001210"</f>
        <v>0</v>
      </c>
      <c r="G6792" t="s">
        <v>21</v>
      </c>
    </row>
    <row r="6793" spans="1:7">
      <c r="A6793">
        <v>6792</v>
      </c>
      <c r="B6793" t="str">
        <f>"008898"</f>
        <v>0</v>
      </c>
      <c r="C6793" t="s">
        <v>10099</v>
      </c>
      <c r="D6793" t="s">
        <v>10776</v>
      </c>
      <c r="E6793" t="str">
        <f>"3160200149974"</f>
        <v>0</v>
      </c>
      <c r="F6793" t="str">
        <f>"001210"</f>
        <v>0</v>
      </c>
      <c r="G6793" t="s">
        <v>21</v>
      </c>
    </row>
    <row r="6794" spans="1:7">
      <c r="A6794">
        <v>6793</v>
      </c>
      <c r="B6794" t="str">
        <f>"009043"</f>
        <v>0</v>
      </c>
      <c r="C6794" t="s">
        <v>10777</v>
      </c>
      <c r="D6794" t="s">
        <v>2794</v>
      </c>
      <c r="E6794" t="str">
        <f>"3770700083209"</f>
        <v>0</v>
      </c>
      <c r="F6794" t="str">
        <f>"001210"</f>
        <v>0</v>
      </c>
      <c r="G6794" t="s">
        <v>21</v>
      </c>
    </row>
    <row r="6795" spans="1:7">
      <c r="A6795">
        <v>6794</v>
      </c>
      <c r="B6795" t="str">
        <f>"010182"</f>
        <v>0</v>
      </c>
      <c r="C6795" t="s">
        <v>470</v>
      </c>
      <c r="D6795" t="s">
        <v>10778</v>
      </c>
      <c r="E6795" t="str">
        <f>"3760500816105"</f>
        <v>0</v>
      </c>
      <c r="F6795" t="str">
        <f>"001210"</f>
        <v>0</v>
      </c>
      <c r="G6795" t="s">
        <v>21</v>
      </c>
    </row>
    <row r="6796" spans="1:7">
      <c r="A6796">
        <v>6795</v>
      </c>
      <c r="B6796" t="str">
        <f>"010810"</f>
        <v>0</v>
      </c>
      <c r="C6796" t="s">
        <v>10779</v>
      </c>
      <c r="D6796" t="s">
        <v>10780</v>
      </c>
      <c r="E6796" t="str">
        <f>"3760300044699"</f>
        <v>0</v>
      </c>
      <c r="F6796" t="str">
        <f>"001210"</f>
        <v>0</v>
      </c>
      <c r="G6796" t="s">
        <v>21</v>
      </c>
    </row>
    <row r="6797" spans="1:7">
      <c r="A6797">
        <v>6796</v>
      </c>
      <c r="B6797" t="str">
        <f>"011623"</f>
        <v>0</v>
      </c>
      <c r="C6797" t="s">
        <v>104</v>
      </c>
      <c r="D6797" t="s">
        <v>10781</v>
      </c>
      <c r="E6797" t="str">
        <f>"5760690001422"</f>
        <v>0</v>
      </c>
      <c r="F6797" t="str">
        <f>"001210"</f>
        <v>0</v>
      </c>
      <c r="G6797" t="s">
        <v>21</v>
      </c>
    </row>
    <row r="6798" spans="1:7">
      <c r="A6798">
        <v>6797</v>
      </c>
      <c r="B6798" t="str">
        <f>"012132"</f>
        <v>0</v>
      </c>
      <c r="C6798" t="s">
        <v>10782</v>
      </c>
      <c r="D6798" t="s">
        <v>10757</v>
      </c>
      <c r="E6798" t="str">
        <f>"3760100056642"</f>
        <v>0</v>
      </c>
      <c r="F6798" t="str">
        <f>"001210"</f>
        <v>0</v>
      </c>
      <c r="G6798" t="s">
        <v>21</v>
      </c>
    </row>
    <row r="6799" spans="1:7">
      <c r="A6799">
        <v>6798</v>
      </c>
      <c r="B6799" t="str">
        <f>"012608"</f>
        <v>0</v>
      </c>
      <c r="C6799" t="s">
        <v>10783</v>
      </c>
      <c r="D6799" t="s">
        <v>8623</v>
      </c>
      <c r="E6799" t="str">
        <f>"3769900202706"</f>
        <v>0</v>
      </c>
      <c r="F6799" t="str">
        <f>"001210"</f>
        <v>0</v>
      </c>
      <c r="G6799" t="s">
        <v>21</v>
      </c>
    </row>
    <row r="6800" spans="1:7">
      <c r="A6800">
        <v>6799</v>
      </c>
      <c r="B6800" t="str">
        <f>"013084"</f>
        <v>0</v>
      </c>
      <c r="C6800" t="s">
        <v>1804</v>
      </c>
      <c r="D6800" t="s">
        <v>10784</v>
      </c>
      <c r="E6800" t="str">
        <f>"3120101868956"</f>
        <v>0</v>
      </c>
      <c r="F6800" t="str">
        <f>"001210"</f>
        <v>0</v>
      </c>
      <c r="G6800" t="s">
        <v>21</v>
      </c>
    </row>
    <row r="6801" spans="1:7">
      <c r="A6801">
        <v>6800</v>
      </c>
      <c r="B6801" t="str">
        <f>"013756"</f>
        <v>0</v>
      </c>
      <c r="C6801" t="s">
        <v>798</v>
      </c>
      <c r="D6801" t="s">
        <v>8541</v>
      </c>
      <c r="E6801" t="str">
        <f>"3769900314059"</f>
        <v>0</v>
      </c>
      <c r="F6801" t="str">
        <f>"001210"</f>
        <v>0</v>
      </c>
      <c r="G6801" t="s">
        <v>21</v>
      </c>
    </row>
    <row r="6802" spans="1:7">
      <c r="A6802">
        <v>6801</v>
      </c>
      <c r="B6802" t="str">
        <f>"014090"</f>
        <v>0</v>
      </c>
      <c r="C6802" t="s">
        <v>789</v>
      </c>
      <c r="D6802" t="s">
        <v>10785</v>
      </c>
      <c r="E6802" t="str">
        <f>"3760200134696"</f>
        <v>0</v>
      </c>
      <c r="F6802" t="str">
        <f>"001210"</f>
        <v>0</v>
      </c>
      <c r="G6802" t="s">
        <v>21</v>
      </c>
    </row>
    <row r="6803" spans="1:7">
      <c r="A6803">
        <v>6802</v>
      </c>
      <c r="B6803" t="str">
        <f>"014801"</f>
        <v>0</v>
      </c>
      <c r="C6803" t="s">
        <v>9694</v>
      </c>
      <c r="D6803" t="s">
        <v>7790</v>
      </c>
      <c r="E6803" t="str">
        <f>"5760600021909"</f>
        <v>0</v>
      </c>
      <c r="F6803" t="str">
        <f>"001210"</f>
        <v>0</v>
      </c>
      <c r="G6803" t="s">
        <v>21</v>
      </c>
    </row>
    <row r="6804" spans="1:7">
      <c r="A6804">
        <v>6803</v>
      </c>
      <c r="B6804" t="str">
        <f>"014802"</f>
        <v>0</v>
      </c>
      <c r="C6804" t="s">
        <v>10786</v>
      </c>
      <c r="D6804" t="s">
        <v>10787</v>
      </c>
      <c r="E6804" t="str">
        <f>"3769900165371"</f>
        <v>0</v>
      </c>
      <c r="F6804" t="str">
        <f>"001210"</f>
        <v>0</v>
      </c>
      <c r="G6804" t="s">
        <v>21</v>
      </c>
    </row>
    <row r="6805" spans="1:7">
      <c r="A6805">
        <v>6804</v>
      </c>
      <c r="B6805" t="str">
        <f>"015205"</f>
        <v>0</v>
      </c>
      <c r="C6805" t="s">
        <v>1356</v>
      </c>
      <c r="D6805" t="s">
        <v>10788</v>
      </c>
      <c r="E6805" t="str">
        <f>"3710500521610"</f>
        <v>0</v>
      </c>
      <c r="F6805" t="str">
        <f>"001210"</f>
        <v>0</v>
      </c>
      <c r="G6805" t="s">
        <v>21</v>
      </c>
    </row>
    <row r="6806" spans="1:7">
      <c r="A6806">
        <v>6805</v>
      </c>
      <c r="B6806" t="str">
        <f>"016162"</f>
        <v>0</v>
      </c>
      <c r="C6806" t="s">
        <v>1021</v>
      </c>
      <c r="D6806" t="s">
        <v>10789</v>
      </c>
      <c r="E6806" t="str">
        <f>"3760100488356"</f>
        <v>0</v>
      </c>
      <c r="F6806" t="str">
        <f>"001210"</f>
        <v>0</v>
      </c>
      <c r="G6806" t="s">
        <v>21</v>
      </c>
    </row>
    <row r="6807" spans="1:7">
      <c r="A6807">
        <v>6806</v>
      </c>
      <c r="B6807" t="str">
        <f>"016185"</f>
        <v>0</v>
      </c>
      <c r="C6807" t="s">
        <v>10790</v>
      </c>
      <c r="D6807" t="s">
        <v>10791</v>
      </c>
      <c r="E6807" t="str">
        <f>"3779800166163"</f>
        <v>0</v>
      </c>
      <c r="F6807" t="str">
        <f>"001210"</f>
        <v>0</v>
      </c>
      <c r="G6807" t="s">
        <v>21</v>
      </c>
    </row>
    <row r="6808" spans="1:7">
      <c r="A6808">
        <v>6807</v>
      </c>
      <c r="B6808" t="str">
        <f>"019192"</f>
        <v>0</v>
      </c>
      <c r="C6808" t="s">
        <v>10792</v>
      </c>
      <c r="D6808" t="s">
        <v>10793</v>
      </c>
      <c r="E6808" t="str">
        <f>"3760100408930"</f>
        <v>0</v>
      </c>
      <c r="F6808" t="str">
        <f>"001210"</f>
        <v>0</v>
      </c>
      <c r="G6808" t="s">
        <v>21</v>
      </c>
    </row>
    <row r="6809" spans="1:7">
      <c r="A6809">
        <v>6808</v>
      </c>
      <c r="B6809" t="str">
        <f>"022392"</f>
        <v>0</v>
      </c>
      <c r="C6809" t="s">
        <v>10794</v>
      </c>
      <c r="D6809" t="s">
        <v>10795</v>
      </c>
      <c r="E6809" t="str">
        <f>"3189900078946"</f>
        <v>0</v>
      </c>
      <c r="F6809" t="str">
        <f>"001210"</f>
        <v>0</v>
      </c>
      <c r="G6809" t="s">
        <v>21</v>
      </c>
    </row>
    <row r="6810" spans="1:7">
      <c r="A6810">
        <v>6809</v>
      </c>
      <c r="B6810" t="str">
        <f>"025509"</f>
        <v>0</v>
      </c>
      <c r="C6810" t="s">
        <v>5404</v>
      </c>
      <c r="D6810" t="s">
        <v>10796</v>
      </c>
      <c r="E6810" t="str">
        <f>"3760100408921"</f>
        <v>0</v>
      </c>
      <c r="F6810" t="str">
        <f>"001210"</f>
        <v>0</v>
      </c>
      <c r="G6810" t="s">
        <v>21</v>
      </c>
    </row>
    <row r="6811" spans="1:7">
      <c r="A6811">
        <v>6810</v>
      </c>
      <c r="B6811" t="str">
        <f>"005440"</f>
        <v>0</v>
      </c>
      <c r="C6811" t="s">
        <v>10797</v>
      </c>
      <c r="D6811" t="s">
        <v>10798</v>
      </c>
      <c r="E6811" t="str">
        <f>"3760300039521"</f>
        <v>0</v>
      </c>
      <c r="F6811" t="str">
        <f>"001210"</f>
        <v>0</v>
      </c>
      <c r="G6811" t="s">
        <v>21</v>
      </c>
    </row>
    <row r="6812" spans="1:7">
      <c r="A6812">
        <v>6811</v>
      </c>
      <c r="B6812" t="str">
        <f>"012209"</f>
        <v>0</v>
      </c>
      <c r="C6812" t="s">
        <v>1021</v>
      </c>
      <c r="D6812" t="s">
        <v>10799</v>
      </c>
      <c r="E6812" t="str">
        <f>"3760600126917"</f>
        <v>0</v>
      </c>
      <c r="F6812" t="str">
        <f>"001210"</f>
        <v>0</v>
      </c>
      <c r="G6812" t="s">
        <v>21</v>
      </c>
    </row>
    <row r="6813" spans="1:7">
      <c r="A6813">
        <v>6812</v>
      </c>
      <c r="B6813" t="str">
        <f>"016208"</f>
        <v>0</v>
      </c>
      <c r="C6813" t="s">
        <v>3638</v>
      </c>
      <c r="D6813" t="s">
        <v>10800</v>
      </c>
      <c r="E6813" t="str">
        <f>"5760500018353"</f>
        <v>0</v>
      </c>
      <c r="F6813" t="str">
        <f>"001210"</f>
        <v>0</v>
      </c>
      <c r="G6813" t="s">
        <v>21</v>
      </c>
    </row>
    <row r="6814" spans="1:7">
      <c r="A6814">
        <v>6813</v>
      </c>
      <c r="B6814" t="str">
        <f>"017856"</f>
        <v>0</v>
      </c>
      <c r="C6814" t="s">
        <v>1740</v>
      </c>
      <c r="D6814" t="s">
        <v>188</v>
      </c>
      <c r="E6814" t="str">
        <f>"3760700449351"</f>
        <v>0</v>
      </c>
      <c r="F6814" t="str">
        <f>"001210"</f>
        <v>0</v>
      </c>
      <c r="G6814" t="s">
        <v>21</v>
      </c>
    </row>
    <row r="6815" spans="1:7">
      <c r="A6815">
        <v>6814</v>
      </c>
      <c r="B6815" t="str">
        <f>"020360"</f>
        <v>0</v>
      </c>
      <c r="C6815" t="s">
        <v>10801</v>
      </c>
      <c r="D6815" t="s">
        <v>10802</v>
      </c>
      <c r="E6815" t="str">
        <f>"3760100304832"</f>
        <v>0</v>
      </c>
      <c r="F6815" t="str">
        <f>"001210"</f>
        <v>0</v>
      </c>
      <c r="G6815" t="s">
        <v>21</v>
      </c>
    </row>
    <row r="6816" spans="1:7">
      <c r="A6816">
        <v>6815</v>
      </c>
      <c r="B6816" t="str">
        <f>"022618"</f>
        <v>0</v>
      </c>
      <c r="C6816" t="s">
        <v>10803</v>
      </c>
      <c r="D6816" t="s">
        <v>10804</v>
      </c>
      <c r="E6816" t="str">
        <f>"1100200141021"</f>
        <v>0</v>
      </c>
      <c r="F6816" t="str">
        <f>"001210"</f>
        <v>0</v>
      </c>
      <c r="G6816" t="s">
        <v>21</v>
      </c>
    </row>
    <row r="6817" spans="1:7">
      <c r="A6817">
        <v>6816</v>
      </c>
      <c r="B6817" t="str">
        <f>"023008"</f>
        <v>0</v>
      </c>
      <c r="C6817" t="s">
        <v>10805</v>
      </c>
      <c r="D6817" t="s">
        <v>6143</v>
      </c>
      <c r="E6817" t="str">
        <f>"3350100737953"</f>
        <v>0</v>
      </c>
      <c r="F6817" t="str">
        <f>"001210"</f>
        <v>0</v>
      </c>
      <c r="G6817" t="s">
        <v>21</v>
      </c>
    </row>
    <row r="6818" spans="1:7">
      <c r="A6818">
        <v>6817</v>
      </c>
      <c r="B6818" t="str">
        <f>"023595"</f>
        <v>0</v>
      </c>
      <c r="C6818" t="s">
        <v>10806</v>
      </c>
      <c r="D6818" t="s">
        <v>10807</v>
      </c>
      <c r="E6818" t="str">
        <f>"3489900168179"</f>
        <v>0</v>
      </c>
      <c r="F6818" t="str">
        <f>"001210"</f>
        <v>0</v>
      </c>
      <c r="G6818" t="s">
        <v>21</v>
      </c>
    </row>
    <row r="6819" spans="1:7">
      <c r="A6819">
        <v>6818</v>
      </c>
      <c r="B6819" t="str">
        <f>"022683"</f>
        <v>0</v>
      </c>
      <c r="C6819" t="s">
        <v>10808</v>
      </c>
      <c r="D6819" t="s">
        <v>7224</v>
      </c>
      <c r="E6819" t="str">
        <f>"3700700209130"</f>
        <v>0</v>
      </c>
      <c r="F6819" t="str">
        <f>"001210"</f>
        <v>0</v>
      </c>
      <c r="G6819" t="s">
        <v>21</v>
      </c>
    </row>
    <row r="6820" spans="1:7">
      <c r="A6820">
        <v>6819</v>
      </c>
      <c r="B6820" t="str">
        <f>"026020"</f>
        <v>0</v>
      </c>
      <c r="C6820" t="s">
        <v>10809</v>
      </c>
      <c r="D6820" t="s">
        <v>10810</v>
      </c>
      <c r="E6820" t="str">
        <f>"1101400210817"</f>
        <v>0</v>
      </c>
      <c r="F6820" t="str">
        <f>"001210"</f>
        <v>0</v>
      </c>
      <c r="G6820" t="s">
        <v>21</v>
      </c>
    </row>
    <row r="6821" spans="1:7">
      <c r="A6821">
        <v>6820</v>
      </c>
      <c r="B6821" t="str">
        <f>"022333"</f>
        <v>0</v>
      </c>
      <c r="C6821" t="s">
        <v>10811</v>
      </c>
      <c r="D6821" t="s">
        <v>10812</v>
      </c>
      <c r="E6821" t="str">
        <f>"3720900532236"</f>
        <v>0</v>
      </c>
      <c r="F6821" t="str">
        <f>"001210"</f>
        <v>0</v>
      </c>
      <c r="G6821" t="s">
        <v>21</v>
      </c>
    </row>
    <row r="6822" spans="1:7">
      <c r="A6822">
        <v>6821</v>
      </c>
      <c r="B6822" t="str">
        <f>"018806"</f>
        <v>0</v>
      </c>
      <c r="C6822" t="s">
        <v>10813</v>
      </c>
      <c r="D6822" t="s">
        <v>10814</v>
      </c>
      <c r="E6822" t="str">
        <f>"3730600557268"</f>
        <v>0</v>
      </c>
      <c r="F6822" t="str">
        <f>"001210"</f>
        <v>0</v>
      </c>
      <c r="G6822" t="s">
        <v>21</v>
      </c>
    </row>
    <row r="6823" spans="1:7">
      <c r="A6823">
        <v>6822</v>
      </c>
      <c r="B6823" t="str">
        <f>"020135"</f>
        <v>0</v>
      </c>
      <c r="C6823" t="s">
        <v>4783</v>
      </c>
      <c r="D6823" t="s">
        <v>10815</v>
      </c>
      <c r="E6823" t="str">
        <f>"3730400127251"</f>
        <v>0</v>
      </c>
      <c r="F6823" t="str">
        <f>"001210"</f>
        <v>0</v>
      </c>
      <c r="G6823" t="s">
        <v>21</v>
      </c>
    </row>
    <row r="6824" spans="1:7">
      <c r="A6824">
        <v>6823</v>
      </c>
      <c r="B6824" t="str">
        <f>"026176"</f>
        <v>0</v>
      </c>
      <c r="C6824" t="s">
        <v>5951</v>
      </c>
      <c r="D6824" t="s">
        <v>10816</v>
      </c>
      <c r="E6824" t="str">
        <f>"1749900187301"</f>
        <v>0</v>
      </c>
      <c r="F6824" t="str">
        <f>"001210"</f>
        <v>0</v>
      </c>
      <c r="G6824" t="s">
        <v>21</v>
      </c>
    </row>
    <row r="6825" spans="1:7">
      <c r="A6825">
        <v>6824</v>
      </c>
      <c r="B6825" t="str">
        <f>"009908"</f>
        <v>0</v>
      </c>
      <c r="C6825" t="s">
        <v>5942</v>
      </c>
      <c r="D6825" t="s">
        <v>3737</v>
      </c>
      <c r="E6825" t="str">
        <f>"3760500714167"</f>
        <v>0</v>
      </c>
      <c r="F6825" t="str">
        <f>"001210"</f>
        <v>0</v>
      </c>
      <c r="G6825" t="s">
        <v>21</v>
      </c>
    </row>
    <row r="6826" spans="1:7">
      <c r="A6826">
        <v>6825</v>
      </c>
      <c r="B6826" t="str">
        <f>"010582"</f>
        <v>0</v>
      </c>
      <c r="C6826" t="s">
        <v>7140</v>
      </c>
      <c r="D6826" t="s">
        <v>10817</v>
      </c>
      <c r="E6826" t="str">
        <f>"4740200005452"</f>
        <v>0</v>
      </c>
      <c r="F6826" t="str">
        <f>"001210"</f>
        <v>0</v>
      </c>
      <c r="G6826" t="s">
        <v>21</v>
      </c>
    </row>
    <row r="6827" spans="1:7">
      <c r="A6827">
        <v>6826</v>
      </c>
      <c r="B6827" t="str">
        <f>"016205"</f>
        <v>0</v>
      </c>
      <c r="C6827" t="s">
        <v>5981</v>
      </c>
      <c r="D6827" t="s">
        <v>10818</v>
      </c>
      <c r="E6827" t="str">
        <f>"3709900205799"</f>
        <v>0</v>
      </c>
      <c r="F6827" t="str">
        <f>"001210"</f>
        <v>0</v>
      </c>
      <c r="G6827" t="s">
        <v>21</v>
      </c>
    </row>
    <row r="6828" spans="1:7">
      <c r="A6828">
        <v>6827</v>
      </c>
      <c r="B6828" t="str">
        <f>"017345"</f>
        <v>0</v>
      </c>
      <c r="C6828" t="s">
        <v>5201</v>
      </c>
      <c r="D6828" t="s">
        <v>10819</v>
      </c>
      <c r="E6828" t="str">
        <f>"3640900453809"</f>
        <v>0</v>
      </c>
      <c r="F6828" t="str">
        <f>"001210"</f>
        <v>0</v>
      </c>
      <c r="G6828" t="s">
        <v>21</v>
      </c>
    </row>
    <row r="6829" spans="1:7">
      <c r="A6829">
        <v>6828</v>
      </c>
      <c r="B6829" t="str">
        <f>"017732"</f>
        <v>0</v>
      </c>
      <c r="C6829" t="s">
        <v>10820</v>
      </c>
      <c r="D6829" t="s">
        <v>10821</v>
      </c>
      <c r="E6829" t="str">
        <f>"3901100630810"</f>
        <v>0</v>
      </c>
      <c r="F6829" t="str">
        <f>"001210"</f>
        <v>0</v>
      </c>
      <c r="G6829" t="s">
        <v>21</v>
      </c>
    </row>
    <row r="6830" spans="1:7">
      <c r="A6830">
        <v>6829</v>
      </c>
      <c r="B6830" t="str">
        <f>"019618"</f>
        <v>0</v>
      </c>
      <c r="C6830" t="s">
        <v>778</v>
      </c>
      <c r="D6830" t="s">
        <v>10822</v>
      </c>
      <c r="E6830" t="str">
        <f>"3760700544851"</f>
        <v>0</v>
      </c>
      <c r="F6830" t="str">
        <f>"001210"</f>
        <v>0</v>
      </c>
      <c r="G6830" t="s">
        <v>21</v>
      </c>
    </row>
    <row r="6831" spans="1:7">
      <c r="A6831">
        <v>6830</v>
      </c>
      <c r="B6831" t="str">
        <f>"019763"</f>
        <v>0</v>
      </c>
      <c r="C6831" t="s">
        <v>4781</v>
      </c>
      <c r="D6831" t="s">
        <v>10823</v>
      </c>
      <c r="E6831" t="str">
        <f>"3760100457787"</f>
        <v>0</v>
      </c>
      <c r="F6831" t="str">
        <f>"001210"</f>
        <v>0</v>
      </c>
      <c r="G6831" t="s">
        <v>21</v>
      </c>
    </row>
    <row r="6832" spans="1:7">
      <c r="A6832">
        <v>6831</v>
      </c>
      <c r="B6832" t="str">
        <f>"019930"</f>
        <v>0</v>
      </c>
      <c r="C6832" t="s">
        <v>3776</v>
      </c>
      <c r="D6832" t="s">
        <v>10824</v>
      </c>
      <c r="E6832" t="str">
        <f>"3860800047459"</f>
        <v>0</v>
      </c>
      <c r="F6832" t="str">
        <f>"001210"</f>
        <v>0</v>
      </c>
      <c r="G6832" t="s">
        <v>21</v>
      </c>
    </row>
    <row r="6833" spans="1:7">
      <c r="A6833">
        <v>6832</v>
      </c>
      <c r="B6833" t="str">
        <f>"020639"</f>
        <v>0</v>
      </c>
      <c r="C6833" t="s">
        <v>10825</v>
      </c>
      <c r="D6833" t="s">
        <v>6637</v>
      </c>
      <c r="E6833" t="str">
        <f>"3760500692252"</f>
        <v>0</v>
      </c>
      <c r="F6833" t="str">
        <f>"001210"</f>
        <v>0</v>
      </c>
      <c r="G6833" t="s">
        <v>21</v>
      </c>
    </row>
    <row r="6834" spans="1:7">
      <c r="A6834">
        <v>6833</v>
      </c>
      <c r="B6834" t="str">
        <f>"020687"</f>
        <v>0</v>
      </c>
      <c r="C6834" t="s">
        <v>10826</v>
      </c>
      <c r="D6834" t="s">
        <v>10827</v>
      </c>
      <c r="E6834" t="str">
        <f>"3760100656313"</f>
        <v>0</v>
      </c>
      <c r="F6834" t="str">
        <f>"001210"</f>
        <v>0</v>
      </c>
      <c r="G6834" t="s">
        <v>21</v>
      </c>
    </row>
    <row r="6835" spans="1:7">
      <c r="A6835">
        <v>6834</v>
      </c>
      <c r="B6835" t="str">
        <f>"020835"</f>
        <v>0</v>
      </c>
      <c r="C6835" t="s">
        <v>1498</v>
      </c>
      <c r="D6835" t="s">
        <v>10828</v>
      </c>
      <c r="E6835" t="str">
        <f>"5760400017649"</f>
        <v>0</v>
      </c>
      <c r="F6835" t="str">
        <f>"001210"</f>
        <v>0</v>
      </c>
      <c r="G6835" t="s">
        <v>21</v>
      </c>
    </row>
    <row r="6836" spans="1:7">
      <c r="A6836">
        <v>6835</v>
      </c>
      <c r="B6836" t="str">
        <f>"021015"</f>
        <v>0</v>
      </c>
      <c r="C6836" t="s">
        <v>10829</v>
      </c>
      <c r="D6836" t="s">
        <v>10830</v>
      </c>
      <c r="E6836" t="str">
        <f>"3930500275129"</f>
        <v>0</v>
      </c>
      <c r="F6836" t="str">
        <f>"001210"</f>
        <v>0</v>
      </c>
      <c r="G6836" t="s">
        <v>21</v>
      </c>
    </row>
    <row r="6837" spans="1:7">
      <c r="A6837">
        <v>6836</v>
      </c>
      <c r="B6837" t="str">
        <f>"021162"</f>
        <v>0</v>
      </c>
      <c r="C6837" t="s">
        <v>10831</v>
      </c>
      <c r="D6837" t="s">
        <v>10832</v>
      </c>
      <c r="E6837" t="str">
        <f>"5601100012716"</f>
        <v>0</v>
      </c>
      <c r="F6837" t="str">
        <f>"001210"</f>
        <v>0</v>
      </c>
      <c r="G6837" t="s">
        <v>21</v>
      </c>
    </row>
    <row r="6838" spans="1:7">
      <c r="A6838">
        <v>6837</v>
      </c>
      <c r="B6838" t="str">
        <f>"021329"</f>
        <v>0</v>
      </c>
      <c r="C6838" t="s">
        <v>2298</v>
      </c>
      <c r="D6838" t="s">
        <v>10833</v>
      </c>
      <c r="E6838" t="str">
        <f>"5760400019951"</f>
        <v>0</v>
      </c>
      <c r="F6838" t="str">
        <f>"001210"</f>
        <v>0</v>
      </c>
      <c r="G6838" t="s">
        <v>21</v>
      </c>
    </row>
    <row r="6839" spans="1:7">
      <c r="A6839">
        <v>6838</v>
      </c>
      <c r="B6839" t="str">
        <f>"021611"</f>
        <v>0</v>
      </c>
      <c r="C6839" t="s">
        <v>10834</v>
      </c>
      <c r="D6839" t="s">
        <v>10835</v>
      </c>
      <c r="E6839" t="str">
        <f>"3760700483860"</f>
        <v>0</v>
      </c>
      <c r="F6839" t="str">
        <f>"001210"</f>
        <v>0</v>
      </c>
      <c r="G6839" t="s">
        <v>21</v>
      </c>
    </row>
    <row r="6840" spans="1:7">
      <c r="A6840">
        <v>6839</v>
      </c>
      <c r="B6840" t="str">
        <f>"021652"</f>
        <v>0</v>
      </c>
      <c r="C6840" t="s">
        <v>10836</v>
      </c>
      <c r="D6840" t="s">
        <v>151</v>
      </c>
      <c r="E6840" t="str">
        <f>"3760700304639"</f>
        <v>0</v>
      </c>
      <c r="F6840" t="str">
        <f>"001210"</f>
        <v>0</v>
      </c>
      <c r="G6840" t="s">
        <v>21</v>
      </c>
    </row>
    <row r="6841" spans="1:7">
      <c r="A6841">
        <v>6840</v>
      </c>
      <c r="B6841" t="str">
        <f>"022124"</f>
        <v>0</v>
      </c>
      <c r="C6841" t="s">
        <v>10837</v>
      </c>
      <c r="D6841" t="s">
        <v>10838</v>
      </c>
      <c r="E6841" t="str">
        <f>"3760100404918"</f>
        <v>0</v>
      </c>
      <c r="F6841" t="str">
        <f>"001210"</f>
        <v>0</v>
      </c>
      <c r="G6841" t="s">
        <v>21</v>
      </c>
    </row>
    <row r="6842" spans="1:7">
      <c r="A6842">
        <v>6841</v>
      </c>
      <c r="B6842" t="str">
        <f>"022572"</f>
        <v>0</v>
      </c>
      <c r="C6842" t="s">
        <v>10839</v>
      </c>
      <c r="D6842" t="s">
        <v>10840</v>
      </c>
      <c r="E6842" t="str">
        <f>"3760600091331"</f>
        <v>0</v>
      </c>
      <c r="F6842" t="str">
        <f>"001210"</f>
        <v>0</v>
      </c>
      <c r="G6842" t="s">
        <v>21</v>
      </c>
    </row>
    <row r="6843" spans="1:7">
      <c r="A6843">
        <v>6842</v>
      </c>
      <c r="B6843" t="str">
        <f>"022689"</f>
        <v>0</v>
      </c>
      <c r="C6843" t="s">
        <v>10841</v>
      </c>
      <c r="D6843" t="s">
        <v>10842</v>
      </c>
      <c r="E6843" t="str">
        <f>"1769900072768"</f>
        <v>0</v>
      </c>
      <c r="F6843" t="str">
        <f>"001210"</f>
        <v>0</v>
      </c>
      <c r="G6843" t="s">
        <v>21</v>
      </c>
    </row>
    <row r="6844" spans="1:7">
      <c r="A6844">
        <v>6843</v>
      </c>
      <c r="B6844" t="str">
        <f>"022699"</f>
        <v>0</v>
      </c>
      <c r="C6844" t="s">
        <v>10843</v>
      </c>
      <c r="D6844" t="s">
        <v>10844</v>
      </c>
      <c r="E6844" t="str">
        <f>"3760200326391"</f>
        <v>0</v>
      </c>
      <c r="F6844" t="str">
        <f>"001210"</f>
        <v>0</v>
      </c>
      <c r="G6844" t="s">
        <v>21</v>
      </c>
    </row>
    <row r="6845" spans="1:7">
      <c r="A6845">
        <v>6844</v>
      </c>
      <c r="B6845" t="str">
        <f>"022737"</f>
        <v>0</v>
      </c>
      <c r="C6845" t="s">
        <v>8100</v>
      </c>
      <c r="D6845" t="s">
        <v>10845</v>
      </c>
      <c r="E6845" t="str">
        <f>"1760600005765"</f>
        <v>0</v>
      </c>
      <c r="F6845" t="str">
        <f>"001210"</f>
        <v>0</v>
      </c>
      <c r="G6845" t="s">
        <v>21</v>
      </c>
    </row>
    <row r="6846" spans="1:7">
      <c r="A6846">
        <v>6845</v>
      </c>
      <c r="B6846" t="str">
        <f>"022985"</f>
        <v>0</v>
      </c>
      <c r="C6846" t="s">
        <v>1408</v>
      </c>
      <c r="D6846" t="s">
        <v>10846</v>
      </c>
      <c r="E6846" t="str">
        <f>"3760600106088"</f>
        <v>0</v>
      </c>
      <c r="F6846" t="str">
        <f>"001210"</f>
        <v>0</v>
      </c>
      <c r="G6846" t="s">
        <v>21</v>
      </c>
    </row>
    <row r="6847" spans="1:7">
      <c r="A6847">
        <v>6846</v>
      </c>
      <c r="B6847" t="str">
        <f>"023989"</f>
        <v>0</v>
      </c>
      <c r="C6847" t="s">
        <v>10847</v>
      </c>
      <c r="D6847" t="s">
        <v>10848</v>
      </c>
      <c r="E6847" t="str">
        <f>"1769900109556"</f>
        <v>0</v>
      </c>
      <c r="F6847" t="str">
        <f>"001210"</f>
        <v>0</v>
      </c>
      <c r="G6847" t="s">
        <v>21</v>
      </c>
    </row>
    <row r="6848" spans="1:7">
      <c r="A6848">
        <v>6847</v>
      </c>
      <c r="B6848" t="str">
        <f>"025073"</f>
        <v>0</v>
      </c>
      <c r="C6848" t="s">
        <v>10849</v>
      </c>
      <c r="D6848" t="s">
        <v>10850</v>
      </c>
      <c r="E6848" t="str">
        <f>"3760600448141"</f>
        <v>0</v>
      </c>
      <c r="F6848" t="str">
        <f>"001210"</f>
        <v>0</v>
      </c>
      <c r="G6848" t="s">
        <v>21</v>
      </c>
    </row>
    <row r="6849" spans="1:7">
      <c r="A6849">
        <v>6848</v>
      </c>
      <c r="B6849" t="str">
        <f>"025631"</f>
        <v>0</v>
      </c>
      <c r="C6849" t="s">
        <v>1050</v>
      </c>
      <c r="D6849" t="s">
        <v>10851</v>
      </c>
      <c r="E6849" t="str">
        <f>"1709900581174"</f>
        <v>0</v>
      </c>
      <c r="F6849" t="str">
        <f>"001210"</f>
        <v>0</v>
      </c>
      <c r="G6849" t="s">
        <v>21</v>
      </c>
    </row>
    <row r="6850" spans="1:7">
      <c r="A6850">
        <v>6849</v>
      </c>
      <c r="B6850" t="str">
        <f>"025719"</f>
        <v>0</v>
      </c>
      <c r="C6850" t="s">
        <v>10852</v>
      </c>
      <c r="D6850" t="s">
        <v>10853</v>
      </c>
      <c r="E6850" t="str">
        <f>"1760700046684"</f>
        <v>0</v>
      </c>
      <c r="F6850" t="str">
        <f>"001210"</f>
        <v>0</v>
      </c>
      <c r="G6850" t="s">
        <v>21</v>
      </c>
    </row>
    <row r="6851" spans="1:7">
      <c r="A6851">
        <v>6850</v>
      </c>
      <c r="B6851" t="str">
        <f>"025999"</f>
        <v>0</v>
      </c>
      <c r="C6851" t="s">
        <v>1402</v>
      </c>
      <c r="D6851" t="s">
        <v>4025</v>
      </c>
      <c r="E6851" t="str">
        <f>"3760600332797"</f>
        <v>0</v>
      </c>
      <c r="F6851" t="str">
        <f>"001210"</f>
        <v>0</v>
      </c>
      <c r="G6851" t="s">
        <v>21</v>
      </c>
    </row>
    <row r="6852" spans="1:7">
      <c r="A6852">
        <v>6851</v>
      </c>
      <c r="B6852" t="str">
        <f>"026314"</f>
        <v>0</v>
      </c>
      <c r="C6852" t="s">
        <v>10854</v>
      </c>
      <c r="D6852" t="s">
        <v>10855</v>
      </c>
      <c r="E6852" t="str">
        <f>"1760500020436"</f>
        <v>0</v>
      </c>
      <c r="F6852" t="str">
        <f>"001210"</f>
        <v>0</v>
      </c>
      <c r="G6852" t="s">
        <v>21</v>
      </c>
    </row>
    <row r="6853" spans="1:7">
      <c r="A6853">
        <v>6852</v>
      </c>
      <c r="B6853" t="str">
        <f>"026416"</f>
        <v>0</v>
      </c>
      <c r="C6853" t="s">
        <v>10856</v>
      </c>
      <c r="D6853" t="s">
        <v>10818</v>
      </c>
      <c r="E6853" t="str">
        <f>"1709800016891"</f>
        <v>0</v>
      </c>
      <c r="F6853" t="str">
        <f>"001210"</f>
        <v>0</v>
      </c>
      <c r="G6853" t="s">
        <v>21</v>
      </c>
    </row>
    <row r="6854" spans="1:7">
      <c r="A6854">
        <v>6853</v>
      </c>
      <c r="B6854" t="str">
        <f>"022801"</f>
        <v>0</v>
      </c>
      <c r="C6854" t="s">
        <v>9669</v>
      </c>
      <c r="D6854" t="s">
        <v>10857</v>
      </c>
      <c r="E6854" t="str">
        <f>"1770200043597"</f>
        <v>0</v>
      </c>
      <c r="F6854" t="str">
        <f>"001210"</f>
        <v>0</v>
      </c>
      <c r="G6854" t="s">
        <v>21</v>
      </c>
    </row>
    <row r="6855" spans="1:7">
      <c r="A6855">
        <v>6854</v>
      </c>
      <c r="B6855" t="str">
        <f>"023198"</f>
        <v>0</v>
      </c>
      <c r="C6855" t="s">
        <v>10858</v>
      </c>
      <c r="D6855" t="s">
        <v>10859</v>
      </c>
      <c r="E6855" t="str">
        <f>"3779900021396"</f>
        <v>0</v>
      </c>
      <c r="F6855" t="str">
        <f>"001210"</f>
        <v>0</v>
      </c>
      <c r="G6855" t="s">
        <v>21</v>
      </c>
    </row>
    <row r="6856" spans="1:7">
      <c r="A6856">
        <v>6855</v>
      </c>
      <c r="B6856" t="str">
        <f>"025190"</f>
        <v>0</v>
      </c>
      <c r="C6856" t="s">
        <v>10860</v>
      </c>
      <c r="D6856" t="s">
        <v>10861</v>
      </c>
      <c r="E6856" t="str">
        <f>"3770100374628"</f>
        <v>0</v>
      </c>
      <c r="F6856" t="str">
        <f>"001210"</f>
        <v>0</v>
      </c>
      <c r="G6856" t="s">
        <v>21</v>
      </c>
    </row>
    <row r="6857" spans="1:7">
      <c r="A6857">
        <v>6856</v>
      </c>
      <c r="B6857" t="str">
        <f>"025560"</f>
        <v>0</v>
      </c>
      <c r="C6857" t="s">
        <v>3716</v>
      </c>
      <c r="D6857" t="s">
        <v>2647</v>
      </c>
      <c r="E6857" t="str">
        <f>"1101800501282"</f>
        <v>0</v>
      </c>
      <c r="F6857" t="str">
        <f>"001210"</f>
        <v>0</v>
      </c>
      <c r="G6857" t="s">
        <v>21</v>
      </c>
    </row>
    <row r="6858" spans="1:7">
      <c r="A6858">
        <v>6857</v>
      </c>
      <c r="B6858" t="str">
        <f>"026175"</f>
        <v>0</v>
      </c>
      <c r="C6858" t="s">
        <v>1200</v>
      </c>
      <c r="D6858" t="s">
        <v>5241</v>
      </c>
      <c r="E6858" t="str">
        <f>"3770700139859"</f>
        <v>0</v>
      </c>
      <c r="F6858" t="str">
        <f>"001210"</f>
        <v>0</v>
      </c>
      <c r="G6858" t="s">
        <v>21</v>
      </c>
    </row>
    <row r="6859" spans="1:7">
      <c r="A6859">
        <v>6858</v>
      </c>
      <c r="B6859" t="str">
        <f>"025933"</f>
        <v>0</v>
      </c>
      <c r="C6859" t="s">
        <v>10862</v>
      </c>
      <c r="D6859" t="s">
        <v>10863</v>
      </c>
      <c r="E6859" t="str">
        <f>"1103700647929"</f>
        <v>0</v>
      </c>
      <c r="F6859" t="str">
        <f>"001210"</f>
        <v>0</v>
      </c>
      <c r="G6859" t="s">
        <v>21</v>
      </c>
    </row>
    <row r="6860" spans="1:7">
      <c r="A6860">
        <v>6859</v>
      </c>
      <c r="B6860" t="str">
        <f>"012306"</f>
        <v>0</v>
      </c>
      <c r="C6860" t="s">
        <v>10864</v>
      </c>
      <c r="D6860" t="s">
        <v>10865</v>
      </c>
      <c r="E6860" t="str">
        <f>"3102000734972"</f>
        <v>0</v>
      </c>
      <c r="F6860" t="str">
        <f>"001210"</f>
        <v>0</v>
      </c>
      <c r="G6860" t="s">
        <v>21</v>
      </c>
    </row>
    <row r="6861" spans="1:7">
      <c r="A6861">
        <v>6860</v>
      </c>
      <c r="B6861" t="str">
        <f>"017834"</f>
        <v>0</v>
      </c>
      <c r="C6861" t="s">
        <v>10866</v>
      </c>
      <c r="D6861" t="s">
        <v>10867</v>
      </c>
      <c r="E6861" t="str">
        <f>"3102000536241"</f>
        <v>0</v>
      </c>
      <c r="F6861" t="str">
        <f>"001210"</f>
        <v>0</v>
      </c>
      <c r="G6861" t="s">
        <v>21</v>
      </c>
    </row>
    <row r="6862" spans="1:7">
      <c r="A6862">
        <v>6861</v>
      </c>
      <c r="B6862" t="str">
        <f>"019742"</f>
        <v>0</v>
      </c>
      <c r="C6862" t="s">
        <v>4797</v>
      </c>
      <c r="D6862" t="s">
        <v>10868</v>
      </c>
      <c r="E6862" t="str">
        <f>"3760600485810"</f>
        <v>0</v>
      </c>
      <c r="F6862" t="str">
        <f>"001210"</f>
        <v>0</v>
      </c>
      <c r="G6862" t="s">
        <v>21</v>
      </c>
    </row>
    <row r="6863" spans="1:7">
      <c r="A6863">
        <v>6862</v>
      </c>
      <c r="B6863" t="str">
        <f>"019778"</f>
        <v>0</v>
      </c>
      <c r="C6863" t="s">
        <v>3894</v>
      </c>
      <c r="D6863" t="s">
        <v>10869</v>
      </c>
      <c r="E6863" t="str">
        <f>"3760500100037"</f>
        <v>0</v>
      </c>
      <c r="F6863" t="str">
        <f>"001210"</f>
        <v>0</v>
      </c>
      <c r="G6863" t="s">
        <v>21</v>
      </c>
    </row>
    <row r="6864" spans="1:7">
      <c r="A6864">
        <v>6863</v>
      </c>
      <c r="B6864" t="str">
        <f>"024569"</f>
        <v>0</v>
      </c>
      <c r="C6864" t="s">
        <v>9067</v>
      </c>
      <c r="D6864" t="s">
        <v>10870</v>
      </c>
      <c r="E6864" t="str">
        <f>"5770100016957"</f>
        <v>0</v>
      </c>
      <c r="F6864" t="str">
        <f>"001210"</f>
        <v>0</v>
      </c>
      <c r="G6864" t="s">
        <v>21</v>
      </c>
    </row>
    <row r="6865" spans="1:7">
      <c r="A6865">
        <v>6864</v>
      </c>
      <c r="B6865" t="str">
        <f>"027559"</f>
        <v>0</v>
      </c>
      <c r="C6865" t="s">
        <v>10871</v>
      </c>
      <c r="D6865" t="s">
        <v>10872</v>
      </c>
      <c r="E6865" t="str">
        <f>"3760200085148"</f>
        <v>0</v>
      </c>
      <c r="F6865" t="str">
        <f>"001210"</f>
        <v>0</v>
      </c>
      <c r="G6865" t="s">
        <v>21</v>
      </c>
    </row>
    <row r="6866" spans="1:7">
      <c r="A6866">
        <v>6865</v>
      </c>
      <c r="B6866" t="str">
        <f>"000315"</f>
        <v>0</v>
      </c>
      <c r="C6866" t="s">
        <v>837</v>
      </c>
      <c r="D6866" t="s">
        <v>10873</v>
      </c>
      <c r="E6866" t="str">
        <f>"5540290021037"</f>
        <v>0</v>
      </c>
      <c r="F6866" t="str">
        <f>"001230"</f>
        <v>0</v>
      </c>
      <c r="G6866" t="s">
        <v>21</v>
      </c>
    </row>
    <row r="6867" spans="1:7">
      <c r="A6867">
        <v>6866</v>
      </c>
      <c r="B6867" t="str">
        <f>"001591"</f>
        <v>0</v>
      </c>
      <c r="C6867" t="s">
        <v>10874</v>
      </c>
      <c r="D6867" t="s">
        <v>10875</v>
      </c>
      <c r="E6867" t="str">
        <f>"3560500719799"</f>
        <v>0</v>
      </c>
      <c r="F6867" t="str">
        <f>"001230"</f>
        <v>0</v>
      </c>
      <c r="G6867" t="s">
        <v>21</v>
      </c>
    </row>
    <row r="6868" spans="1:7">
      <c r="A6868">
        <v>6867</v>
      </c>
      <c r="B6868" t="str">
        <f>"001803"</f>
        <v>0</v>
      </c>
      <c r="C6868" t="s">
        <v>10876</v>
      </c>
      <c r="D6868" t="s">
        <v>10877</v>
      </c>
      <c r="E6868" t="str">
        <f>"3540100956688"</f>
        <v>0</v>
      </c>
      <c r="F6868" t="str">
        <f>"001230"</f>
        <v>0</v>
      </c>
      <c r="G6868" t="s">
        <v>21</v>
      </c>
    </row>
    <row r="6869" spans="1:7">
      <c r="A6869">
        <v>6868</v>
      </c>
      <c r="B6869" t="str">
        <f>"002356"</f>
        <v>0</v>
      </c>
      <c r="C6869" t="s">
        <v>10878</v>
      </c>
      <c r="D6869" t="s">
        <v>10879</v>
      </c>
      <c r="E6869" t="str">
        <f>"3540400146665"</f>
        <v>0</v>
      </c>
      <c r="F6869" t="str">
        <f>"001230"</f>
        <v>0</v>
      </c>
      <c r="G6869" t="s">
        <v>21</v>
      </c>
    </row>
    <row r="6870" spans="1:7">
      <c r="A6870">
        <v>6869</v>
      </c>
      <c r="B6870" t="str">
        <f>"003422"</f>
        <v>0</v>
      </c>
      <c r="C6870" t="s">
        <v>10880</v>
      </c>
      <c r="D6870" t="s">
        <v>10881</v>
      </c>
      <c r="E6870" t="str">
        <f>"3549900110978"</f>
        <v>0</v>
      </c>
      <c r="F6870" t="str">
        <f>"001230"</f>
        <v>0</v>
      </c>
      <c r="G6870" t="s">
        <v>21</v>
      </c>
    </row>
    <row r="6871" spans="1:7">
      <c r="A6871">
        <v>6870</v>
      </c>
      <c r="B6871" t="str">
        <f>"003443"</f>
        <v>0</v>
      </c>
      <c r="C6871" t="s">
        <v>10882</v>
      </c>
      <c r="D6871" t="s">
        <v>10883</v>
      </c>
      <c r="E6871" t="str">
        <f>"3540500055106"</f>
        <v>0</v>
      </c>
      <c r="F6871" t="str">
        <f>"001230"</f>
        <v>0</v>
      </c>
      <c r="G6871" t="s">
        <v>21</v>
      </c>
    </row>
    <row r="6872" spans="1:7">
      <c r="A6872">
        <v>6871</v>
      </c>
      <c r="B6872" t="str">
        <f>"003464"</f>
        <v>0</v>
      </c>
      <c r="C6872" t="s">
        <v>514</v>
      </c>
      <c r="D6872" t="s">
        <v>2267</v>
      </c>
      <c r="E6872" t="str">
        <f>"3540200692810"</f>
        <v>0</v>
      </c>
      <c r="F6872" t="str">
        <f>"001230"</f>
        <v>0</v>
      </c>
      <c r="G6872" t="s">
        <v>21</v>
      </c>
    </row>
    <row r="6873" spans="1:7">
      <c r="A6873">
        <v>6872</v>
      </c>
      <c r="B6873" t="str">
        <f>"003480"</f>
        <v>0</v>
      </c>
      <c r="C6873" t="s">
        <v>78</v>
      </c>
      <c r="D6873" t="s">
        <v>10884</v>
      </c>
      <c r="E6873" t="str">
        <f>"3540100230431"</f>
        <v>0</v>
      </c>
      <c r="F6873" t="str">
        <f>"001230"</f>
        <v>0</v>
      </c>
      <c r="G6873" t="s">
        <v>21</v>
      </c>
    </row>
    <row r="6874" spans="1:7">
      <c r="A6874">
        <v>6873</v>
      </c>
      <c r="B6874" t="str">
        <f>"003761"</f>
        <v>0</v>
      </c>
      <c r="C6874" t="s">
        <v>4372</v>
      </c>
      <c r="D6874" t="s">
        <v>10885</v>
      </c>
      <c r="E6874" t="str">
        <f>"3540700337920"</f>
        <v>0</v>
      </c>
      <c r="F6874" t="str">
        <f>"001230"</f>
        <v>0</v>
      </c>
      <c r="G6874" t="s">
        <v>21</v>
      </c>
    </row>
    <row r="6875" spans="1:7">
      <c r="A6875">
        <v>6874</v>
      </c>
      <c r="B6875" t="str">
        <f>"003999"</f>
        <v>0</v>
      </c>
      <c r="C6875" t="s">
        <v>6186</v>
      </c>
      <c r="D6875" t="s">
        <v>10886</v>
      </c>
      <c r="E6875" t="str">
        <f>"3520300263228"</f>
        <v>0</v>
      </c>
      <c r="F6875" t="str">
        <f>"001230"</f>
        <v>0</v>
      </c>
      <c r="G6875" t="s">
        <v>21</v>
      </c>
    </row>
    <row r="6876" spans="1:7">
      <c r="A6876">
        <v>6875</v>
      </c>
      <c r="B6876" t="str">
        <f>"004121"</f>
        <v>0</v>
      </c>
      <c r="C6876" t="s">
        <v>881</v>
      </c>
      <c r="D6876" t="s">
        <v>10887</v>
      </c>
      <c r="E6876" t="str">
        <f>"3560100707009"</f>
        <v>0</v>
      </c>
      <c r="F6876" t="str">
        <f>"001230"</f>
        <v>0</v>
      </c>
      <c r="G6876" t="s">
        <v>21</v>
      </c>
    </row>
    <row r="6877" spans="1:7">
      <c r="A6877">
        <v>6876</v>
      </c>
      <c r="B6877" t="str">
        <f>"004668"</f>
        <v>0</v>
      </c>
      <c r="C6877" t="s">
        <v>10888</v>
      </c>
      <c r="D6877" t="s">
        <v>10889</v>
      </c>
      <c r="E6877" t="str">
        <f>"3540600165191"</f>
        <v>0</v>
      </c>
      <c r="F6877" t="str">
        <f>"001230"</f>
        <v>0</v>
      </c>
      <c r="G6877" t="s">
        <v>21</v>
      </c>
    </row>
    <row r="6878" spans="1:7">
      <c r="A6878">
        <v>6877</v>
      </c>
      <c r="B6878" t="str">
        <f>"004831"</f>
        <v>0</v>
      </c>
      <c r="C6878" t="s">
        <v>3812</v>
      </c>
      <c r="D6878" t="s">
        <v>10890</v>
      </c>
      <c r="E6878" t="str">
        <f>"3540200631659"</f>
        <v>0</v>
      </c>
      <c r="F6878" t="str">
        <f>"001230"</f>
        <v>0</v>
      </c>
      <c r="G6878" t="s">
        <v>21</v>
      </c>
    </row>
    <row r="6879" spans="1:7">
      <c r="A6879">
        <v>6878</v>
      </c>
      <c r="B6879" t="str">
        <f>"004845"</f>
        <v>0</v>
      </c>
      <c r="C6879" t="s">
        <v>10891</v>
      </c>
      <c r="D6879" t="s">
        <v>10892</v>
      </c>
      <c r="E6879" t="str">
        <f>"3540200485831"</f>
        <v>0</v>
      </c>
      <c r="F6879" t="str">
        <f>"001230"</f>
        <v>0</v>
      </c>
      <c r="G6879" t="s">
        <v>21</v>
      </c>
    </row>
    <row r="6880" spans="1:7">
      <c r="A6880">
        <v>6879</v>
      </c>
      <c r="B6880" t="str">
        <f>"005549"</f>
        <v>0</v>
      </c>
      <c r="C6880" t="s">
        <v>130</v>
      </c>
      <c r="D6880" t="s">
        <v>4063</v>
      </c>
      <c r="E6880" t="str">
        <f>"3549900147669"</f>
        <v>0</v>
      </c>
      <c r="F6880" t="str">
        <f>"001230"</f>
        <v>0</v>
      </c>
      <c r="G6880" t="s">
        <v>21</v>
      </c>
    </row>
    <row r="6881" spans="1:7">
      <c r="A6881">
        <v>6880</v>
      </c>
      <c r="B6881" t="str">
        <f>"006082"</f>
        <v>0</v>
      </c>
      <c r="C6881" t="s">
        <v>36</v>
      </c>
      <c r="D6881" t="s">
        <v>10893</v>
      </c>
      <c r="E6881" t="str">
        <f>"5650700002281"</f>
        <v>0</v>
      </c>
      <c r="F6881" t="str">
        <f>"001230"</f>
        <v>0</v>
      </c>
      <c r="G6881" t="s">
        <v>21</v>
      </c>
    </row>
    <row r="6882" spans="1:7">
      <c r="A6882">
        <v>6881</v>
      </c>
      <c r="B6882" t="str">
        <f>"006143"</f>
        <v>0</v>
      </c>
      <c r="C6882" t="s">
        <v>130</v>
      </c>
      <c r="D6882" t="s">
        <v>10894</v>
      </c>
      <c r="E6882" t="str">
        <f>"3549900097033"</f>
        <v>0</v>
      </c>
      <c r="F6882" t="str">
        <f>"001230"</f>
        <v>0</v>
      </c>
      <c r="G6882" t="s">
        <v>21</v>
      </c>
    </row>
    <row r="6883" spans="1:7">
      <c r="A6883">
        <v>6882</v>
      </c>
      <c r="B6883" t="str">
        <f>"006630"</f>
        <v>0</v>
      </c>
      <c r="C6883" t="s">
        <v>701</v>
      </c>
      <c r="D6883" t="s">
        <v>10895</v>
      </c>
      <c r="E6883" t="str">
        <f>"3540200170139"</f>
        <v>0</v>
      </c>
      <c r="F6883" t="str">
        <f>"001230"</f>
        <v>0</v>
      </c>
      <c r="G6883" t="s">
        <v>21</v>
      </c>
    </row>
    <row r="6884" spans="1:7">
      <c r="A6884">
        <v>6883</v>
      </c>
      <c r="B6884" t="str">
        <f>"006632"</f>
        <v>0</v>
      </c>
      <c r="C6884" t="s">
        <v>2634</v>
      </c>
      <c r="D6884" t="s">
        <v>10896</v>
      </c>
      <c r="E6884" t="str">
        <f>"3540500182060"</f>
        <v>0</v>
      </c>
      <c r="F6884" t="str">
        <f>"001230"</f>
        <v>0</v>
      </c>
      <c r="G6884" t="s">
        <v>21</v>
      </c>
    </row>
    <row r="6885" spans="1:7">
      <c r="A6885">
        <v>6884</v>
      </c>
      <c r="B6885" t="str">
        <f>"007086"</f>
        <v>0</v>
      </c>
      <c r="C6885" t="s">
        <v>10585</v>
      </c>
      <c r="D6885" t="s">
        <v>10897</v>
      </c>
      <c r="E6885" t="str">
        <f>"3540400773929"</f>
        <v>0</v>
      </c>
      <c r="F6885" t="str">
        <f>"001230"</f>
        <v>0</v>
      </c>
      <c r="G6885" t="s">
        <v>21</v>
      </c>
    </row>
    <row r="6886" spans="1:7">
      <c r="A6886">
        <v>6885</v>
      </c>
      <c r="B6886" t="str">
        <f>"007371"</f>
        <v>0</v>
      </c>
      <c r="C6886" t="s">
        <v>2345</v>
      </c>
      <c r="D6886" t="s">
        <v>5138</v>
      </c>
      <c r="E6886" t="str">
        <f>"3570101057890"</f>
        <v>0</v>
      </c>
      <c r="F6886" t="str">
        <f>"001230"</f>
        <v>0</v>
      </c>
      <c r="G6886" t="s">
        <v>21</v>
      </c>
    </row>
    <row r="6887" spans="1:7">
      <c r="A6887">
        <v>6886</v>
      </c>
      <c r="B6887" t="str">
        <f>"007604"</f>
        <v>0</v>
      </c>
      <c r="C6887" t="s">
        <v>3746</v>
      </c>
      <c r="D6887" t="s">
        <v>3854</v>
      </c>
      <c r="E6887" t="str">
        <f>"3540300529732"</f>
        <v>0</v>
      </c>
      <c r="F6887" t="str">
        <f>"001230"</f>
        <v>0</v>
      </c>
      <c r="G6887" t="s">
        <v>21</v>
      </c>
    </row>
    <row r="6888" spans="1:7">
      <c r="A6888">
        <v>6887</v>
      </c>
      <c r="B6888" t="str">
        <f>"007885"</f>
        <v>0</v>
      </c>
      <c r="C6888" t="s">
        <v>10898</v>
      </c>
      <c r="D6888" t="s">
        <v>10899</v>
      </c>
      <c r="E6888" t="str">
        <f>"3540400409721"</f>
        <v>0</v>
      </c>
      <c r="F6888" t="str">
        <f>"001230"</f>
        <v>0</v>
      </c>
      <c r="G6888" t="s">
        <v>21</v>
      </c>
    </row>
    <row r="6889" spans="1:7">
      <c r="A6889">
        <v>6888</v>
      </c>
      <c r="B6889" t="str">
        <f>"007996"</f>
        <v>0</v>
      </c>
      <c r="C6889" t="s">
        <v>2824</v>
      </c>
      <c r="D6889" t="s">
        <v>10900</v>
      </c>
      <c r="E6889" t="str">
        <f>"3540300420811"</f>
        <v>0</v>
      </c>
      <c r="F6889" t="str">
        <f>"001230"</f>
        <v>0</v>
      </c>
      <c r="G6889" t="s">
        <v>21</v>
      </c>
    </row>
    <row r="6890" spans="1:7">
      <c r="A6890">
        <v>6889</v>
      </c>
      <c r="B6890" t="str">
        <f>"008011"</f>
        <v>0</v>
      </c>
      <c r="C6890" t="s">
        <v>10901</v>
      </c>
      <c r="D6890" t="s">
        <v>10902</v>
      </c>
      <c r="E6890" t="str">
        <f>"3540400588498"</f>
        <v>0</v>
      </c>
      <c r="F6890" t="str">
        <f>"001230"</f>
        <v>0</v>
      </c>
      <c r="G6890" t="s">
        <v>21</v>
      </c>
    </row>
    <row r="6891" spans="1:7">
      <c r="A6891">
        <v>6890</v>
      </c>
      <c r="B6891" t="str">
        <f>"008198"</f>
        <v>0</v>
      </c>
      <c r="C6891" t="s">
        <v>2601</v>
      </c>
      <c r="D6891" t="s">
        <v>10903</v>
      </c>
      <c r="E6891" t="str">
        <f>"3540300176694"</f>
        <v>0</v>
      </c>
      <c r="F6891" t="str">
        <f>"001230"</f>
        <v>0</v>
      </c>
      <c r="G6891" t="s">
        <v>21</v>
      </c>
    </row>
    <row r="6892" spans="1:7">
      <c r="A6892">
        <v>6891</v>
      </c>
      <c r="B6892" t="str">
        <f>"008285"</f>
        <v>0</v>
      </c>
      <c r="C6892" t="s">
        <v>10904</v>
      </c>
      <c r="D6892" t="s">
        <v>10905</v>
      </c>
      <c r="E6892" t="str">
        <f>"3540100915701"</f>
        <v>0</v>
      </c>
      <c r="F6892" t="str">
        <f>"001230"</f>
        <v>0</v>
      </c>
      <c r="G6892" t="s">
        <v>21</v>
      </c>
    </row>
    <row r="6893" spans="1:7">
      <c r="A6893">
        <v>6892</v>
      </c>
      <c r="B6893" t="str">
        <f>"008401"</f>
        <v>0</v>
      </c>
      <c r="C6893" t="s">
        <v>299</v>
      </c>
      <c r="D6893" t="s">
        <v>10906</v>
      </c>
      <c r="E6893" t="str">
        <f>"5530290004981"</f>
        <v>0</v>
      </c>
      <c r="F6893" t="str">
        <f>"001230"</f>
        <v>0</v>
      </c>
      <c r="G6893" t="s">
        <v>21</v>
      </c>
    </row>
    <row r="6894" spans="1:7">
      <c r="A6894">
        <v>6893</v>
      </c>
      <c r="B6894" t="str">
        <f>"008406"</f>
        <v>0</v>
      </c>
      <c r="C6894" t="s">
        <v>655</v>
      </c>
      <c r="D6894" t="s">
        <v>10907</v>
      </c>
      <c r="E6894" t="str">
        <f>"3540400265877"</f>
        <v>0</v>
      </c>
      <c r="F6894" t="str">
        <f>"001230"</f>
        <v>0</v>
      </c>
      <c r="G6894" t="s">
        <v>21</v>
      </c>
    </row>
    <row r="6895" spans="1:7">
      <c r="A6895">
        <v>6894</v>
      </c>
      <c r="B6895" t="str">
        <f>"008656"</f>
        <v>0</v>
      </c>
      <c r="C6895" t="s">
        <v>10908</v>
      </c>
      <c r="D6895" t="s">
        <v>5138</v>
      </c>
      <c r="E6895" t="str">
        <f>"3530800122623"</f>
        <v>0</v>
      </c>
      <c r="F6895" t="str">
        <f>"001230"</f>
        <v>0</v>
      </c>
      <c r="G6895" t="s">
        <v>21</v>
      </c>
    </row>
    <row r="6896" spans="1:7">
      <c r="A6896">
        <v>6895</v>
      </c>
      <c r="B6896" t="str">
        <f>"008789"</f>
        <v>0</v>
      </c>
      <c r="C6896" t="s">
        <v>48</v>
      </c>
      <c r="D6896" t="s">
        <v>10909</v>
      </c>
      <c r="E6896" t="str">
        <f>"3520400099381"</f>
        <v>0</v>
      </c>
      <c r="F6896" t="str">
        <f>"001230"</f>
        <v>0</v>
      </c>
      <c r="G6896" t="s">
        <v>21</v>
      </c>
    </row>
    <row r="6897" spans="1:7">
      <c r="A6897">
        <v>6896</v>
      </c>
      <c r="B6897" t="str">
        <f>"008791"</f>
        <v>0</v>
      </c>
      <c r="C6897" t="s">
        <v>8857</v>
      </c>
      <c r="D6897" t="s">
        <v>10910</v>
      </c>
      <c r="E6897" t="str">
        <f>"3570700518258"</f>
        <v>0</v>
      </c>
      <c r="F6897" t="str">
        <f>"001230"</f>
        <v>0</v>
      </c>
      <c r="G6897" t="s">
        <v>21</v>
      </c>
    </row>
    <row r="6898" spans="1:7">
      <c r="A6898">
        <v>6897</v>
      </c>
      <c r="B6898" t="str">
        <f>"008815"</f>
        <v>0</v>
      </c>
      <c r="C6898" t="s">
        <v>460</v>
      </c>
      <c r="D6898" t="s">
        <v>10911</v>
      </c>
      <c r="E6898" t="str">
        <f>"3540200671847"</f>
        <v>0</v>
      </c>
      <c r="F6898" t="str">
        <f>"001230"</f>
        <v>0</v>
      </c>
      <c r="G6898" t="s">
        <v>21</v>
      </c>
    </row>
    <row r="6899" spans="1:7">
      <c r="A6899">
        <v>6898</v>
      </c>
      <c r="B6899" t="str">
        <f>"008895"</f>
        <v>0</v>
      </c>
      <c r="C6899" t="s">
        <v>10912</v>
      </c>
      <c r="D6899" t="s">
        <v>10913</v>
      </c>
      <c r="E6899" t="str">
        <f>"3549900096894"</f>
        <v>0</v>
      </c>
      <c r="F6899" t="str">
        <f>"001230"</f>
        <v>0</v>
      </c>
      <c r="G6899" t="s">
        <v>21</v>
      </c>
    </row>
    <row r="6900" spans="1:7">
      <c r="A6900">
        <v>6899</v>
      </c>
      <c r="B6900" t="str">
        <f>"008897"</f>
        <v>0</v>
      </c>
      <c r="C6900" t="s">
        <v>686</v>
      </c>
      <c r="D6900" t="s">
        <v>10913</v>
      </c>
      <c r="E6900" t="str">
        <f>"3540400271451"</f>
        <v>0</v>
      </c>
      <c r="F6900" t="str">
        <f>"001230"</f>
        <v>0</v>
      </c>
      <c r="G6900" t="s">
        <v>21</v>
      </c>
    </row>
    <row r="6901" spans="1:7">
      <c r="A6901">
        <v>6900</v>
      </c>
      <c r="B6901" t="str">
        <f>"008943"</f>
        <v>0</v>
      </c>
      <c r="C6901" t="s">
        <v>7317</v>
      </c>
      <c r="D6901" t="s">
        <v>10914</v>
      </c>
      <c r="E6901" t="str">
        <f>"3570700698566"</f>
        <v>0</v>
      </c>
      <c r="F6901" t="str">
        <f>"001230"</f>
        <v>0</v>
      </c>
      <c r="G6901" t="s">
        <v>21</v>
      </c>
    </row>
    <row r="6902" spans="1:7">
      <c r="A6902">
        <v>6901</v>
      </c>
      <c r="B6902" t="str">
        <f>"008953"</f>
        <v>0</v>
      </c>
      <c r="C6902" t="s">
        <v>10915</v>
      </c>
      <c r="D6902" t="s">
        <v>10916</v>
      </c>
      <c r="E6902" t="str">
        <f>"3549900120141"</f>
        <v>0</v>
      </c>
      <c r="F6902" t="str">
        <f>"001230"</f>
        <v>0</v>
      </c>
      <c r="G6902" t="s">
        <v>21</v>
      </c>
    </row>
    <row r="6903" spans="1:7">
      <c r="A6903">
        <v>6902</v>
      </c>
      <c r="B6903" t="str">
        <f>"009163"</f>
        <v>0</v>
      </c>
      <c r="C6903" t="s">
        <v>10917</v>
      </c>
      <c r="D6903" t="s">
        <v>10918</v>
      </c>
      <c r="E6903" t="str">
        <f>"3560300288867"</f>
        <v>0</v>
      </c>
      <c r="F6903" t="str">
        <f>"001230"</f>
        <v>0</v>
      </c>
      <c r="G6903" t="s">
        <v>21</v>
      </c>
    </row>
    <row r="6904" spans="1:7">
      <c r="A6904">
        <v>6903</v>
      </c>
      <c r="B6904" t="str">
        <f>"009236"</f>
        <v>0</v>
      </c>
      <c r="C6904" t="s">
        <v>10919</v>
      </c>
      <c r="D6904" t="s">
        <v>8534</v>
      </c>
      <c r="E6904" t="str">
        <f>"4310700002111"</f>
        <v>0</v>
      </c>
      <c r="F6904" t="str">
        <f>"001230"</f>
        <v>0</v>
      </c>
      <c r="G6904" t="s">
        <v>21</v>
      </c>
    </row>
    <row r="6905" spans="1:7">
      <c r="A6905">
        <v>6904</v>
      </c>
      <c r="B6905" t="str">
        <f>"009316"</f>
        <v>0</v>
      </c>
      <c r="C6905" t="s">
        <v>4435</v>
      </c>
      <c r="D6905" t="s">
        <v>10304</v>
      </c>
      <c r="E6905" t="str">
        <f>"3549900199715"</f>
        <v>0</v>
      </c>
      <c r="F6905" t="str">
        <f>"001230"</f>
        <v>0</v>
      </c>
      <c r="G6905" t="s">
        <v>21</v>
      </c>
    </row>
    <row r="6906" spans="1:7">
      <c r="A6906">
        <v>6905</v>
      </c>
      <c r="B6906" t="str">
        <f>"009588"</f>
        <v>0</v>
      </c>
      <c r="C6906" t="s">
        <v>10920</v>
      </c>
      <c r="D6906" t="s">
        <v>10921</v>
      </c>
      <c r="E6906" t="str">
        <f>"3630400222859"</f>
        <v>0</v>
      </c>
      <c r="F6906" t="str">
        <f>"001230"</f>
        <v>0</v>
      </c>
      <c r="G6906" t="s">
        <v>21</v>
      </c>
    </row>
    <row r="6907" spans="1:7">
      <c r="A6907">
        <v>6906</v>
      </c>
      <c r="B6907" t="str">
        <f>"009628"</f>
        <v>0</v>
      </c>
      <c r="C6907" t="s">
        <v>3548</v>
      </c>
      <c r="D6907" t="s">
        <v>10922</v>
      </c>
      <c r="E6907" t="str">
        <f>"3510100051189"</f>
        <v>0</v>
      </c>
      <c r="F6907" t="str">
        <f>"001230"</f>
        <v>0</v>
      </c>
      <c r="G6907" t="s">
        <v>21</v>
      </c>
    </row>
    <row r="6908" spans="1:7">
      <c r="A6908">
        <v>6907</v>
      </c>
      <c r="B6908" t="str">
        <f>"009837"</f>
        <v>0</v>
      </c>
      <c r="C6908" t="s">
        <v>10923</v>
      </c>
      <c r="D6908" t="s">
        <v>10924</v>
      </c>
      <c r="E6908" t="str">
        <f>"5530700003335"</f>
        <v>0</v>
      </c>
      <c r="F6908" t="str">
        <f>"001230"</f>
        <v>0</v>
      </c>
      <c r="G6908" t="s">
        <v>21</v>
      </c>
    </row>
    <row r="6909" spans="1:7">
      <c r="A6909">
        <v>6908</v>
      </c>
      <c r="B6909" t="str">
        <f>"009849"</f>
        <v>0</v>
      </c>
      <c r="C6909" t="s">
        <v>10925</v>
      </c>
      <c r="D6909" t="s">
        <v>10926</v>
      </c>
      <c r="E6909" t="str">
        <f>"3540200269135"</f>
        <v>0</v>
      </c>
      <c r="F6909" t="str">
        <f>"001230"</f>
        <v>0</v>
      </c>
      <c r="G6909" t="s">
        <v>21</v>
      </c>
    </row>
    <row r="6910" spans="1:7">
      <c r="A6910">
        <v>6909</v>
      </c>
      <c r="B6910" t="str">
        <f>"009944"</f>
        <v>0</v>
      </c>
      <c r="C6910" t="s">
        <v>10053</v>
      </c>
      <c r="D6910" t="s">
        <v>10927</v>
      </c>
      <c r="E6910" t="str">
        <f>"3650500052599"</f>
        <v>0</v>
      </c>
      <c r="F6910" t="str">
        <f>"001230"</f>
        <v>0</v>
      </c>
      <c r="G6910" t="s">
        <v>21</v>
      </c>
    </row>
    <row r="6911" spans="1:7">
      <c r="A6911">
        <v>6910</v>
      </c>
      <c r="B6911" t="str">
        <f>"011017"</f>
        <v>0</v>
      </c>
      <c r="C6911" t="s">
        <v>3620</v>
      </c>
      <c r="D6911" t="s">
        <v>10928</v>
      </c>
      <c r="E6911" t="str">
        <f>"3540200502441"</f>
        <v>0</v>
      </c>
      <c r="F6911" t="str">
        <f>"001230"</f>
        <v>0</v>
      </c>
      <c r="G6911" t="s">
        <v>21</v>
      </c>
    </row>
    <row r="6912" spans="1:7">
      <c r="A6912">
        <v>6911</v>
      </c>
      <c r="B6912" t="str">
        <f>"011353"</f>
        <v>0</v>
      </c>
      <c r="C6912" t="s">
        <v>3821</v>
      </c>
      <c r="D6912" t="s">
        <v>10929</v>
      </c>
      <c r="E6912" t="str">
        <f>"3570800079175"</f>
        <v>0</v>
      </c>
      <c r="F6912" t="str">
        <f>"001230"</f>
        <v>0</v>
      </c>
      <c r="G6912" t="s">
        <v>21</v>
      </c>
    </row>
    <row r="6913" spans="1:7">
      <c r="A6913">
        <v>6912</v>
      </c>
      <c r="B6913" t="str">
        <f>"011493"</f>
        <v>0</v>
      </c>
      <c r="C6913" t="s">
        <v>10930</v>
      </c>
      <c r="D6913" t="s">
        <v>10931</v>
      </c>
      <c r="E6913" t="str">
        <f>"3549900134249"</f>
        <v>0</v>
      </c>
      <c r="F6913" t="str">
        <f>"001230"</f>
        <v>0</v>
      </c>
      <c r="G6913" t="s">
        <v>21</v>
      </c>
    </row>
    <row r="6914" spans="1:7">
      <c r="A6914">
        <v>6913</v>
      </c>
      <c r="B6914" t="str">
        <f>"011501"</f>
        <v>0</v>
      </c>
      <c r="C6914" t="s">
        <v>10792</v>
      </c>
      <c r="D6914" t="s">
        <v>10932</v>
      </c>
      <c r="E6914" t="str">
        <f>"3540100788793"</f>
        <v>0</v>
      </c>
      <c r="F6914" t="str">
        <f>"001230"</f>
        <v>0</v>
      </c>
      <c r="G6914" t="s">
        <v>21</v>
      </c>
    </row>
    <row r="6915" spans="1:7">
      <c r="A6915">
        <v>6914</v>
      </c>
      <c r="B6915" t="str">
        <f>"012073"</f>
        <v>0</v>
      </c>
      <c r="C6915" t="s">
        <v>10933</v>
      </c>
      <c r="D6915" t="s">
        <v>1018</v>
      </c>
      <c r="E6915" t="str">
        <f>"3520300393032"</f>
        <v>0</v>
      </c>
      <c r="F6915" t="str">
        <f>"001230"</f>
        <v>0</v>
      </c>
      <c r="G6915" t="s">
        <v>21</v>
      </c>
    </row>
    <row r="6916" spans="1:7">
      <c r="A6916">
        <v>6915</v>
      </c>
      <c r="B6916" t="str">
        <f>"012341"</f>
        <v>0</v>
      </c>
      <c r="C6916" t="s">
        <v>10934</v>
      </c>
      <c r="D6916" t="s">
        <v>10935</v>
      </c>
      <c r="E6916" t="str">
        <f>"3540600242005"</f>
        <v>0</v>
      </c>
      <c r="F6916" t="str">
        <f>"001230"</f>
        <v>0</v>
      </c>
      <c r="G6916" t="s">
        <v>21</v>
      </c>
    </row>
    <row r="6917" spans="1:7">
      <c r="A6917">
        <v>6916</v>
      </c>
      <c r="B6917" t="str">
        <f>"012585"</f>
        <v>0</v>
      </c>
      <c r="C6917" t="s">
        <v>525</v>
      </c>
      <c r="D6917" t="s">
        <v>10936</v>
      </c>
      <c r="E6917" t="str">
        <f>"3540400336006"</f>
        <v>0</v>
      </c>
      <c r="F6917" t="str">
        <f>"001230"</f>
        <v>0</v>
      </c>
      <c r="G6917" t="s">
        <v>21</v>
      </c>
    </row>
    <row r="6918" spans="1:7">
      <c r="A6918">
        <v>6917</v>
      </c>
      <c r="B6918" t="str">
        <f>"012586"</f>
        <v>0</v>
      </c>
      <c r="C6918" t="s">
        <v>2076</v>
      </c>
      <c r="D6918" t="s">
        <v>10936</v>
      </c>
      <c r="E6918" t="str">
        <f>"3540700135642"</f>
        <v>0</v>
      </c>
      <c r="F6918" t="str">
        <f>"001230"</f>
        <v>0</v>
      </c>
      <c r="G6918" t="s">
        <v>21</v>
      </c>
    </row>
    <row r="6919" spans="1:7">
      <c r="A6919">
        <v>6918</v>
      </c>
      <c r="B6919" t="str">
        <f>"013396"</f>
        <v>0</v>
      </c>
      <c r="C6919" t="s">
        <v>10937</v>
      </c>
      <c r="D6919" t="s">
        <v>10938</v>
      </c>
      <c r="E6919" t="str">
        <f>"3540200637797"</f>
        <v>0</v>
      </c>
      <c r="F6919" t="str">
        <f>"001230"</f>
        <v>0</v>
      </c>
      <c r="G6919" t="s">
        <v>21</v>
      </c>
    </row>
    <row r="6920" spans="1:7">
      <c r="A6920">
        <v>6919</v>
      </c>
      <c r="B6920" t="str">
        <f>"014136"</f>
        <v>0</v>
      </c>
      <c r="C6920" t="s">
        <v>10939</v>
      </c>
      <c r="D6920" t="s">
        <v>5159</v>
      </c>
      <c r="E6920" t="str">
        <f>"3560400127938"</f>
        <v>0</v>
      </c>
      <c r="F6920" t="str">
        <f>"001230"</f>
        <v>0</v>
      </c>
      <c r="G6920" t="s">
        <v>21</v>
      </c>
    </row>
    <row r="6921" spans="1:7">
      <c r="A6921">
        <v>6920</v>
      </c>
      <c r="B6921" t="str">
        <f>"014337"</f>
        <v>0</v>
      </c>
      <c r="C6921" t="s">
        <v>10467</v>
      </c>
      <c r="D6921" t="s">
        <v>10940</v>
      </c>
      <c r="E6921" t="str">
        <f>"3540600163920"</f>
        <v>0</v>
      </c>
      <c r="F6921" t="str">
        <f>"001230"</f>
        <v>0</v>
      </c>
      <c r="G6921" t="s">
        <v>21</v>
      </c>
    </row>
    <row r="6922" spans="1:7">
      <c r="A6922">
        <v>6921</v>
      </c>
      <c r="B6922" t="str">
        <f>"014457"</f>
        <v>0</v>
      </c>
      <c r="C6922" t="s">
        <v>10941</v>
      </c>
      <c r="D6922" t="s">
        <v>10942</v>
      </c>
      <c r="E6922" t="str">
        <f>"3440800819854"</f>
        <v>0</v>
      </c>
      <c r="F6922" t="str">
        <f>"001230"</f>
        <v>0</v>
      </c>
      <c r="G6922" t="s">
        <v>21</v>
      </c>
    </row>
    <row r="6923" spans="1:7">
      <c r="A6923">
        <v>6922</v>
      </c>
      <c r="B6923" t="str">
        <f>"015952"</f>
        <v>0</v>
      </c>
      <c r="C6923" t="s">
        <v>10943</v>
      </c>
      <c r="D6923" t="s">
        <v>10944</v>
      </c>
      <c r="E6923" t="str">
        <f>"3500200487621"</f>
        <v>0</v>
      </c>
      <c r="F6923" t="str">
        <f>"001230"</f>
        <v>0</v>
      </c>
      <c r="G6923" t="s">
        <v>21</v>
      </c>
    </row>
    <row r="6924" spans="1:7">
      <c r="A6924">
        <v>6923</v>
      </c>
      <c r="B6924" t="str">
        <f>"015953"</f>
        <v>0</v>
      </c>
      <c r="C6924" t="s">
        <v>10945</v>
      </c>
      <c r="D6924" t="s">
        <v>10946</v>
      </c>
      <c r="E6924" t="str">
        <f>"3570700519149"</f>
        <v>0</v>
      </c>
      <c r="F6924" t="str">
        <f>"001230"</f>
        <v>0</v>
      </c>
      <c r="G6924" t="s">
        <v>21</v>
      </c>
    </row>
    <row r="6925" spans="1:7">
      <c r="A6925">
        <v>6924</v>
      </c>
      <c r="B6925" t="str">
        <f>"016282"</f>
        <v>0</v>
      </c>
      <c r="C6925" t="s">
        <v>590</v>
      </c>
      <c r="D6925" t="s">
        <v>10947</v>
      </c>
      <c r="E6925" t="str">
        <f>"3540600099512"</f>
        <v>0</v>
      </c>
      <c r="F6925" t="str">
        <f>"001230"</f>
        <v>0</v>
      </c>
      <c r="G6925" t="s">
        <v>21</v>
      </c>
    </row>
    <row r="6926" spans="1:7">
      <c r="A6926">
        <v>6925</v>
      </c>
      <c r="B6926" t="str">
        <f>"019181"</f>
        <v>0</v>
      </c>
      <c r="C6926" t="s">
        <v>2349</v>
      </c>
      <c r="D6926" t="s">
        <v>10948</v>
      </c>
      <c r="E6926" t="str">
        <f>"3540600189261"</f>
        <v>0</v>
      </c>
      <c r="F6926" t="str">
        <f>"001230"</f>
        <v>0</v>
      </c>
      <c r="G6926" t="s">
        <v>21</v>
      </c>
    </row>
    <row r="6927" spans="1:7">
      <c r="A6927">
        <v>6926</v>
      </c>
      <c r="B6927" t="str">
        <f>"020063"</f>
        <v>0</v>
      </c>
      <c r="C6927" t="s">
        <v>2076</v>
      </c>
      <c r="D6927" t="s">
        <v>10949</v>
      </c>
      <c r="E6927" t="str">
        <f>"3550700109331"</f>
        <v>0</v>
      </c>
      <c r="F6927" t="str">
        <f>"001230"</f>
        <v>0</v>
      </c>
      <c r="G6927" t="s">
        <v>21</v>
      </c>
    </row>
    <row r="6928" spans="1:7">
      <c r="A6928">
        <v>6927</v>
      </c>
      <c r="B6928" t="str">
        <f>"025934"</f>
        <v>0</v>
      </c>
      <c r="C6928" t="s">
        <v>8707</v>
      </c>
      <c r="D6928" t="s">
        <v>10950</v>
      </c>
      <c r="E6928" t="str">
        <f>"5530800005186"</f>
        <v>0</v>
      </c>
      <c r="F6928" t="str">
        <f>"001230"</f>
        <v>0</v>
      </c>
      <c r="G6928" t="s">
        <v>21</v>
      </c>
    </row>
    <row r="6929" spans="1:7">
      <c r="A6929">
        <v>6928</v>
      </c>
      <c r="B6929" t="str">
        <f>"026515"</f>
        <v>0</v>
      </c>
      <c r="C6929" t="s">
        <v>8707</v>
      </c>
      <c r="D6929" t="s">
        <v>8090</v>
      </c>
      <c r="E6929" t="str">
        <f>"3660700027890"</f>
        <v>0</v>
      </c>
      <c r="F6929" t="str">
        <f>"001230"</f>
        <v>0</v>
      </c>
      <c r="G6929" t="s">
        <v>21</v>
      </c>
    </row>
    <row r="6930" spans="1:7">
      <c r="A6930">
        <v>6929</v>
      </c>
      <c r="B6930" t="str">
        <f>"027040"</f>
        <v>0</v>
      </c>
      <c r="C6930" t="s">
        <v>474</v>
      </c>
      <c r="D6930" t="s">
        <v>10951</v>
      </c>
      <c r="E6930" t="str">
        <f>"3570101372051"</f>
        <v>0</v>
      </c>
      <c r="F6930" t="str">
        <f>"001230"</f>
        <v>0</v>
      </c>
      <c r="G6930" t="s">
        <v>21</v>
      </c>
    </row>
    <row r="6931" spans="1:7">
      <c r="A6931">
        <v>6930</v>
      </c>
      <c r="B6931" t="str">
        <f>"007411"</f>
        <v>0</v>
      </c>
      <c r="C6931" t="s">
        <v>10952</v>
      </c>
      <c r="D6931" t="s">
        <v>10953</v>
      </c>
      <c r="E6931" t="str">
        <f>"3540400547848"</f>
        <v>0</v>
      </c>
      <c r="F6931" t="str">
        <f>"001230"</f>
        <v>0</v>
      </c>
      <c r="G6931" t="s">
        <v>21</v>
      </c>
    </row>
    <row r="6932" spans="1:7">
      <c r="A6932">
        <v>6931</v>
      </c>
      <c r="B6932" t="str">
        <f>"021790"</f>
        <v>0</v>
      </c>
      <c r="C6932" t="s">
        <v>10954</v>
      </c>
      <c r="D6932" t="s">
        <v>10955</v>
      </c>
      <c r="E6932" t="str">
        <f>"5330400088817"</f>
        <v>0</v>
      </c>
      <c r="F6932" t="str">
        <f>"001230"</f>
        <v>0</v>
      </c>
      <c r="G6932" t="s">
        <v>21</v>
      </c>
    </row>
    <row r="6933" spans="1:7">
      <c r="A6933">
        <v>6932</v>
      </c>
      <c r="B6933" t="str">
        <f>"021211"</f>
        <v>0</v>
      </c>
      <c r="C6933" t="s">
        <v>10641</v>
      </c>
      <c r="D6933" t="s">
        <v>10956</v>
      </c>
      <c r="E6933" t="str">
        <f>"3540400394138"</f>
        <v>0</v>
      </c>
      <c r="F6933" t="str">
        <f>"001230"</f>
        <v>0</v>
      </c>
      <c r="G6933" t="s">
        <v>21</v>
      </c>
    </row>
    <row r="6934" spans="1:7">
      <c r="A6934">
        <v>6933</v>
      </c>
      <c r="B6934" t="str">
        <f>"023113"</f>
        <v>0</v>
      </c>
      <c r="C6934" t="s">
        <v>10957</v>
      </c>
      <c r="D6934" t="s">
        <v>10958</v>
      </c>
      <c r="E6934" t="str">
        <f>"3509901071313"</f>
        <v>0</v>
      </c>
      <c r="F6934" t="str">
        <f>"001230"</f>
        <v>0</v>
      </c>
      <c r="G6934" t="s">
        <v>21</v>
      </c>
    </row>
    <row r="6935" spans="1:7">
      <c r="A6935">
        <v>6934</v>
      </c>
      <c r="B6935" t="str">
        <f>"023530"</f>
        <v>0</v>
      </c>
      <c r="C6935" t="s">
        <v>10959</v>
      </c>
      <c r="D6935" t="s">
        <v>10960</v>
      </c>
      <c r="E6935" t="str">
        <f>"3520101281145"</f>
        <v>0</v>
      </c>
      <c r="F6935" t="str">
        <f>"001230"</f>
        <v>0</v>
      </c>
      <c r="G6935" t="s">
        <v>21</v>
      </c>
    </row>
    <row r="6936" spans="1:7">
      <c r="A6936">
        <v>6935</v>
      </c>
      <c r="B6936" t="str">
        <f>"024460"</f>
        <v>0</v>
      </c>
      <c r="C6936" t="s">
        <v>4488</v>
      </c>
      <c r="D6936" t="s">
        <v>10961</v>
      </c>
      <c r="E6936" t="str">
        <f>"1500500076000"</f>
        <v>0</v>
      </c>
      <c r="F6936" t="str">
        <f>"001230"</f>
        <v>0</v>
      </c>
      <c r="G6936" t="s">
        <v>21</v>
      </c>
    </row>
    <row r="6937" spans="1:7">
      <c r="A6937">
        <v>6936</v>
      </c>
      <c r="B6937" t="str">
        <f>"024645"</f>
        <v>0</v>
      </c>
      <c r="C6937" t="s">
        <v>10962</v>
      </c>
      <c r="D6937" t="s">
        <v>10963</v>
      </c>
      <c r="E6937" t="str">
        <f>"1500900082066"</f>
        <v>0</v>
      </c>
      <c r="F6937" t="str">
        <f>"001230"</f>
        <v>0</v>
      </c>
      <c r="G6937" t="s">
        <v>21</v>
      </c>
    </row>
    <row r="6938" spans="1:7">
      <c r="A6938">
        <v>6937</v>
      </c>
      <c r="B6938" t="str">
        <f>"024836"</f>
        <v>0</v>
      </c>
      <c r="C6938" t="s">
        <v>10964</v>
      </c>
      <c r="D6938" t="s">
        <v>10965</v>
      </c>
      <c r="E6938" t="str">
        <f>"3500500348138"</f>
        <v>0</v>
      </c>
      <c r="F6938" t="str">
        <f>"001230"</f>
        <v>0</v>
      </c>
      <c r="G6938" t="s">
        <v>21</v>
      </c>
    </row>
    <row r="6939" spans="1:7">
      <c r="A6939">
        <v>6938</v>
      </c>
      <c r="B6939" t="str">
        <f>"026379"</f>
        <v>0</v>
      </c>
      <c r="C6939" t="s">
        <v>5473</v>
      </c>
      <c r="D6939" t="s">
        <v>10966</v>
      </c>
      <c r="E6939" t="str">
        <f>"1103701156872"</f>
        <v>0</v>
      </c>
      <c r="F6939" t="str">
        <f>"001230"</f>
        <v>0</v>
      </c>
      <c r="G6939" t="s">
        <v>21</v>
      </c>
    </row>
    <row r="6940" spans="1:7">
      <c r="A6940">
        <v>6939</v>
      </c>
      <c r="B6940" t="str">
        <f>"022557"</f>
        <v>0</v>
      </c>
      <c r="C6940" t="s">
        <v>10967</v>
      </c>
      <c r="D6940" t="s">
        <v>10968</v>
      </c>
      <c r="E6940" t="str">
        <f>"3520800068831"</f>
        <v>0</v>
      </c>
      <c r="F6940" t="str">
        <f>"001230"</f>
        <v>0</v>
      </c>
      <c r="G6940" t="s">
        <v>21</v>
      </c>
    </row>
    <row r="6941" spans="1:7">
      <c r="A6941">
        <v>6940</v>
      </c>
      <c r="B6941" t="str">
        <f>"024829"</f>
        <v>0</v>
      </c>
      <c r="C6941" t="s">
        <v>10969</v>
      </c>
      <c r="D6941" t="s">
        <v>10970</v>
      </c>
      <c r="E6941" t="str">
        <f>"1529900276195"</f>
        <v>0</v>
      </c>
      <c r="F6941" t="str">
        <f>"001230"</f>
        <v>0</v>
      </c>
      <c r="G6941" t="s">
        <v>21</v>
      </c>
    </row>
    <row r="6942" spans="1:7">
      <c r="A6942">
        <v>6941</v>
      </c>
      <c r="B6942" t="str">
        <f>"026380"</f>
        <v>0</v>
      </c>
      <c r="C6942" t="s">
        <v>10971</v>
      </c>
      <c r="D6942" t="s">
        <v>10972</v>
      </c>
      <c r="E6942" t="str">
        <f>"1529900497329"</f>
        <v>0</v>
      </c>
      <c r="F6942" t="str">
        <f>"001230"</f>
        <v>0</v>
      </c>
      <c r="G6942" t="s">
        <v>21</v>
      </c>
    </row>
    <row r="6943" spans="1:7">
      <c r="A6943">
        <v>6942</v>
      </c>
      <c r="B6943" t="str">
        <f>"008607"</f>
        <v>0</v>
      </c>
      <c r="C6943" t="s">
        <v>10973</v>
      </c>
      <c r="D6943" t="s">
        <v>10974</v>
      </c>
      <c r="E6943" t="str">
        <f>"3540100998330"</f>
        <v>0</v>
      </c>
      <c r="F6943" t="str">
        <f>"001230"</f>
        <v>0</v>
      </c>
      <c r="G6943" t="s">
        <v>21</v>
      </c>
    </row>
    <row r="6944" spans="1:7">
      <c r="A6944">
        <v>6943</v>
      </c>
      <c r="B6944" t="str">
        <f>"010010"</f>
        <v>0</v>
      </c>
      <c r="C6944" t="s">
        <v>10975</v>
      </c>
      <c r="D6944" t="s">
        <v>10976</v>
      </c>
      <c r="E6944" t="str">
        <f>"3540500090742"</f>
        <v>0</v>
      </c>
      <c r="F6944" t="str">
        <f>"001230"</f>
        <v>0</v>
      </c>
      <c r="G6944" t="s">
        <v>21</v>
      </c>
    </row>
    <row r="6945" spans="1:7">
      <c r="A6945">
        <v>6944</v>
      </c>
      <c r="B6945" t="str">
        <f>"013123"</f>
        <v>0</v>
      </c>
      <c r="C6945" t="s">
        <v>379</v>
      </c>
      <c r="D6945" t="s">
        <v>10977</v>
      </c>
      <c r="E6945" t="str">
        <f>"3500900723955"</f>
        <v>0</v>
      </c>
      <c r="F6945" t="str">
        <f>"001230"</f>
        <v>0</v>
      </c>
      <c r="G6945" t="s">
        <v>21</v>
      </c>
    </row>
    <row r="6946" spans="1:7">
      <c r="A6946">
        <v>6945</v>
      </c>
      <c r="B6946" t="str">
        <f>"013240"</f>
        <v>0</v>
      </c>
      <c r="C6946" t="s">
        <v>10978</v>
      </c>
      <c r="D6946" t="s">
        <v>10979</v>
      </c>
      <c r="E6946" t="str">
        <f>"3520800370660"</f>
        <v>0</v>
      </c>
      <c r="F6946" t="str">
        <f>"001230"</f>
        <v>0</v>
      </c>
      <c r="G6946" t="s">
        <v>21</v>
      </c>
    </row>
    <row r="6947" spans="1:7">
      <c r="A6947">
        <v>6946</v>
      </c>
      <c r="B6947" t="str">
        <f>"014660"</f>
        <v>0</v>
      </c>
      <c r="C6947" t="s">
        <v>10980</v>
      </c>
      <c r="D6947" t="s">
        <v>10981</v>
      </c>
      <c r="E6947" t="str">
        <f>"3360101341263"</f>
        <v>0</v>
      </c>
      <c r="F6947" t="str">
        <f>"001230"</f>
        <v>0</v>
      </c>
      <c r="G6947" t="s">
        <v>21</v>
      </c>
    </row>
    <row r="6948" spans="1:7">
      <c r="A6948">
        <v>6947</v>
      </c>
      <c r="B6948" t="str">
        <f>"017098"</f>
        <v>0</v>
      </c>
      <c r="C6948" t="s">
        <v>10982</v>
      </c>
      <c r="D6948" t="s">
        <v>10886</v>
      </c>
      <c r="E6948" t="str">
        <f>"3540100233686"</f>
        <v>0</v>
      </c>
      <c r="F6948" t="str">
        <f>"001230"</f>
        <v>0</v>
      </c>
      <c r="G6948" t="s">
        <v>21</v>
      </c>
    </row>
    <row r="6949" spans="1:7">
      <c r="A6949">
        <v>6948</v>
      </c>
      <c r="B6949" t="str">
        <f>"017681"</f>
        <v>0</v>
      </c>
      <c r="C6949" t="s">
        <v>10983</v>
      </c>
      <c r="D6949" t="s">
        <v>10984</v>
      </c>
      <c r="E6949" t="str">
        <f>"3549900190602"</f>
        <v>0</v>
      </c>
      <c r="F6949" t="str">
        <f>"001230"</f>
        <v>0</v>
      </c>
      <c r="G6949" t="s">
        <v>21</v>
      </c>
    </row>
    <row r="6950" spans="1:7">
      <c r="A6950">
        <v>6949</v>
      </c>
      <c r="B6950" t="str">
        <f>"019401"</f>
        <v>0</v>
      </c>
      <c r="C6950" t="s">
        <v>10985</v>
      </c>
      <c r="D6950" t="s">
        <v>10986</v>
      </c>
      <c r="E6950" t="str">
        <f>"3540400504570"</f>
        <v>0</v>
      </c>
      <c r="F6950" t="str">
        <f>"001230"</f>
        <v>0</v>
      </c>
      <c r="G6950" t="s">
        <v>21</v>
      </c>
    </row>
    <row r="6951" spans="1:7">
      <c r="A6951">
        <v>6950</v>
      </c>
      <c r="B6951" t="str">
        <f>"020764"</f>
        <v>0</v>
      </c>
      <c r="C6951" t="s">
        <v>10987</v>
      </c>
      <c r="D6951" t="s">
        <v>10988</v>
      </c>
      <c r="E6951" t="str">
        <f>"3540600143589"</f>
        <v>0</v>
      </c>
      <c r="F6951" t="str">
        <f>"001230"</f>
        <v>0</v>
      </c>
      <c r="G6951" t="s">
        <v>21</v>
      </c>
    </row>
    <row r="6952" spans="1:7">
      <c r="A6952">
        <v>6951</v>
      </c>
      <c r="B6952" t="str">
        <f>"020818"</f>
        <v>0</v>
      </c>
      <c r="C6952" t="s">
        <v>239</v>
      </c>
      <c r="D6952" t="s">
        <v>10989</v>
      </c>
      <c r="E6952" t="str">
        <f>"3540200466399"</f>
        <v>0</v>
      </c>
      <c r="F6952" t="str">
        <f>"001230"</f>
        <v>0</v>
      </c>
      <c r="G6952" t="s">
        <v>21</v>
      </c>
    </row>
    <row r="6953" spans="1:7">
      <c r="A6953">
        <v>6952</v>
      </c>
      <c r="B6953" t="str">
        <f>"022015"</f>
        <v>0</v>
      </c>
      <c r="C6953" t="s">
        <v>10990</v>
      </c>
      <c r="D6953" t="s">
        <v>10991</v>
      </c>
      <c r="E6953" t="str">
        <f>"3540400345978"</f>
        <v>0</v>
      </c>
      <c r="F6953" t="str">
        <f>"001230"</f>
        <v>0</v>
      </c>
      <c r="G6953" t="s">
        <v>21</v>
      </c>
    </row>
    <row r="6954" spans="1:7">
      <c r="A6954">
        <v>6953</v>
      </c>
      <c r="B6954" t="str">
        <f>"022160"</f>
        <v>0</v>
      </c>
      <c r="C6954" t="s">
        <v>1346</v>
      </c>
      <c r="D6954" t="s">
        <v>10992</v>
      </c>
      <c r="E6954" t="str">
        <f>"1549900097771"</f>
        <v>0</v>
      </c>
      <c r="F6954" t="str">
        <f>"001230"</f>
        <v>0</v>
      </c>
      <c r="G6954" t="s">
        <v>21</v>
      </c>
    </row>
    <row r="6955" spans="1:7">
      <c r="A6955">
        <v>6954</v>
      </c>
      <c r="B6955" t="str">
        <f>"022735"</f>
        <v>0</v>
      </c>
      <c r="C6955" t="s">
        <v>10993</v>
      </c>
      <c r="D6955" t="s">
        <v>10994</v>
      </c>
      <c r="E6955" t="str">
        <f>"1549900042241"</f>
        <v>0</v>
      </c>
      <c r="F6955" t="str">
        <f>"001230"</f>
        <v>0</v>
      </c>
      <c r="G6955" t="s">
        <v>21</v>
      </c>
    </row>
    <row r="6956" spans="1:7">
      <c r="A6956">
        <v>6955</v>
      </c>
      <c r="B6956" t="str">
        <f>"022855"</f>
        <v>0</v>
      </c>
      <c r="C6956" t="s">
        <v>10995</v>
      </c>
      <c r="D6956" t="s">
        <v>5095</v>
      </c>
      <c r="E6956" t="str">
        <f>"3520400168341"</f>
        <v>0</v>
      </c>
      <c r="F6956" t="str">
        <f>"001230"</f>
        <v>0</v>
      </c>
      <c r="G6956" t="s">
        <v>21</v>
      </c>
    </row>
    <row r="6957" spans="1:7">
      <c r="A6957">
        <v>6956</v>
      </c>
      <c r="B6957" t="str">
        <f>"022899"</f>
        <v>0</v>
      </c>
      <c r="C6957" t="s">
        <v>10996</v>
      </c>
      <c r="D6957" t="s">
        <v>7011</v>
      </c>
      <c r="E6957" t="str">
        <f>"3520400192586"</f>
        <v>0</v>
      </c>
      <c r="F6957" t="str">
        <f>"001230"</f>
        <v>0</v>
      </c>
      <c r="G6957" t="s">
        <v>21</v>
      </c>
    </row>
    <row r="6958" spans="1:7">
      <c r="A6958">
        <v>6957</v>
      </c>
      <c r="B6958" t="str">
        <f>"022959"</f>
        <v>0</v>
      </c>
      <c r="C6958" t="s">
        <v>10997</v>
      </c>
      <c r="D6958" t="s">
        <v>10998</v>
      </c>
      <c r="E6958" t="str">
        <f>"1549900097801"</f>
        <v>0</v>
      </c>
      <c r="F6958" t="str">
        <f>"001230"</f>
        <v>0</v>
      </c>
      <c r="G6958" t="s">
        <v>21</v>
      </c>
    </row>
    <row r="6959" spans="1:7">
      <c r="A6959">
        <v>6958</v>
      </c>
      <c r="B6959" t="str">
        <f>"023065"</f>
        <v>0</v>
      </c>
      <c r="C6959" t="s">
        <v>10999</v>
      </c>
      <c r="D6959" t="s">
        <v>11000</v>
      </c>
      <c r="E6959" t="str">
        <f>"1549900062853"</f>
        <v>0</v>
      </c>
      <c r="F6959" t="str">
        <f>"001230"</f>
        <v>0</v>
      </c>
      <c r="G6959" t="s">
        <v>21</v>
      </c>
    </row>
    <row r="6960" spans="1:7">
      <c r="A6960">
        <v>6959</v>
      </c>
      <c r="B6960" t="str">
        <f>"023097"</f>
        <v>0</v>
      </c>
      <c r="C6960" t="s">
        <v>11001</v>
      </c>
      <c r="D6960" t="s">
        <v>11002</v>
      </c>
      <c r="E6960" t="str">
        <f>"3540200139479"</f>
        <v>0</v>
      </c>
      <c r="F6960" t="str">
        <f>"001230"</f>
        <v>0</v>
      </c>
      <c r="G6960" t="s">
        <v>21</v>
      </c>
    </row>
    <row r="6961" spans="1:7">
      <c r="A6961">
        <v>6960</v>
      </c>
      <c r="B6961" t="str">
        <f>"023308"</f>
        <v>0</v>
      </c>
      <c r="C6961" t="s">
        <v>11003</v>
      </c>
      <c r="D6961" t="s">
        <v>11004</v>
      </c>
      <c r="E6961" t="str">
        <f>"3540400470497"</f>
        <v>0</v>
      </c>
      <c r="F6961" t="str">
        <f>"001230"</f>
        <v>0</v>
      </c>
      <c r="G6961" t="s">
        <v>21</v>
      </c>
    </row>
    <row r="6962" spans="1:7">
      <c r="A6962">
        <v>6961</v>
      </c>
      <c r="B6962" t="str">
        <f>"023549"</f>
        <v>0</v>
      </c>
      <c r="C6962" t="s">
        <v>11005</v>
      </c>
      <c r="D6962" t="s">
        <v>11006</v>
      </c>
      <c r="E6962" t="str">
        <f>"1529900181887"</f>
        <v>0</v>
      </c>
      <c r="F6962" t="str">
        <f>"001230"</f>
        <v>0</v>
      </c>
      <c r="G6962" t="s">
        <v>21</v>
      </c>
    </row>
    <row r="6963" spans="1:7">
      <c r="A6963">
        <v>6962</v>
      </c>
      <c r="B6963" t="str">
        <f>"023999"</f>
        <v>0</v>
      </c>
      <c r="C6963" t="s">
        <v>11007</v>
      </c>
      <c r="D6963" t="s">
        <v>11008</v>
      </c>
      <c r="E6963" t="str">
        <f>"1549900092124"</f>
        <v>0</v>
      </c>
      <c r="F6963" t="str">
        <f>"001230"</f>
        <v>0</v>
      </c>
      <c r="G6963" t="s">
        <v>21</v>
      </c>
    </row>
    <row r="6964" spans="1:7">
      <c r="A6964">
        <v>6963</v>
      </c>
      <c r="B6964" t="str">
        <f>"024017"</f>
        <v>0</v>
      </c>
      <c r="C6964" t="s">
        <v>8062</v>
      </c>
      <c r="D6964" t="s">
        <v>11009</v>
      </c>
      <c r="E6964" t="str">
        <f>"1549900002125"</f>
        <v>0</v>
      </c>
      <c r="F6964" t="str">
        <f>"001230"</f>
        <v>0</v>
      </c>
      <c r="G6964" t="s">
        <v>21</v>
      </c>
    </row>
    <row r="6965" spans="1:7">
      <c r="A6965">
        <v>6964</v>
      </c>
      <c r="B6965" t="str">
        <f>"024061"</f>
        <v>0</v>
      </c>
      <c r="C6965" t="s">
        <v>11010</v>
      </c>
      <c r="D6965" t="s">
        <v>11011</v>
      </c>
      <c r="E6965" t="str">
        <f>"1549900002460"</f>
        <v>0</v>
      </c>
      <c r="F6965" t="str">
        <f>"001230"</f>
        <v>0</v>
      </c>
      <c r="G6965" t="s">
        <v>21</v>
      </c>
    </row>
    <row r="6966" spans="1:7">
      <c r="A6966">
        <v>6965</v>
      </c>
      <c r="B6966" t="str">
        <f>"024252"</f>
        <v>0</v>
      </c>
      <c r="C6966" t="s">
        <v>9446</v>
      </c>
      <c r="D6966" t="s">
        <v>11012</v>
      </c>
      <c r="E6966" t="str">
        <f>"1549900113571"</f>
        <v>0</v>
      </c>
      <c r="F6966" t="str">
        <f>"001230"</f>
        <v>0</v>
      </c>
      <c r="G6966" t="s">
        <v>21</v>
      </c>
    </row>
    <row r="6967" spans="1:7">
      <c r="A6967">
        <v>6966</v>
      </c>
      <c r="B6967" t="str">
        <f>"024371"</f>
        <v>0</v>
      </c>
      <c r="C6967" t="s">
        <v>11013</v>
      </c>
      <c r="D6967" t="s">
        <v>11014</v>
      </c>
      <c r="E6967" t="str">
        <f>"1549900016240"</f>
        <v>0</v>
      </c>
      <c r="F6967" t="str">
        <f>"001230"</f>
        <v>0</v>
      </c>
      <c r="G6967" t="s">
        <v>21</v>
      </c>
    </row>
    <row r="6968" spans="1:7">
      <c r="A6968">
        <v>6967</v>
      </c>
      <c r="B6968" t="str">
        <f>"024824"</f>
        <v>0</v>
      </c>
      <c r="C6968" t="s">
        <v>11015</v>
      </c>
      <c r="D6968" t="s">
        <v>11016</v>
      </c>
      <c r="E6968" t="str">
        <f>"1509900116872"</f>
        <v>0</v>
      </c>
      <c r="F6968" t="str">
        <f>"001230"</f>
        <v>0</v>
      </c>
      <c r="G6968" t="s">
        <v>21</v>
      </c>
    </row>
    <row r="6969" spans="1:7">
      <c r="A6969">
        <v>6968</v>
      </c>
      <c r="B6969" t="str">
        <f>"024966"</f>
        <v>0</v>
      </c>
      <c r="C6969" t="s">
        <v>11017</v>
      </c>
      <c r="D6969" t="s">
        <v>11018</v>
      </c>
      <c r="E6969" t="str">
        <f>"3549900103211"</f>
        <v>0</v>
      </c>
      <c r="F6969" t="str">
        <f>"001230"</f>
        <v>0</v>
      </c>
      <c r="G6969" t="s">
        <v>21</v>
      </c>
    </row>
    <row r="6970" spans="1:7">
      <c r="A6970">
        <v>6969</v>
      </c>
      <c r="B6970" t="str">
        <f>"025359"</f>
        <v>0</v>
      </c>
      <c r="C6970" t="s">
        <v>11019</v>
      </c>
      <c r="D6970" t="s">
        <v>11020</v>
      </c>
      <c r="E6970" t="str">
        <f>"3540200158911"</f>
        <v>0</v>
      </c>
      <c r="F6970" t="str">
        <f>"001230"</f>
        <v>0</v>
      </c>
      <c r="G6970" t="s">
        <v>21</v>
      </c>
    </row>
    <row r="6971" spans="1:7">
      <c r="A6971">
        <v>6970</v>
      </c>
      <c r="B6971" t="str">
        <f>"025457"</f>
        <v>0</v>
      </c>
      <c r="C6971" t="s">
        <v>9619</v>
      </c>
      <c r="D6971" t="s">
        <v>11021</v>
      </c>
      <c r="E6971" t="str">
        <f>"2549900001488"</f>
        <v>0</v>
      </c>
      <c r="F6971" t="str">
        <f>"001230"</f>
        <v>0</v>
      </c>
      <c r="G6971" t="s">
        <v>21</v>
      </c>
    </row>
    <row r="6972" spans="1:7">
      <c r="A6972">
        <v>6971</v>
      </c>
      <c r="B6972" t="str">
        <f>"025626"</f>
        <v>0</v>
      </c>
      <c r="C6972" t="s">
        <v>11022</v>
      </c>
      <c r="D6972" t="s">
        <v>11023</v>
      </c>
      <c r="E6972" t="str">
        <f>"3540500074607"</f>
        <v>0</v>
      </c>
      <c r="F6972" t="str">
        <f>"001230"</f>
        <v>0</v>
      </c>
      <c r="G6972" t="s">
        <v>21</v>
      </c>
    </row>
    <row r="6973" spans="1:7">
      <c r="A6973">
        <v>6972</v>
      </c>
      <c r="B6973" t="str">
        <f>"026016"</f>
        <v>0</v>
      </c>
      <c r="C6973" t="s">
        <v>11024</v>
      </c>
      <c r="D6973" t="s">
        <v>11025</v>
      </c>
      <c r="E6973" t="str">
        <f>"1529900527538"</f>
        <v>0</v>
      </c>
      <c r="F6973" t="str">
        <f>"001230"</f>
        <v>0</v>
      </c>
      <c r="G6973" t="s">
        <v>21</v>
      </c>
    </row>
    <row r="6974" spans="1:7">
      <c r="A6974">
        <v>6973</v>
      </c>
      <c r="B6974" t="str">
        <f>"026177"</f>
        <v>0</v>
      </c>
      <c r="C6974" t="s">
        <v>11026</v>
      </c>
      <c r="D6974" t="s">
        <v>11027</v>
      </c>
      <c r="E6974" t="str">
        <f>"1549900087066"</f>
        <v>0</v>
      </c>
      <c r="F6974" t="str">
        <f>"001230"</f>
        <v>0</v>
      </c>
      <c r="G6974" t="s">
        <v>21</v>
      </c>
    </row>
    <row r="6975" spans="1:7">
      <c r="A6975">
        <v>6974</v>
      </c>
      <c r="B6975" t="str">
        <f>"026178"</f>
        <v>0</v>
      </c>
      <c r="C6975" t="s">
        <v>703</v>
      </c>
      <c r="D6975" t="s">
        <v>11028</v>
      </c>
      <c r="E6975" t="str">
        <f>"1549900050502"</f>
        <v>0</v>
      </c>
      <c r="F6975" t="str">
        <f>"001230"</f>
        <v>0</v>
      </c>
      <c r="G6975" t="s">
        <v>21</v>
      </c>
    </row>
    <row r="6976" spans="1:7">
      <c r="A6976">
        <v>6975</v>
      </c>
      <c r="B6976" t="str">
        <f>"026180"</f>
        <v>0</v>
      </c>
      <c r="C6976" t="s">
        <v>11029</v>
      </c>
      <c r="D6976" t="s">
        <v>11030</v>
      </c>
      <c r="E6976" t="str">
        <f>"3540100967086"</f>
        <v>0</v>
      </c>
      <c r="F6976" t="str">
        <f>"001230"</f>
        <v>0</v>
      </c>
      <c r="G6976" t="s">
        <v>21</v>
      </c>
    </row>
    <row r="6977" spans="1:7">
      <c r="A6977">
        <v>6976</v>
      </c>
      <c r="B6977" t="str">
        <f>"026549"</f>
        <v>0</v>
      </c>
      <c r="C6977" t="s">
        <v>11031</v>
      </c>
      <c r="D6977" t="s">
        <v>11032</v>
      </c>
      <c r="E6977" t="str">
        <f>"3540200335961"</f>
        <v>0</v>
      </c>
      <c r="F6977" t="str">
        <f>"001230"</f>
        <v>0</v>
      </c>
      <c r="G6977" t="s">
        <v>21</v>
      </c>
    </row>
    <row r="6978" spans="1:7">
      <c r="A6978">
        <v>6977</v>
      </c>
      <c r="B6978" t="str">
        <f>"026588"</f>
        <v>0</v>
      </c>
      <c r="C6978" t="s">
        <v>11033</v>
      </c>
      <c r="D6978" t="s">
        <v>11034</v>
      </c>
      <c r="E6978" t="str">
        <f>"1510690000239"</f>
        <v>0</v>
      </c>
      <c r="F6978" t="str">
        <f>"001230"</f>
        <v>0</v>
      </c>
      <c r="G6978" t="s">
        <v>21</v>
      </c>
    </row>
    <row r="6979" spans="1:7">
      <c r="A6979">
        <v>6978</v>
      </c>
      <c r="B6979" t="str">
        <f>"011050"</f>
        <v>0</v>
      </c>
      <c r="C6979" t="s">
        <v>11035</v>
      </c>
      <c r="D6979" t="s">
        <v>9010</v>
      </c>
      <c r="E6979" t="str">
        <f>"3550600016455"</f>
        <v>0</v>
      </c>
      <c r="F6979" t="str">
        <f>"001230"</f>
        <v>0</v>
      </c>
      <c r="G6979" t="s">
        <v>21</v>
      </c>
    </row>
    <row r="6980" spans="1:7">
      <c r="A6980">
        <v>6979</v>
      </c>
      <c r="B6980" t="str">
        <f>"026514"</f>
        <v>0</v>
      </c>
      <c r="C6980" t="s">
        <v>11036</v>
      </c>
      <c r="D6980" t="s">
        <v>11037</v>
      </c>
      <c r="E6980" t="str">
        <f>"1559900224918"</f>
        <v>0</v>
      </c>
      <c r="F6980" t="str">
        <f>"001230"</f>
        <v>0</v>
      </c>
      <c r="G6980" t="s">
        <v>21</v>
      </c>
    </row>
    <row r="6981" spans="1:7">
      <c r="A6981">
        <v>6980</v>
      </c>
      <c r="B6981" t="str">
        <f>"024695"</f>
        <v>0</v>
      </c>
      <c r="C6981" t="s">
        <v>11038</v>
      </c>
      <c r="D6981" t="s">
        <v>11039</v>
      </c>
      <c r="E6981" t="str">
        <f>"3540400182785"</f>
        <v>0</v>
      </c>
      <c r="F6981" t="str">
        <f>"001230"</f>
        <v>0</v>
      </c>
      <c r="G6981" t="s">
        <v>21</v>
      </c>
    </row>
    <row r="6982" spans="1:7">
      <c r="A6982">
        <v>6981</v>
      </c>
      <c r="B6982" t="str">
        <f>"014701"</f>
        <v>0</v>
      </c>
      <c r="C6982" t="s">
        <v>311</v>
      </c>
      <c r="D6982" t="s">
        <v>11040</v>
      </c>
      <c r="E6982" t="str">
        <f>"3540100833853"</f>
        <v>0</v>
      </c>
      <c r="F6982" t="str">
        <f>"001230"</f>
        <v>0</v>
      </c>
      <c r="G6982" t="s">
        <v>21</v>
      </c>
    </row>
    <row r="6983" spans="1:7">
      <c r="A6983">
        <v>6982</v>
      </c>
      <c r="B6983" t="str">
        <f>"026350"</f>
        <v>0</v>
      </c>
      <c r="C6983" t="s">
        <v>11041</v>
      </c>
      <c r="D6983" t="s">
        <v>6482</v>
      </c>
      <c r="E6983" t="str">
        <f>"1650400139084"</f>
        <v>0</v>
      </c>
      <c r="F6983" t="str">
        <f>"001230"</f>
        <v>0</v>
      </c>
      <c r="G6983" t="s">
        <v>21</v>
      </c>
    </row>
    <row r="6984" spans="1:7">
      <c r="A6984">
        <v>6983</v>
      </c>
      <c r="B6984" t="str">
        <f>"008634"</f>
        <v>0</v>
      </c>
      <c r="C6984" t="s">
        <v>11042</v>
      </c>
      <c r="D6984" t="s">
        <v>11043</v>
      </c>
      <c r="E6984" t="str">
        <f>"5330390011540"</f>
        <v>0</v>
      </c>
      <c r="F6984" t="str">
        <f>"001230"</f>
        <v>0</v>
      </c>
      <c r="G6984" t="s">
        <v>21</v>
      </c>
    </row>
    <row r="6985" spans="1:7">
      <c r="A6985">
        <v>6984</v>
      </c>
      <c r="B6985" t="str">
        <f>"002850"</f>
        <v>0</v>
      </c>
      <c r="C6985" t="s">
        <v>8868</v>
      </c>
      <c r="D6985" t="s">
        <v>11044</v>
      </c>
      <c r="E6985" t="str">
        <f>"3529900160487"</f>
        <v>0</v>
      </c>
      <c r="F6985" t="str">
        <f>"001250"</f>
        <v>0</v>
      </c>
      <c r="G6985" t="s">
        <v>21</v>
      </c>
    </row>
    <row r="6986" spans="1:7">
      <c r="A6986">
        <v>6985</v>
      </c>
      <c r="B6986" t="str">
        <f>"004440"</f>
        <v>0</v>
      </c>
      <c r="C6986" t="s">
        <v>11045</v>
      </c>
      <c r="D6986" t="s">
        <v>11046</v>
      </c>
      <c r="E6986" t="str">
        <f>"5560600025426"</f>
        <v>0</v>
      </c>
      <c r="F6986" t="str">
        <f>"001250"</f>
        <v>0</v>
      </c>
      <c r="G6986" t="s">
        <v>21</v>
      </c>
    </row>
    <row r="6987" spans="1:7">
      <c r="A6987">
        <v>6986</v>
      </c>
      <c r="B6987" t="str">
        <f>"004523"</f>
        <v>0</v>
      </c>
      <c r="C6987" t="s">
        <v>4967</v>
      </c>
      <c r="D6987" t="s">
        <v>11047</v>
      </c>
      <c r="E6987" t="str">
        <f>"3560600010783"</f>
        <v>0</v>
      </c>
      <c r="F6987" t="str">
        <f>"001250"</f>
        <v>0</v>
      </c>
      <c r="G6987" t="s">
        <v>21</v>
      </c>
    </row>
    <row r="6988" spans="1:7">
      <c r="A6988">
        <v>6987</v>
      </c>
      <c r="B6988" t="str">
        <f>"004913"</f>
        <v>0</v>
      </c>
      <c r="C6988" t="s">
        <v>4977</v>
      </c>
      <c r="D6988" t="s">
        <v>11048</v>
      </c>
      <c r="E6988" t="str">
        <f>"3160700188227"</f>
        <v>0</v>
      </c>
      <c r="F6988" t="str">
        <f>"001250"</f>
        <v>0</v>
      </c>
      <c r="G6988" t="s">
        <v>21</v>
      </c>
    </row>
    <row r="6989" spans="1:7">
      <c r="A6989">
        <v>6988</v>
      </c>
      <c r="B6989" t="str">
        <f>"004937"</f>
        <v>0</v>
      </c>
      <c r="C6989" t="s">
        <v>3801</v>
      </c>
      <c r="D6989" t="s">
        <v>11049</v>
      </c>
      <c r="E6989" t="str">
        <f>"3640300014049"</f>
        <v>0</v>
      </c>
      <c r="F6989" t="str">
        <f>"001250"</f>
        <v>0</v>
      </c>
      <c r="G6989" t="s">
        <v>21</v>
      </c>
    </row>
    <row r="6990" spans="1:7">
      <c r="A6990">
        <v>6989</v>
      </c>
      <c r="B6990" t="str">
        <f>"005382"</f>
        <v>0</v>
      </c>
      <c r="C6990" t="s">
        <v>2758</v>
      </c>
      <c r="D6990" t="s">
        <v>11050</v>
      </c>
      <c r="E6990" t="str">
        <f>"3569900109112"</f>
        <v>0</v>
      </c>
      <c r="F6990" t="str">
        <f>"001250"</f>
        <v>0</v>
      </c>
      <c r="G6990" t="s">
        <v>21</v>
      </c>
    </row>
    <row r="6991" spans="1:7">
      <c r="A6991">
        <v>6990</v>
      </c>
      <c r="B6991" t="str">
        <f>"005605"</f>
        <v>0</v>
      </c>
      <c r="C6991" t="s">
        <v>11051</v>
      </c>
      <c r="D6991" t="s">
        <v>11052</v>
      </c>
      <c r="E6991" t="str">
        <f>"3560500112916"</f>
        <v>0</v>
      </c>
      <c r="F6991" t="str">
        <f>"001250"</f>
        <v>0</v>
      </c>
      <c r="G6991" t="s">
        <v>21</v>
      </c>
    </row>
    <row r="6992" spans="1:7">
      <c r="A6992">
        <v>6991</v>
      </c>
      <c r="B6992" t="str">
        <f>"005678"</f>
        <v>0</v>
      </c>
      <c r="C6992" t="s">
        <v>2076</v>
      </c>
      <c r="D6992" t="s">
        <v>11053</v>
      </c>
      <c r="E6992" t="str">
        <f>"3529900207297"</f>
        <v>0</v>
      </c>
      <c r="F6992" t="str">
        <f>"001250"</f>
        <v>0</v>
      </c>
      <c r="G6992" t="s">
        <v>21</v>
      </c>
    </row>
    <row r="6993" spans="1:7">
      <c r="A6993">
        <v>6992</v>
      </c>
      <c r="B6993" t="str">
        <f>"006930"</f>
        <v>0</v>
      </c>
      <c r="C6993" t="s">
        <v>3746</v>
      </c>
      <c r="D6993" t="s">
        <v>11054</v>
      </c>
      <c r="E6993" t="str">
        <f>"3560600136311"</f>
        <v>0</v>
      </c>
      <c r="F6993" t="str">
        <f>"001250"</f>
        <v>0</v>
      </c>
      <c r="G6993" t="s">
        <v>21</v>
      </c>
    </row>
    <row r="6994" spans="1:7">
      <c r="A6994">
        <v>6993</v>
      </c>
      <c r="B6994" t="str">
        <f>"007176"</f>
        <v>0</v>
      </c>
      <c r="C6994" t="s">
        <v>11055</v>
      </c>
      <c r="D6994" t="s">
        <v>11056</v>
      </c>
      <c r="E6994" t="str">
        <f>"3650400019344"</f>
        <v>0</v>
      </c>
      <c r="F6994" t="str">
        <f>"001250"</f>
        <v>0</v>
      </c>
      <c r="G6994" t="s">
        <v>21</v>
      </c>
    </row>
    <row r="6995" spans="1:7">
      <c r="A6995">
        <v>6994</v>
      </c>
      <c r="B6995" t="str">
        <f>"007180"</f>
        <v>0</v>
      </c>
      <c r="C6995" t="s">
        <v>104</v>
      </c>
      <c r="D6995" t="s">
        <v>11057</v>
      </c>
      <c r="E6995" t="str">
        <f>"3560200453068"</f>
        <v>0</v>
      </c>
      <c r="F6995" t="str">
        <f>"001250"</f>
        <v>0</v>
      </c>
      <c r="G6995" t="s">
        <v>21</v>
      </c>
    </row>
    <row r="6996" spans="1:7">
      <c r="A6996">
        <v>6995</v>
      </c>
      <c r="B6996" t="str">
        <f>"007606"</f>
        <v>0</v>
      </c>
      <c r="C6996" t="s">
        <v>126</v>
      </c>
      <c r="D6996" t="s">
        <v>11058</v>
      </c>
      <c r="E6996" t="str">
        <f>"3560100154263"</f>
        <v>0</v>
      </c>
      <c r="F6996" t="str">
        <f>"001250"</f>
        <v>0</v>
      </c>
      <c r="G6996" t="s">
        <v>21</v>
      </c>
    </row>
    <row r="6997" spans="1:7">
      <c r="A6997">
        <v>6996</v>
      </c>
      <c r="B6997" t="str">
        <f>"007609"</f>
        <v>0</v>
      </c>
      <c r="C6997" t="s">
        <v>520</v>
      </c>
      <c r="D6997" t="s">
        <v>11059</v>
      </c>
      <c r="E6997" t="str">
        <f>"3560300288875"</f>
        <v>0</v>
      </c>
      <c r="F6997" t="str">
        <f>"001250"</f>
        <v>0</v>
      </c>
      <c r="G6997" t="s">
        <v>21</v>
      </c>
    </row>
    <row r="6998" spans="1:7">
      <c r="A6998">
        <v>6997</v>
      </c>
      <c r="B6998" t="str">
        <f>"008910"</f>
        <v>0</v>
      </c>
      <c r="C6998" t="s">
        <v>11060</v>
      </c>
      <c r="D6998" t="s">
        <v>11061</v>
      </c>
      <c r="E6998" t="str">
        <f>"3600100468500"</f>
        <v>0</v>
      </c>
      <c r="F6998" t="str">
        <f>"001250"</f>
        <v>0</v>
      </c>
      <c r="G6998" t="s">
        <v>21</v>
      </c>
    </row>
    <row r="6999" spans="1:7">
      <c r="A6999">
        <v>6998</v>
      </c>
      <c r="B6999" t="str">
        <f>"009259"</f>
        <v>0</v>
      </c>
      <c r="C6999" t="s">
        <v>2292</v>
      </c>
      <c r="D6999" t="s">
        <v>11062</v>
      </c>
      <c r="E6999" t="str">
        <f>"3540600158306"</f>
        <v>0</v>
      </c>
      <c r="F6999" t="str">
        <f>"001250"</f>
        <v>0</v>
      </c>
      <c r="G6999" t="s">
        <v>21</v>
      </c>
    </row>
    <row r="7000" spans="1:7">
      <c r="A7000">
        <v>6999</v>
      </c>
      <c r="B7000" t="str">
        <f>"009444"</f>
        <v>0</v>
      </c>
      <c r="C7000" t="s">
        <v>1703</v>
      </c>
      <c r="D7000" t="s">
        <v>11063</v>
      </c>
      <c r="E7000" t="str">
        <f>"3809900371841"</f>
        <v>0</v>
      </c>
      <c r="F7000" t="str">
        <f>"001250"</f>
        <v>0</v>
      </c>
      <c r="G7000" t="s">
        <v>21</v>
      </c>
    </row>
    <row r="7001" spans="1:7">
      <c r="A7001">
        <v>7000</v>
      </c>
      <c r="B7001" t="str">
        <f>"009660"</f>
        <v>0</v>
      </c>
      <c r="C7001" t="s">
        <v>11064</v>
      </c>
      <c r="D7001" t="s">
        <v>11065</v>
      </c>
      <c r="E7001" t="str">
        <f>"3560100324169"</f>
        <v>0</v>
      </c>
      <c r="F7001" t="str">
        <f>"001250"</f>
        <v>0</v>
      </c>
      <c r="G7001" t="s">
        <v>21</v>
      </c>
    </row>
    <row r="7002" spans="1:7">
      <c r="A7002">
        <v>7001</v>
      </c>
      <c r="B7002" t="str">
        <f>"009718"</f>
        <v>0</v>
      </c>
      <c r="C7002" t="s">
        <v>130</v>
      </c>
      <c r="D7002" t="s">
        <v>4815</v>
      </c>
      <c r="E7002" t="str">
        <f>"3570600018521"</f>
        <v>0</v>
      </c>
      <c r="F7002" t="str">
        <f>"001250"</f>
        <v>0</v>
      </c>
      <c r="G7002" t="s">
        <v>21</v>
      </c>
    </row>
    <row r="7003" spans="1:7">
      <c r="A7003">
        <v>7002</v>
      </c>
      <c r="B7003" t="str">
        <f>"011216"</f>
        <v>0</v>
      </c>
      <c r="C7003" t="s">
        <v>6636</v>
      </c>
      <c r="D7003" t="s">
        <v>11066</v>
      </c>
      <c r="E7003" t="str">
        <f>"3520100775080"</f>
        <v>0</v>
      </c>
      <c r="F7003" t="str">
        <f>"001250"</f>
        <v>0</v>
      </c>
      <c r="G7003" t="s">
        <v>21</v>
      </c>
    </row>
    <row r="7004" spans="1:7">
      <c r="A7004">
        <v>7003</v>
      </c>
      <c r="B7004" t="str">
        <f>"011426"</f>
        <v>0</v>
      </c>
      <c r="C7004" t="s">
        <v>11067</v>
      </c>
      <c r="D7004" t="s">
        <v>9690</v>
      </c>
      <c r="E7004" t="str">
        <f>"5560190016571"</f>
        <v>0</v>
      </c>
      <c r="F7004" t="str">
        <f>"001250"</f>
        <v>0</v>
      </c>
      <c r="G7004" t="s">
        <v>21</v>
      </c>
    </row>
    <row r="7005" spans="1:7">
      <c r="A7005">
        <v>7004</v>
      </c>
      <c r="B7005" t="str">
        <f>"011486"</f>
        <v>0</v>
      </c>
      <c r="C7005" t="s">
        <v>1498</v>
      </c>
      <c r="D7005" t="s">
        <v>1850</v>
      </c>
      <c r="E7005" t="str">
        <f>"3570100465854"</f>
        <v>0</v>
      </c>
      <c r="F7005" t="str">
        <f>"001250"</f>
        <v>0</v>
      </c>
      <c r="G7005" t="s">
        <v>21</v>
      </c>
    </row>
    <row r="7006" spans="1:7">
      <c r="A7006">
        <v>7005</v>
      </c>
      <c r="B7006" t="str">
        <f>"012210"</f>
        <v>0</v>
      </c>
      <c r="C7006" t="s">
        <v>2726</v>
      </c>
      <c r="D7006" t="s">
        <v>11068</v>
      </c>
      <c r="E7006" t="str">
        <f>"3560700085947"</f>
        <v>0</v>
      </c>
      <c r="F7006" t="str">
        <f>"001250"</f>
        <v>0</v>
      </c>
      <c r="G7006" t="s">
        <v>21</v>
      </c>
    </row>
    <row r="7007" spans="1:7">
      <c r="A7007">
        <v>7006</v>
      </c>
      <c r="B7007" t="str">
        <f>"012352"</f>
        <v>0</v>
      </c>
      <c r="C7007" t="s">
        <v>2815</v>
      </c>
      <c r="D7007" t="s">
        <v>11069</v>
      </c>
      <c r="E7007" t="str">
        <f>"3560200137727"</f>
        <v>0</v>
      </c>
      <c r="F7007" t="str">
        <f>"001250"</f>
        <v>0</v>
      </c>
      <c r="G7007" t="s">
        <v>21</v>
      </c>
    </row>
    <row r="7008" spans="1:7">
      <c r="A7008">
        <v>7007</v>
      </c>
      <c r="B7008" t="str">
        <f>"012512"</f>
        <v>0</v>
      </c>
      <c r="C7008" t="s">
        <v>3799</v>
      </c>
      <c r="D7008" t="s">
        <v>11070</v>
      </c>
      <c r="E7008" t="str">
        <f>"3560100008097"</f>
        <v>0</v>
      </c>
      <c r="F7008" t="str">
        <f>"001250"</f>
        <v>0</v>
      </c>
      <c r="G7008" t="s">
        <v>21</v>
      </c>
    </row>
    <row r="7009" spans="1:7">
      <c r="A7009">
        <v>7008</v>
      </c>
      <c r="B7009" t="str">
        <f>"012866"</f>
        <v>0</v>
      </c>
      <c r="C7009" t="s">
        <v>4746</v>
      </c>
      <c r="D7009" t="s">
        <v>11071</v>
      </c>
      <c r="E7009" t="str">
        <f>"3569900040261"</f>
        <v>0</v>
      </c>
      <c r="F7009" t="str">
        <f>"001250"</f>
        <v>0</v>
      </c>
      <c r="G7009" t="s">
        <v>21</v>
      </c>
    </row>
    <row r="7010" spans="1:7">
      <c r="A7010">
        <v>7009</v>
      </c>
      <c r="B7010" t="str">
        <f>"012948"</f>
        <v>0</v>
      </c>
      <c r="C7010" t="s">
        <v>5191</v>
      </c>
      <c r="D7010" t="s">
        <v>716</v>
      </c>
      <c r="E7010" t="str">
        <f>"3510101246536"</f>
        <v>0</v>
      </c>
      <c r="F7010" t="str">
        <f>"001250"</f>
        <v>0</v>
      </c>
      <c r="G7010" t="s">
        <v>21</v>
      </c>
    </row>
    <row r="7011" spans="1:7">
      <c r="A7011">
        <v>7010</v>
      </c>
      <c r="B7011" t="str">
        <f>"013030"</f>
        <v>0</v>
      </c>
      <c r="C7011" t="s">
        <v>11072</v>
      </c>
      <c r="D7011" t="s">
        <v>11073</v>
      </c>
      <c r="E7011" t="str">
        <f>"3570300642229"</f>
        <v>0</v>
      </c>
      <c r="F7011" t="str">
        <f>"001250"</f>
        <v>0</v>
      </c>
      <c r="G7011" t="s">
        <v>21</v>
      </c>
    </row>
    <row r="7012" spans="1:7">
      <c r="A7012">
        <v>7011</v>
      </c>
      <c r="B7012" t="str">
        <f>"013521"</f>
        <v>0</v>
      </c>
      <c r="C7012" t="s">
        <v>1411</v>
      </c>
      <c r="D7012" t="s">
        <v>11074</v>
      </c>
      <c r="E7012" t="str">
        <f>"5560490001641"</f>
        <v>0</v>
      </c>
      <c r="F7012" t="str">
        <f>"001250"</f>
        <v>0</v>
      </c>
      <c r="G7012" t="s">
        <v>21</v>
      </c>
    </row>
    <row r="7013" spans="1:7">
      <c r="A7013">
        <v>7012</v>
      </c>
      <c r="B7013" t="str">
        <f>"013921"</f>
        <v>0</v>
      </c>
      <c r="C7013" t="s">
        <v>11075</v>
      </c>
      <c r="D7013" t="s">
        <v>11076</v>
      </c>
      <c r="E7013" t="str">
        <f>"3570800186575"</f>
        <v>0</v>
      </c>
      <c r="F7013" t="str">
        <f>"001250"</f>
        <v>0</v>
      </c>
      <c r="G7013" t="s">
        <v>21</v>
      </c>
    </row>
    <row r="7014" spans="1:7">
      <c r="A7014">
        <v>7013</v>
      </c>
      <c r="B7014" t="str">
        <f>"015179"</f>
        <v>0</v>
      </c>
      <c r="C7014" t="s">
        <v>11077</v>
      </c>
      <c r="D7014" t="s">
        <v>11078</v>
      </c>
      <c r="E7014" t="str">
        <f>"3560300103531"</f>
        <v>0</v>
      </c>
      <c r="F7014" t="str">
        <f>"001250"</f>
        <v>0</v>
      </c>
      <c r="G7014" t="s">
        <v>21</v>
      </c>
    </row>
    <row r="7015" spans="1:7">
      <c r="A7015">
        <v>7014</v>
      </c>
      <c r="B7015" t="str">
        <f>"017327"</f>
        <v>0</v>
      </c>
      <c r="C7015" t="s">
        <v>1498</v>
      </c>
      <c r="D7015" t="s">
        <v>11079</v>
      </c>
      <c r="E7015" t="str">
        <f>"3600100908879"</f>
        <v>0</v>
      </c>
      <c r="F7015" t="str">
        <f>"001250"</f>
        <v>0</v>
      </c>
      <c r="G7015" t="s">
        <v>21</v>
      </c>
    </row>
    <row r="7016" spans="1:7">
      <c r="A7016">
        <v>7015</v>
      </c>
      <c r="B7016" t="str">
        <f>"019557"</f>
        <v>0</v>
      </c>
      <c r="C7016" t="s">
        <v>11080</v>
      </c>
      <c r="D7016" t="s">
        <v>5560</v>
      </c>
      <c r="E7016" t="str">
        <f>"3569900219538"</f>
        <v>0</v>
      </c>
      <c r="F7016" t="str">
        <f>"001250"</f>
        <v>0</v>
      </c>
      <c r="G7016" t="s">
        <v>21</v>
      </c>
    </row>
    <row r="7017" spans="1:7">
      <c r="A7017">
        <v>7016</v>
      </c>
      <c r="B7017" t="str">
        <f>"020197"</f>
        <v>0</v>
      </c>
      <c r="C7017" t="s">
        <v>3825</v>
      </c>
      <c r="D7017" t="s">
        <v>11081</v>
      </c>
      <c r="E7017" t="str">
        <f>"3560101100132"</f>
        <v>0</v>
      </c>
      <c r="F7017" t="str">
        <f>"001250"</f>
        <v>0</v>
      </c>
      <c r="G7017" t="s">
        <v>21</v>
      </c>
    </row>
    <row r="7018" spans="1:7">
      <c r="A7018">
        <v>7017</v>
      </c>
      <c r="B7018" t="str">
        <f>"023425"</f>
        <v>0</v>
      </c>
      <c r="C7018" t="s">
        <v>4575</v>
      </c>
      <c r="D7018" t="s">
        <v>11082</v>
      </c>
      <c r="E7018" t="str">
        <f>"3510600575578"</f>
        <v>0</v>
      </c>
      <c r="F7018" t="str">
        <f>"001250"</f>
        <v>0</v>
      </c>
      <c r="G7018" t="s">
        <v>21</v>
      </c>
    </row>
    <row r="7019" spans="1:7">
      <c r="A7019">
        <v>7018</v>
      </c>
      <c r="B7019" t="str">
        <f>"023509"</f>
        <v>0</v>
      </c>
      <c r="C7019" t="s">
        <v>11083</v>
      </c>
      <c r="D7019" t="s">
        <v>11084</v>
      </c>
      <c r="E7019" t="str">
        <f>"3570101371942"</f>
        <v>0</v>
      </c>
      <c r="F7019" t="str">
        <f>"001250"</f>
        <v>0</v>
      </c>
      <c r="G7019" t="s">
        <v>21</v>
      </c>
    </row>
    <row r="7020" spans="1:7">
      <c r="A7020">
        <v>7019</v>
      </c>
      <c r="B7020" t="str">
        <f>"023858"</f>
        <v>0</v>
      </c>
      <c r="C7020" t="s">
        <v>11085</v>
      </c>
      <c r="D7020" t="s">
        <v>11086</v>
      </c>
      <c r="E7020" t="str">
        <f>"1560600042611"</f>
        <v>0</v>
      </c>
      <c r="F7020" t="str">
        <f>"001250"</f>
        <v>0</v>
      </c>
      <c r="G7020" t="s">
        <v>21</v>
      </c>
    </row>
    <row r="7021" spans="1:7">
      <c r="A7021">
        <v>7020</v>
      </c>
      <c r="B7021" t="str">
        <f>"012923"</f>
        <v>0</v>
      </c>
      <c r="C7021" t="s">
        <v>11087</v>
      </c>
      <c r="D7021" t="s">
        <v>11088</v>
      </c>
      <c r="E7021" t="str">
        <f>"3619900091140"</f>
        <v>0</v>
      </c>
      <c r="F7021" t="str">
        <f>"001250"</f>
        <v>0</v>
      </c>
      <c r="G7021" t="s">
        <v>21</v>
      </c>
    </row>
    <row r="7022" spans="1:7">
      <c r="A7022">
        <v>7021</v>
      </c>
      <c r="B7022" t="str">
        <f>"025632"</f>
        <v>0</v>
      </c>
      <c r="C7022" t="s">
        <v>11089</v>
      </c>
      <c r="D7022" t="s">
        <v>11090</v>
      </c>
      <c r="E7022" t="str">
        <f>"3101501403391"</f>
        <v>0</v>
      </c>
      <c r="F7022" t="str">
        <f>"001250"</f>
        <v>0</v>
      </c>
      <c r="G7022" t="s">
        <v>21</v>
      </c>
    </row>
    <row r="7023" spans="1:7">
      <c r="A7023">
        <v>7022</v>
      </c>
      <c r="B7023" t="str">
        <f>"023080"</f>
        <v>0</v>
      </c>
      <c r="C7023" t="s">
        <v>11091</v>
      </c>
      <c r="D7023" t="s">
        <v>11092</v>
      </c>
      <c r="E7023" t="str">
        <f>"3560100965164"</f>
        <v>0</v>
      </c>
      <c r="F7023" t="str">
        <f>"001250"</f>
        <v>0</v>
      </c>
      <c r="G7023" t="s">
        <v>21</v>
      </c>
    </row>
    <row r="7024" spans="1:7">
      <c r="A7024">
        <v>7023</v>
      </c>
      <c r="B7024" t="str">
        <f>"020572"</f>
        <v>0</v>
      </c>
      <c r="C7024" t="s">
        <v>11093</v>
      </c>
      <c r="D7024" t="s">
        <v>11094</v>
      </c>
      <c r="E7024" t="str">
        <f>"3929900275507"</f>
        <v>0</v>
      </c>
      <c r="F7024" t="str">
        <f>"001250"</f>
        <v>0</v>
      </c>
      <c r="G7024" t="s">
        <v>21</v>
      </c>
    </row>
    <row r="7025" spans="1:7">
      <c r="A7025">
        <v>7024</v>
      </c>
      <c r="B7025" t="str">
        <f>"019356"</f>
        <v>0</v>
      </c>
      <c r="C7025" t="s">
        <v>1926</v>
      </c>
      <c r="D7025" t="s">
        <v>11095</v>
      </c>
      <c r="E7025" t="str">
        <f>"3430301070874"</f>
        <v>0</v>
      </c>
      <c r="F7025" t="str">
        <f>"001250"</f>
        <v>0</v>
      </c>
      <c r="G7025" t="s">
        <v>21</v>
      </c>
    </row>
    <row r="7026" spans="1:7">
      <c r="A7026">
        <v>7025</v>
      </c>
      <c r="B7026" t="str">
        <f>"020871"</f>
        <v>0</v>
      </c>
      <c r="C7026" t="s">
        <v>11096</v>
      </c>
      <c r="D7026" t="s">
        <v>11097</v>
      </c>
      <c r="E7026" t="str">
        <f>"3501300243082"</f>
        <v>0</v>
      </c>
      <c r="F7026" t="str">
        <f>"001250"</f>
        <v>0</v>
      </c>
      <c r="G7026" t="s">
        <v>21</v>
      </c>
    </row>
    <row r="7027" spans="1:7">
      <c r="A7027">
        <v>7026</v>
      </c>
      <c r="B7027" t="str">
        <f>"022744"</f>
        <v>0</v>
      </c>
      <c r="C7027" t="s">
        <v>11098</v>
      </c>
      <c r="D7027" t="s">
        <v>11099</v>
      </c>
      <c r="E7027" t="str">
        <f>"3500500335877"</f>
        <v>0</v>
      </c>
      <c r="F7027" t="str">
        <f>"001250"</f>
        <v>0</v>
      </c>
      <c r="G7027" t="s">
        <v>21</v>
      </c>
    </row>
    <row r="7028" spans="1:7">
      <c r="A7028">
        <v>7027</v>
      </c>
      <c r="B7028" t="str">
        <f>"023343"</f>
        <v>0</v>
      </c>
      <c r="C7028" t="s">
        <v>11100</v>
      </c>
      <c r="D7028" t="s">
        <v>11101</v>
      </c>
      <c r="E7028" t="str">
        <f>"1549900062934"</f>
        <v>0</v>
      </c>
      <c r="F7028" t="str">
        <f>"001250"</f>
        <v>0</v>
      </c>
      <c r="G7028" t="s">
        <v>21</v>
      </c>
    </row>
    <row r="7029" spans="1:7">
      <c r="A7029">
        <v>7028</v>
      </c>
      <c r="B7029" t="str">
        <f>"023648"</f>
        <v>0</v>
      </c>
      <c r="C7029" t="s">
        <v>11102</v>
      </c>
      <c r="D7029" t="s">
        <v>11103</v>
      </c>
      <c r="E7029" t="str">
        <f>"3509900203411"</f>
        <v>0</v>
      </c>
      <c r="F7029" t="str">
        <f>"001250"</f>
        <v>0</v>
      </c>
      <c r="G7029" t="s">
        <v>21</v>
      </c>
    </row>
    <row r="7030" spans="1:7">
      <c r="A7030">
        <v>7029</v>
      </c>
      <c r="B7030" t="str">
        <f>"023966"</f>
        <v>0</v>
      </c>
      <c r="C7030" t="s">
        <v>11104</v>
      </c>
      <c r="D7030" t="s">
        <v>11105</v>
      </c>
      <c r="E7030" t="str">
        <f>"3710600229686"</f>
        <v>0</v>
      </c>
      <c r="F7030" t="str">
        <f>"001250"</f>
        <v>0</v>
      </c>
      <c r="G7030" t="s">
        <v>21</v>
      </c>
    </row>
    <row r="7031" spans="1:7">
      <c r="A7031">
        <v>7030</v>
      </c>
      <c r="B7031" t="str">
        <f>"024348"</f>
        <v>0</v>
      </c>
      <c r="C7031" t="s">
        <v>11106</v>
      </c>
      <c r="D7031" t="s">
        <v>11107</v>
      </c>
      <c r="E7031" t="str">
        <f>"1509900478154"</f>
        <v>0</v>
      </c>
      <c r="F7031" t="str">
        <f>"001250"</f>
        <v>0</v>
      </c>
      <c r="G7031" t="s">
        <v>21</v>
      </c>
    </row>
    <row r="7032" spans="1:7">
      <c r="A7032">
        <v>7031</v>
      </c>
      <c r="B7032" t="str">
        <f>"024728"</f>
        <v>0</v>
      </c>
      <c r="C7032" t="s">
        <v>11108</v>
      </c>
      <c r="D7032" t="s">
        <v>11109</v>
      </c>
      <c r="E7032" t="str">
        <f>"1500900030929"</f>
        <v>0</v>
      </c>
      <c r="F7032" t="str">
        <f>"001250"</f>
        <v>0</v>
      </c>
      <c r="G7032" t="s">
        <v>21</v>
      </c>
    </row>
    <row r="7033" spans="1:7">
      <c r="A7033">
        <v>7032</v>
      </c>
      <c r="B7033" t="str">
        <f>"024796"</f>
        <v>0</v>
      </c>
      <c r="C7033" t="s">
        <v>11110</v>
      </c>
      <c r="D7033" t="s">
        <v>11111</v>
      </c>
      <c r="E7033" t="str">
        <f>"1540400003337"</f>
        <v>0</v>
      </c>
      <c r="F7033" t="str">
        <f>"001250"</f>
        <v>0</v>
      </c>
      <c r="G7033" t="s">
        <v>21</v>
      </c>
    </row>
    <row r="7034" spans="1:7">
      <c r="A7034">
        <v>7033</v>
      </c>
      <c r="B7034" t="str">
        <f>"026516"</f>
        <v>0</v>
      </c>
      <c r="C7034" t="s">
        <v>11112</v>
      </c>
      <c r="D7034" t="s">
        <v>11113</v>
      </c>
      <c r="E7034" t="str">
        <f>"1509900795583"</f>
        <v>0</v>
      </c>
      <c r="F7034" t="str">
        <f>"001250"</f>
        <v>0</v>
      </c>
      <c r="G7034" t="s">
        <v>21</v>
      </c>
    </row>
    <row r="7035" spans="1:7">
      <c r="A7035">
        <v>7034</v>
      </c>
      <c r="B7035" t="str">
        <f>"022453"</f>
        <v>0</v>
      </c>
      <c r="C7035" t="s">
        <v>11114</v>
      </c>
      <c r="D7035" t="s">
        <v>11115</v>
      </c>
      <c r="E7035" t="str">
        <f>"3560600399052"</f>
        <v>0</v>
      </c>
      <c r="F7035" t="str">
        <f>"001250"</f>
        <v>0</v>
      </c>
      <c r="G7035" t="s">
        <v>21</v>
      </c>
    </row>
    <row r="7036" spans="1:7">
      <c r="A7036">
        <v>7035</v>
      </c>
      <c r="B7036" t="str">
        <f>"026181"</f>
        <v>0</v>
      </c>
      <c r="C7036" t="s">
        <v>11116</v>
      </c>
      <c r="D7036" t="s">
        <v>11117</v>
      </c>
      <c r="E7036" t="str">
        <f>"1509900382050"</f>
        <v>0</v>
      </c>
      <c r="F7036" t="str">
        <f>"001250"</f>
        <v>0</v>
      </c>
      <c r="G7036" t="s">
        <v>21</v>
      </c>
    </row>
    <row r="7037" spans="1:7">
      <c r="A7037">
        <v>7036</v>
      </c>
      <c r="B7037" t="str">
        <f>"026760"</f>
        <v>0</v>
      </c>
      <c r="C7037" t="s">
        <v>11118</v>
      </c>
      <c r="D7037" t="s">
        <v>11119</v>
      </c>
      <c r="E7037" t="str">
        <f>"1579900227071"</f>
        <v>0</v>
      </c>
      <c r="F7037" t="str">
        <f>"001250"</f>
        <v>0</v>
      </c>
      <c r="G7037" t="s">
        <v>21</v>
      </c>
    </row>
    <row r="7038" spans="1:7">
      <c r="A7038">
        <v>7037</v>
      </c>
      <c r="B7038" t="str">
        <f>"006590"</f>
        <v>0</v>
      </c>
      <c r="C7038" t="s">
        <v>11120</v>
      </c>
      <c r="D7038" t="s">
        <v>11121</v>
      </c>
      <c r="E7038" t="str">
        <f>"3520500137072"</f>
        <v>0</v>
      </c>
      <c r="F7038" t="str">
        <f>"001250"</f>
        <v>0</v>
      </c>
      <c r="G7038" t="s">
        <v>21</v>
      </c>
    </row>
    <row r="7039" spans="1:7">
      <c r="A7039">
        <v>7038</v>
      </c>
      <c r="B7039" t="str">
        <f>"021113"</f>
        <v>0</v>
      </c>
      <c r="C7039" t="s">
        <v>1160</v>
      </c>
      <c r="D7039" t="s">
        <v>11122</v>
      </c>
      <c r="E7039" t="str">
        <f>"3520500312931"</f>
        <v>0</v>
      </c>
      <c r="F7039" t="str">
        <f>"001250"</f>
        <v>0</v>
      </c>
      <c r="G7039" t="s">
        <v>21</v>
      </c>
    </row>
    <row r="7040" spans="1:7">
      <c r="A7040">
        <v>7039</v>
      </c>
      <c r="B7040" t="str">
        <f>"021368"</f>
        <v>0</v>
      </c>
      <c r="C7040" t="s">
        <v>3147</v>
      </c>
      <c r="D7040" t="s">
        <v>11123</v>
      </c>
      <c r="E7040" t="str">
        <f>"3520500457646"</f>
        <v>0</v>
      </c>
      <c r="F7040" t="str">
        <f>"001250"</f>
        <v>0</v>
      </c>
      <c r="G7040" t="s">
        <v>21</v>
      </c>
    </row>
    <row r="7041" spans="1:7">
      <c r="A7041">
        <v>7040</v>
      </c>
      <c r="B7041" t="str">
        <f>"024340"</f>
        <v>0</v>
      </c>
      <c r="C7041" t="s">
        <v>734</v>
      </c>
      <c r="D7041" t="s">
        <v>11124</v>
      </c>
      <c r="E7041" t="str">
        <f>"3529900316576"</f>
        <v>0</v>
      </c>
      <c r="F7041" t="str">
        <f>"001250"</f>
        <v>0</v>
      </c>
      <c r="G7041" t="s">
        <v>21</v>
      </c>
    </row>
    <row r="7042" spans="1:7">
      <c r="A7042">
        <v>7041</v>
      </c>
      <c r="B7042" t="str">
        <f>"025121"</f>
        <v>0</v>
      </c>
      <c r="C7042" t="s">
        <v>11125</v>
      </c>
      <c r="D7042" t="s">
        <v>11126</v>
      </c>
      <c r="E7042" t="str">
        <f>"1509900616654"</f>
        <v>0</v>
      </c>
      <c r="F7042" t="str">
        <f>"001250"</f>
        <v>0</v>
      </c>
      <c r="G7042" t="s">
        <v>21</v>
      </c>
    </row>
    <row r="7043" spans="1:7">
      <c r="A7043">
        <v>7042</v>
      </c>
      <c r="B7043" t="str">
        <f>"023597"</f>
        <v>0</v>
      </c>
      <c r="C7043" t="s">
        <v>2914</v>
      </c>
      <c r="D7043" t="s">
        <v>11127</v>
      </c>
      <c r="E7043" t="str">
        <f>"3530100412271"</f>
        <v>0</v>
      </c>
      <c r="F7043" t="str">
        <f>"001250"</f>
        <v>0</v>
      </c>
      <c r="G7043" t="s">
        <v>21</v>
      </c>
    </row>
    <row r="7044" spans="1:7">
      <c r="A7044">
        <v>7043</v>
      </c>
      <c r="B7044" t="str">
        <f>"012692"</f>
        <v>0</v>
      </c>
      <c r="C7044" t="s">
        <v>6174</v>
      </c>
      <c r="D7044" t="s">
        <v>8066</v>
      </c>
      <c r="E7044" t="str">
        <f>"3550100151311"</f>
        <v>0</v>
      </c>
      <c r="F7044" t="str">
        <f>"001250"</f>
        <v>0</v>
      </c>
      <c r="G7044" t="s">
        <v>21</v>
      </c>
    </row>
    <row r="7045" spans="1:7">
      <c r="A7045">
        <v>7044</v>
      </c>
      <c r="B7045" t="str">
        <f>"023416"</f>
        <v>0</v>
      </c>
      <c r="C7045" t="s">
        <v>3694</v>
      </c>
      <c r="D7045" t="s">
        <v>11128</v>
      </c>
      <c r="E7045" t="str">
        <f>"3550600006123"</f>
        <v>0</v>
      </c>
      <c r="F7045" t="str">
        <f>"001250"</f>
        <v>0</v>
      </c>
      <c r="G7045" t="s">
        <v>21</v>
      </c>
    </row>
    <row r="7046" spans="1:7">
      <c r="A7046">
        <v>7045</v>
      </c>
      <c r="B7046" t="str">
        <f>"024040"</f>
        <v>0</v>
      </c>
      <c r="C7046" t="s">
        <v>11129</v>
      </c>
      <c r="D7046" t="s">
        <v>6441</v>
      </c>
      <c r="E7046" t="str">
        <f>"1560200052989"</f>
        <v>0</v>
      </c>
      <c r="F7046" t="str">
        <f>"001250"</f>
        <v>0</v>
      </c>
      <c r="G7046" t="s">
        <v>21</v>
      </c>
    </row>
    <row r="7047" spans="1:7">
      <c r="A7047">
        <v>7046</v>
      </c>
      <c r="B7047" t="str">
        <f>"009486"</f>
        <v>0</v>
      </c>
      <c r="C7047" t="s">
        <v>5903</v>
      </c>
      <c r="D7047" t="s">
        <v>11047</v>
      </c>
      <c r="E7047" t="str">
        <f>"3560600243541"</f>
        <v>0</v>
      </c>
      <c r="F7047" t="str">
        <f>"001250"</f>
        <v>0</v>
      </c>
      <c r="G7047" t="s">
        <v>21</v>
      </c>
    </row>
    <row r="7048" spans="1:7">
      <c r="A7048">
        <v>7047</v>
      </c>
      <c r="B7048" t="str">
        <f>"009673"</f>
        <v>0</v>
      </c>
      <c r="C7048" t="s">
        <v>9081</v>
      </c>
      <c r="D7048" t="s">
        <v>11130</v>
      </c>
      <c r="E7048" t="str">
        <f>"3520100609201"</f>
        <v>0</v>
      </c>
      <c r="F7048" t="str">
        <f>"001250"</f>
        <v>0</v>
      </c>
      <c r="G7048" t="s">
        <v>21</v>
      </c>
    </row>
    <row r="7049" spans="1:7">
      <c r="A7049">
        <v>7048</v>
      </c>
      <c r="B7049" t="str">
        <f>"009851"</f>
        <v>0</v>
      </c>
      <c r="C7049" t="s">
        <v>126</v>
      </c>
      <c r="D7049" t="s">
        <v>11131</v>
      </c>
      <c r="E7049" t="str">
        <f>"5550500041772"</f>
        <v>0</v>
      </c>
      <c r="F7049" t="str">
        <f>"001250"</f>
        <v>0</v>
      </c>
      <c r="G7049" t="s">
        <v>21</v>
      </c>
    </row>
    <row r="7050" spans="1:7">
      <c r="A7050">
        <v>7049</v>
      </c>
      <c r="B7050" t="str">
        <f>"010241"</f>
        <v>0</v>
      </c>
      <c r="C7050" t="s">
        <v>7168</v>
      </c>
      <c r="D7050" t="s">
        <v>11132</v>
      </c>
      <c r="E7050" t="str">
        <f>"3560100570968"</f>
        <v>0</v>
      </c>
      <c r="F7050" t="str">
        <f>"001250"</f>
        <v>0</v>
      </c>
      <c r="G7050" t="s">
        <v>21</v>
      </c>
    </row>
    <row r="7051" spans="1:7">
      <c r="A7051">
        <v>7050</v>
      </c>
      <c r="B7051" t="str">
        <f>"011788"</f>
        <v>0</v>
      </c>
      <c r="C7051" t="s">
        <v>4355</v>
      </c>
      <c r="D7051" t="s">
        <v>11133</v>
      </c>
      <c r="E7051" t="str">
        <f>"3500500022461"</f>
        <v>0</v>
      </c>
      <c r="F7051" t="str">
        <f>"001250"</f>
        <v>0</v>
      </c>
      <c r="G7051" t="s">
        <v>21</v>
      </c>
    </row>
    <row r="7052" spans="1:7">
      <c r="A7052">
        <v>7051</v>
      </c>
      <c r="B7052" t="str">
        <f>"011789"</f>
        <v>0</v>
      </c>
      <c r="C7052" t="s">
        <v>3586</v>
      </c>
      <c r="D7052" t="s">
        <v>4239</v>
      </c>
      <c r="E7052" t="str">
        <f>"3560300288930"</f>
        <v>0</v>
      </c>
      <c r="F7052" t="str">
        <f>"001250"</f>
        <v>0</v>
      </c>
      <c r="G7052" t="s">
        <v>21</v>
      </c>
    </row>
    <row r="7053" spans="1:7">
      <c r="A7053">
        <v>7052</v>
      </c>
      <c r="B7053" t="str">
        <f>"013435"</f>
        <v>0</v>
      </c>
      <c r="C7053" t="s">
        <v>11134</v>
      </c>
      <c r="D7053" t="s">
        <v>11135</v>
      </c>
      <c r="E7053" t="str">
        <f>"3560100344526"</f>
        <v>0</v>
      </c>
      <c r="F7053" t="str">
        <f>"001250"</f>
        <v>0</v>
      </c>
      <c r="G7053" t="s">
        <v>21</v>
      </c>
    </row>
    <row r="7054" spans="1:7">
      <c r="A7054">
        <v>7053</v>
      </c>
      <c r="B7054" t="str">
        <f>"014694"</f>
        <v>0</v>
      </c>
      <c r="C7054" t="s">
        <v>11136</v>
      </c>
      <c r="D7054" t="s">
        <v>11137</v>
      </c>
      <c r="E7054" t="str">
        <f>"5551090000738"</f>
        <v>0</v>
      </c>
      <c r="F7054" t="str">
        <f>"001250"</f>
        <v>0</v>
      </c>
      <c r="G7054" t="s">
        <v>21</v>
      </c>
    </row>
    <row r="7055" spans="1:7">
      <c r="A7055">
        <v>7054</v>
      </c>
      <c r="B7055" t="str">
        <f>"015487"</f>
        <v>0</v>
      </c>
      <c r="C7055" t="s">
        <v>6864</v>
      </c>
      <c r="D7055" t="s">
        <v>11138</v>
      </c>
      <c r="E7055" t="str">
        <f>"3560300462743"</f>
        <v>0</v>
      </c>
      <c r="F7055" t="str">
        <f>"001250"</f>
        <v>0</v>
      </c>
      <c r="G7055" t="s">
        <v>21</v>
      </c>
    </row>
    <row r="7056" spans="1:7">
      <c r="A7056">
        <v>7055</v>
      </c>
      <c r="B7056" t="str">
        <f>"016112"</f>
        <v>0</v>
      </c>
      <c r="C7056" t="s">
        <v>11139</v>
      </c>
      <c r="D7056" t="s">
        <v>11140</v>
      </c>
      <c r="E7056" t="str">
        <f>"3560101152906"</f>
        <v>0</v>
      </c>
      <c r="F7056" t="str">
        <f>"001250"</f>
        <v>0</v>
      </c>
      <c r="G7056" t="s">
        <v>21</v>
      </c>
    </row>
    <row r="7057" spans="1:7">
      <c r="A7057">
        <v>7056</v>
      </c>
      <c r="B7057" t="str">
        <f>"017159"</f>
        <v>0</v>
      </c>
      <c r="C7057" t="s">
        <v>6491</v>
      </c>
      <c r="D7057" t="s">
        <v>11141</v>
      </c>
      <c r="E7057" t="str">
        <f>"3560100106609"</f>
        <v>0</v>
      </c>
      <c r="F7057" t="str">
        <f>"001250"</f>
        <v>0</v>
      </c>
      <c r="G7057" t="s">
        <v>21</v>
      </c>
    </row>
    <row r="7058" spans="1:7">
      <c r="A7058">
        <v>7057</v>
      </c>
      <c r="B7058" t="str">
        <f>"017528"</f>
        <v>0</v>
      </c>
      <c r="C7058" t="s">
        <v>11142</v>
      </c>
      <c r="D7058" t="s">
        <v>3496</v>
      </c>
      <c r="E7058" t="str">
        <f>"3501500257761"</f>
        <v>0</v>
      </c>
      <c r="F7058" t="str">
        <f>"001250"</f>
        <v>0</v>
      </c>
      <c r="G7058" t="s">
        <v>21</v>
      </c>
    </row>
    <row r="7059" spans="1:7">
      <c r="A7059">
        <v>7058</v>
      </c>
      <c r="B7059" t="str">
        <f>"017590"</f>
        <v>0</v>
      </c>
      <c r="C7059" t="s">
        <v>11143</v>
      </c>
      <c r="D7059" t="s">
        <v>11144</v>
      </c>
      <c r="E7059" t="str">
        <f>"5560490001625"</f>
        <v>0</v>
      </c>
      <c r="F7059" t="str">
        <f>"001250"</f>
        <v>0</v>
      </c>
      <c r="G7059" t="s">
        <v>21</v>
      </c>
    </row>
    <row r="7060" spans="1:7">
      <c r="A7060">
        <v>7059</v>
      </c>
      <c r="B7060" t="str">
        <f>"018406"</f>
        <v>0</v>
      </c>
      <c r="C7060" t="s">
        <v>1628</v>
      </c>
      <c r="D7060" t="s">
        <v>11145</v>
      </c>
      <c r="E7060" t="str">
        <f>"3551000143571"</f>
        <v>0</v>
      </c>
      <c r="F7060" t="str">
        <f>"001250"</f>
        <v>0</v>
      </c>
      <c r="G7060" t="s">
        <v>21</v>
      </c>
    </row>
    <row r="7061" spans="1:7">
      <c r="A7061">
        <v>7060</v>
      </c>
      <c r="B7061" t="str">
        <f>"018407"</f>
        <v>0</v>
      </c>
      <c r="C7061" t="s">
        <v>3837</v>
      </c>
      <c r="D7061" t="s">
        <v>7269</v>
      </c>
      <c r="E7061" t="str">
        <f>"3560100579141"</f>
        <v>0</v>
      </c>
      <c r="F7061" t="str">
        <f>"001250"</f>
        <v>0</v>
      </c>
      <c r="G7061" t="s">
        <v>21</v>
      </c>
    </row>
    <row r="7062" spans="1:7">
      <c r="A7062">
        <v>7061</v>
      </c>
      <c r="B7062" t="str">
        <f>"019262"</f>
        <v>0</v>
      </c>
      <c r="C7062" t="s">
        <v>11146</v>
      </c>
      <c r="D7062" t="s">
        <v>11147</v>
      </c>
      <c r="E7062" t="str">
        <f>"3501400406714"</f>
        <v>0</v>
      </c>
      <c r="F7062" t="str">
        <f>"001250"</f>
        <v>0</v>
      </c>
      <c r="G7062" t="s">
        <v>21</v>
      </c>
    </row>
    <row r="7063" spans="1:7">
      <c r="A7063">
        <v>7062</v>
      </c>
      <c r="B7063" t="str">
        <f>"020032"</f>
        <v>0</v>
      </c>
      <c r="C7063" t="s">
        <v>11148</v>
      </c>
      <c r="D7063" t="s">
        <v>11149</v>
      </c>
      <c r="E7063" t="str">
        <f>"3560500198560"</f>
        <v>0</v>
      </c>
      <c r="F7063" t="str">
        <f>"001250"</f>
        <v>0</v>
      </c>
      <c r="G7063" t="s">
        <v>21</v>
      </c>
    </row>
    <row r="7064" spans="1:7">
      <c r="A7064">
        <v>7063</v>
      </c>
      <c r="B7064" t="str">
        <f>"021156"</f>
        <v>0</v>
      </c>
      <c r="C7064" t="s">
        <v>11150</v>
      </c>
      <c r="D7064" t="s">
        <v>11151</v>
      </c>
      <c r="E7064" t="str">
        <f>"3410700237969"</f>
        <v>0</v>
      </c>
      <c r="F7064" t="str">
        <f>"001250"</f>
        <v>0</v>
      </c>
      <c r="G7064" t="s">
        <v>21</v>
      </c>
    </row>
    <row r="7065" spans="1:7">
      <c r="A7065">
        <v>7064</v>
      </c>
      <c r="B7065" t="str">
        <f>"021229"</f>
        <v>0</v>
      </c>
      <c r="C7065" t="s">
        <v>11152</v>
      </c>
      <c r="D7065" t="s">
        <v>11153</v>
      </c>
      <c r="E7065" t="str">
        <f>"3560400017113"</f>
        <v>0</v>
      </c>
      <c r="F7065" t="str">
        <f>"001250"</f>
        <v>0</v>
      </c>
      <c r="G7065" t="s">
        <v>21</v>
      </c>
    </row>
    <row r="7066" spans="1:7">
      <c r="A7066">
        <v>7065</v>
      </c>
      <c r="B7066" t="str">
        <f>"021350"</f>
        <v>0</v>
      </c>
      <c r="C7066" t="s">
        <v>4672</v>
      </c>
      <c r="D7066" t="s">
        <v>11154</v>
      </c>
      <c r="E7066" t="str">
        <f>"3560700210091"</f>
        <v>0</v>
      </c>
      <c r="F7066" t="str">
        <f>"001250"</f>
        <v>0</v>
      </c>
      <c r="G7066" t="s">
        <v>21</v>
      </c>
    </row>
    <row r="7067" spans="1:7">
      <c r="A7067">
        <v>7066</v>
      </c>
      <c r="B7067" t="str">
        <f>"021387"</f>
        <v>0</v>
      </c>
      <c r="C7067" t="s">
        <v>11155</v>
      </c>
      <c r="D7067" t="s">
        <v>11156</v>
      </c>
      <c r="E7067" t="str">
        <f>"3560101074727"</f>
        <v>0</v>
      </c>
      <c r="F7067" t="str">
        <f>"001250"</f>
        <v>0</v>
      </c>
      <c r="G7067" t="s">
        <v>21</v>
      </c>
    </row>
    <row r="7068" spans="1:7">
      <c r="A7068">
        <v>7067</v>
      </c>
      <c r="B7068" t="str">
        <f>"021841"</f>
        <v>0</v>
      </c>
      <c r="C7068" t="s">
        <v>4633</v>
      </c>
      <c r="D7068" t="s">
        <v>2132</v>
      </c>
      <c r="E7068" t="str">
        <f>"3960100287791"</f>
        <v>0</v>
      </c>
      <c r="F7068" t="str">
        <f>"001250"</f>
        <v>0</v>
      </c>
      <c r="G7068" t="s">
        <v>21</v>
      </c>
    </row>
    <row r="7069" spans="1:7">
      <c r="A7069">
        <v>7068</v>
      </c>
      <c r="B7069" t="str">
        <f>"021915"</f>
        <v>0</v>
      </c>
      <c r="C7069" t="s">
        <v>1806</v>
      </c>
      <c r="D7069" t="s">
        <v>1226</v>
      </c>
      <c r="E7069" t="str">
        <f>"3560500405476"</f>
        <v>0</v>
      </c>
      <c r="F7069" t="str">
        <f>"001250"</f>
        <v>0</v>
      </c>
      <c r="G7069" t="s">
        <v>21</v>
      </c>
    </row>
    <row r="7070" spans="1:7">
      <c r="A7070">
        <v>7069</v>
      </c>
      <c r="B7070" t="str">
        <f>"022413"</f>
        <v>0</v>
      </c>
      <c r="C7070" t="s">
        <v>3265</v>
      </c>
      <c r="D7070" t="s">
        <v>11157</v>
      </c>
      <c r="E7070" t="str">
        <f>"1560300038481"</f>
        <v>0</v>
      </c>
      <c r="F7070" t="str">
        <f>"001250"</f>
        <v>0</v>
      </c>
      <c r="G7070" t="s">
        <v>21</v>
      </c>
    </row>
    <row r="7071" spans="1:7">
      <c r="A7071">
        <v>7070</v>
      </c>
      <c r="B7071" t="str">
        <f>"022615"</f>
        <v>0</v>
      </c>
      <c r="C7071" t="s">
        <v>11158</v>
      </c>
      <c r="D7071" t="s">
        <v>11159</v>
      </c>
      <c r="E7071" t="str">
        <f>"3560500595542"</f>
        <v>0</v>
      </c>
      <c r="F7071" t="str">
        <f>"001250"</f>
        <v>0</v>
      </c>
      <c r="G7071" t="s">
        <v>21</v>
      </c>
    </row>
    <row r="7072" spans="1:7">
      <c r="A7072">
        <v>7071</v>
      </c>
      <c r="B7072" t="str">
        <f>"022738"</f>
        <v>0</v>
      </c>
      <c r="C7072" t="s">
        <v>11160</v>
      </c>
      <c r="D7072" t="s">
        <v>11161</v>
      </c>
      <c r="E7072" t="str">
        <f>"3560100409946"</f>
        <v>0</v>
      </c>
      <c r="F7072" t="str">
        <f>"001250"</f>
        <v>0</v>
      </c>
      <c r="G7072" t="s">
        <v>21</v>
      </c>
    </row>
    <row r="7073" spans="1:7">
      <c r="A7073">
        <v>7072</v>
      </c>
      <c r="B7073" t="str">
        <f>"022766"</f>
        <v>0</v>
      </c>
      <c r="C7073" t="s">
        <v>11162</v>
      </c>
      <c r="D7073" t="s">
        <v>11163</v>
      </c>
      <c r="E7073" t="str">
        <f>"3560100388141"</f>
        <v>0</v>
      </c>
      <c r="F7073" t="str">
        <f>"001250"</f>
        <v>0</v>
      </c>
      <c r="G7073" t="s">
        <v>21</v>
      </c>
    </row>
    <row r="7074" spans="1:7">
      <c r="A7074">
        <v>7073</v>
      </c>
      <c r="B7074" t="str">
        <f>"022802"</f>
        <v>0</v>
      </c>
      <c r="C7074" t="s">
        <v>11164</v>
      </c>
      <c r="D7074" t="s">
        <v>11165</v>
      </c>
      <c r="E7074" t="str">
        <f>"3560200336860"</f>
        <v>0</v>
      </c>
      <c r="F7074" t="str">
        <f>"001250"</f>
        <v>0</v>
      </c>
      <c r="G7074" t="s">
        <v>21</v>
      </c>
    </row>
    <row r="7075" spans="1:7">
      <c r="A7075">
        <v>7074</v>
      </c>
      <c r="B7075" t="str">
        <f>"022805"</f>
        <v>0</v>
      </c>
      <c r="C7075" t="s">
        <v>11166</v>
      </c>
      <c r="D7075" t="s">
        <v>11167</v>
      </c>
      <c r="E7075" t="str">
        <f>"5501101048618"</f>
        <v>0</v>
      </c>
      <c r="F7075" t="str">
        <f>"001250"</f>
        <v>0</v>
      </c>
      <c r="G7075" t="s">
        <v>21</v>
      </c>
    </row>
    <row r="7076" spans="1:7">
      <c r="A7076">
        <v>7075</v>
      </c>
      <c r="B7076" t="str">
        <f>"022820"</f>
        <v>0</v>
      </c>
      <c r="C7076" t="s">
        <v>11168</v>
      </c>
      <c r="D7076" t="s">
        <v>11169</v>
      </c>
      <c r="E7076" t="str">
        <f>"3560300993731"</f>
        <v>0</v>
      </c>
      <c r="F7076" t="str">
        <f>"001250"</f>
        <v>0</v>
      </c>
      <c r="G7076" t="s">
        <v>21</v>
      </c>
    </row>
    <row r="7077" spans="1:7">
      <c r="A7077">
        <v>7076</v>
      </c>
      <c r="B7077" t="str">
        <f>"023296"</f>
        <v>0</v>
      </c>
      <c r="C7077" t="s">
        <v>11170</v>
      </c>
      <c r="D7077" t="s">
        <v>11171</v>
      </c>
      <c r="E7077" t="str">
        <f>"1560400032710"</f>
        <v>0</v>
      </c>
      <c r="F7077" t="str">
        <f>"001250"</f>
        <v>0</v>
      </c>
      <c r="G7077" t="s">
        <v>21</v>
      </c>
    </row>
    <row r="7078" spans="1:7">
      <c r="A7078">
        <v>7077</v>
      </c>
      <c r="B7078" t="str">
        <f>"023384"</f>
        <v>0</v>
      </c>
      <c r="C7078" t="s">
        <v>3613</v>
      </c>
      <c r="D7078" t="s">
        <v>11172</v>
      </c>
      <c r="E7078" t="str">
        <f>"3560700049151"</f>
        <v>0</v>
      </c>
      <c r="F7078" t="str">
        <f>"001250"</f>
        <v>0</v>
      </c>
      <c r="G7078" t="s">
        <v>21</v>
      </c>
    </row>
    <row r="7079" spans="1:7">
      <c r="A7079">
        <v>7078</v>
      </c>
      <c r="B7079" t="str">
        <f>"023721"</f>
        <v>0</v>
      </c>
      <c r="C7079" t="s">
        <v>11173</v>
      </c>
      <c r="D7079" t="s">
        <v>11174</v>
      </c>
      <c r="E7079" t="str">
        <f>"1560600035399"</f>
        <v>0</v>
      </c>
      <c r="F7079" t="str">
        <f>"001250"</f>
        <v>0</v>
      </c>
      <c r="G7079" t="s">
        <v>21</v>
      </c>
    </row>
    <row r="7080" spans="1:7">
      <c r="A7080">
        <v>7079</v>
      </c>
      <c r="B7080" t="str">
        <f>"023826"</f>
        <v>0</v>
      </c>
      <c r="C7080" t="s">
        <v>1524</v>
      </c>
      <c r="D7080" t="s">
        <v>11175</v>
      </c>
      <c r="E7080" t="str">
        <f>"3560100263879"</f>
        <v>0</v>
      </c>
      <c r="F7080" t="str">
        <f>"001250"</f>
        <v>0</v>
      </c>
      <c r="G7080" t="s">
        <v>21</v>
      </c>
    </row>
    <row r="7081" spans="1:7">
      <c r="A7081">
        <v>7080</v>
      </c>
      <c r="B7081" t="str">
        <f>"024020"</f>
        <v>0</v>
      </c>
      <c r="C7081" t="s">
        <v>11176</v>
      </c>
      <c r="D7081" t="s">
        <v>11177</v>
      </c>
      <c r="E7081" t="str">
        <f>"3570700556389"</f>
        <v>0</v>
      </c>
      <c r="F7081" t="str">
        <f>"001250"</f>
        <v>0</v>
      </c>
      <c r="G7081" t="s">
        <v>21</v>
      </c>
    </row>
    <row r="7082" spans="1:7">
      <c r="A7082">
        <v>7081</v>
      </c>
      <c r="B7082" t="str">
        <f>"024254"</f>
        <v>0</v>
      </c>
      <c r="C7082" t="s">
        <v>11178</v>
      </c>
      <c r="D7082" t="s">
        <v>11179</v>
      </c>
      <c r="E7082" t="str">
        <f>"1501100062169"</f>
        <v>0</v>
      </c>
      <c r="F7082" t="str">
        <f>"001250"</f>
        <v>0</v>
      </c>
      <c r="G7082" t="s">
        <v>21</v>
      </c>
    </row>
    <row r="7083" spans="1:7">
      <c r="A7083">
        <v>7082</v>
      </c>
      <c r="B7083" t="str">
        <f>"024258"</f>
        <v>0</v>
      </c>
      <c r="C7083" t="s">
        <v>11180</v>
      </c>
      <c r="D7083" t="s">
        <v>11167</v>
      </c>
      <c r="E7083" t="str">
        <f>"3569900236092"</f>
        <v>0</v>
      </c>
      <c r="F7083" t="str">
        <f>"001250"</f>
        <v>0</v>
      </c>
      <c r="G7083" t="s">
        <v>21</v>
      </c>
    </row>
    <row r="7084" spans="1:7">
      <c r="A7084">
        <v>7083</v>
      </c>
      <c r="B7084" t="str">
        <f>"024515"</f>
        <v>0</v>
      </c>
      <c r="C7084" t="s">
        <v>11181</v>
      </c>
      <c r="D7084" t="s">
        <v>11182</v>
      </c>
      <c r="E7084" t="str">
        <f>"2500900002401"</f>
        <v>0</v>
      </c>
      <c r="F7084" t="str">
        <f>"001250"</f>
        <v>0</v>
      </c>
      <c r="G7084" t="s">
        <v>21</v>
      </c>
    </row>
    <row r="7085" spans="1:7">
      <c r="A7085">
        <v>7084</v>
      </c>
      <c r="B7085" t="str">
        <f>"024648"</f>
        <v>0</v>
      </c>
      <c r="C7085" t="s">
        <v>4547</v>
      </c>
      <c r="D7085" t="s">
        <v>11183</v>
      </c>
      <c r="E7085" t="str">
        <f>"1509900258952"</f>
        <v>0</v>
      </c>
      <c r="F7085" t="str">
        <f>"001250"</f>
        <v>0</v>
      </c>
      <c r="G7085" t="s">
        <v>21</v>
      </c>
    </row>
    <row r="7086" spans="1:7">
      <c r="A7086">
        <v>7085</v>
      </c>
      <c r="B7086" t="str">
        <f>"024758"</f>
        <v>0</v>
      </c>
      <c r="C7086" t="s">
        <v>11184</v>
      </c>
      <c r="D7086" t="s">
        <v>11185</v>
      </c>
      <c r="E7086" t="str">
        <f>"1560200061864"</f>
        <v>0</v>
      </c>
      <c r="F7086" t="str">
        <f>"001250"</f>
        <v>0</v>
      </c>
      <c r="G7086" t="s">
        <v>21</v>
      </c>
    </row>
    <row r="7087" spans="1:7">
      <c r="A7087">
        <v>7086</v>
      </c>
      <c r="B7087" t="str">
        <f>"024826"</f>
        <v>0</v>
      </c>
      <c r="C7087" t="s">
        <v>11186</v>
      </c>
      <c r="D7087" t="s">
        <v>11187</v>
      </c>
      <c r="E7087" t="str">
        <f>"1560100012772"</f>
        <v>0</v>
      </c>
      <c r="F7087" t="str">
        <f>"001250"</f>
        <v>0</v>
      </c>
      <c r="G7087" t="s">
        <v>21</v>
      </c>
    </row>
    <row r="7088" spans="1:7">
      <c r="A7088">
        <v>7087</v>
      </c>
      <c r="B7088" t="str">
        <f>"025414"</f>
        <v>0</v>
      </c>
      <c r="C7088" t="s">
        <v>11188</v>
      </c>
      <c r="D7088" t="s">
        <v>11189</v>
      </c>
      <c r="E7088" t="str">
        <f>"5560100042038"</f>
        <v>0</v>
      </c>
      <c r="F7088" t="str">
        <f>"001250"</f>
        <v>0</v>
      </c>
      <c r="G7088" t="s">
        <v>21</v>
      </c>
    </row>
    <row r="7089" spans="1:7">
      <c r="A7089">
        <v>7088</v>
      </c>
      <c r="B7089" t="str">
        <f>"025448"</f>
        <v>0</v>
      </c>
      <c r="C7089" t="s">
        <v>9388</v>
      </c>
      <c r="D7089" t="s">
        <v>11190</v>
      </c>
      <c r="E7089" t="str">
        <f>"1560300090424"</f>
        <v>0</v>
      </c>
      <c r="F7089" t="str">
        <f>"001250"</f>
        <v>0</v>
      </c>
      <c r="G7089" t="s">
        <v>21</v>
      </c>
    </row>
    <row r="7090" spans="1:7">
      <c r="A7090">
        <v>7089</v>
      </c>
      <c r="B7090" t="str">
        <f>"025917"</f>
        <v>0</v>
      </c>
      <c r="C7090" t="s">
        <v>11191</v>
      </c>
      <c r="D7090" t="s">
        <v>11192</v>
      </c>
      <c r="E7090" t="str">
        <f>"1560100006471"</f>
        <v>0</v>
      </c>
      <c r="F7090" t="str">
        <f>"001250"</f>
        <v>0</v>
      </c>
      <c r="G7090" t="s">
        <v>21</v>
      </c>
    </row>
    <row r="7091" spans="1:7">
      <c r="A7091">
        <v>7090</v>
      </c>
      <c r="B7091" t="str">
        <f>"026182"</f>
        <v>0</v>
      </c>
      <c r="C7091" t="s">
        <v>6383</v>
      </c>
      <c r="D7091" t="s">
        <v>11193</v>
      </c>
      <c r="E7091" t="str">
        <f>"3560100265651"</f>
        <v>0</v>
      </c>
      <c r="F7091" t="str">
        <f>"001250"</f>
        <v>0</v>
      </c>
      <c r="G7091" t="s">
        <v>21</v>
      </c>
    </row>
    <row r="7092" spans="1:7">
      <c r="A7092">
        <v>7091</v>
      </c>
      <c r="B7092" t="str">
        <f>"013648"</f>
        <v>0</v>
      </c>
      <c r="C7092" t="s">
        <v>11194</v>
      </c>
      <c r="D7092" t="s">
        <v>2745</v>
      </c>
      <c r="E7092" t="str">
        <f>"3579900257693"</f>
        <v>0</v>
      </c>
      <c r="F7092" t="str">
        <f>"001250"</f>
        <v>0</v>
      </c>
      <c r="G7092" t="s">
        <v>21</v>
      </c>
    </row>
    <row r="7093" spans="1:7">
      <c r="A7093">
        <v>7092</v>
      </c>
      <c r="B7093" t="str">
        <f>"022335"</f>
        <v>0</v>
      </c>
      <c r="C7093" t="s">
        <v>3171</v>
      </c>
      <c r="D7093" t="s">
        <v>11195</v>
      </c>
      <c r="E7093" t="str">
        <f>"3570100132413"</f>
        <v>0</v>
      </c>
      <c r="F7093" t="str">
        <f>"001250"</f>
        <v>0</v>
      </c>
      <c r="G7093" t="s">
        <v>21</v>
      </c>
    </row>
    <row r="7094" spans="1:7">
      <c r="A7094">
        <v>7093</v>
      </c>
      <c r="B7094" t="str">
        <f>"023304"</f>
        <v>0</v>
      </c>
      <c r="C7094" t="s">
        <v>11196</v>
      </c>
      <c r="D7094" t="s">
        <v>11197</v>
      </c>
      <c r="E7094" t="str">
        <f>"1579900028639"</f>
        <v>0</v>
      </c>
      <c r="F7094" t="str">
        <f>"001250"</f>
        <v>0</v>
      </c>
      <c r="G7094" t="s">
        <v>21</v>
      </c>
    </row>
    <row r="7095" spans="1:7">
      <c r="A7095">
        <v>7094</v>
      </c>
      <c r="B7095" t="str">
        <f>"024647"</f>
        <v>0</v>
      </c>
      <c r="C7095" t="s">
        <v>11198</v>
      </c>
      <c r="D7095" t="s">
        <v>11199</v>
      </c>
      <c r="E7095" t="str">
        <f>"3570800317114"</f>
        <v>0</v>
      </c>
      <c r="F7095" t="str">
        <f>"001250"</f>
        <v>0</v>
      </c>
      <c r="G7095" t="s">
        <v>21</v>
      </c>
    </row>
    <row r="7096" spans="1:7">
      <c r="A7096">
        <v>7095</v>
      </c>
      <c r="B7096" t="str">
        <f>"025209"</f>
        <v>0</v>
      </c>
      <c r="C7096" t="s">
        <v>11200</v>
      </c>
      <c r="D7096" t="s">
        <v>11201</v>
      </c>
      <c r="E7096" t="str">
        <f>"3570500529752"</f>
        <v>0</v>
      </c>
      <c r="F7096" t="str">
        <f>"001250"</f>
        <v>0</v>
      </c>
      <c r="G7096" t="s">
        <v>21</v>
      </c>
    </row>
    <row r="7097" spans="1:7">
      <c r="A7097">
        <v>7096</v>
      </c>
      <c r="B7097" t="str">
        <f>"025788"</f>
        <v>0</v>
      </c>
      <c r="C7097" t="s">
        <v>11202</v>
      </c>
      <c r="D7097" t="s">
        <v>11203</v>
      </c>
      <c r="E7097" t="str">
        <f>"1579900031729"</f>
        <v>0</v>
      </c>
      <c r="F7097" t="str">
        <f>"001250"</f>
        <v>0</v>
      </c>
      <c r="G7097" t="s">
        <v>21</v>
      </c>
    </row>
    <row r="7098" spans="1:7">
      <c r="A7098">
        <v>7097</v>
      </c>
      <c r="B7098" t="str">
        <f>"026183"</f>
        <v>0</v>
      </c>
      <c r="C7098" t="s">
        <v>11204</v>
      </c>
      <c r="D7098" t="s">
        <v>11205</v>
      </c>
      <c r="E7098" t="str">
        <f>"1570500094598"</f>
        <v>0</v>
      </c>
      <c r="F7098" t="str">
        <f>"001250"</f>
        <v>0</v>
      </c>
      <c r="G7098" t="s">
        <v>21</v>
      </c>
    </row>
    <row r="7099" spans="1:7">
      <c r="A7099">
        <v>7098</v>
      </c>
      <c r="B7099" t="str">
        <f>"026381"</f>
        <v>0</v>
      </c>
      <c r="C7099" t="s">
        <v>11206</v>
      </c>
      <c r="D7099" t="s">
        <v>11207</v>
      </c>
      <c r="E7099" t="str">
        <f>"1579900515076"</f>
        <v>0</v>
      </c>
      <c r="F7099" t="str">
        <f>"001250"</f>
        <v>0</v>
      </c>
      <c r="G7099" t="s">
        <v>21</v>
      </c>
    </row>
    <row r="7100" spans="1:7">
      <c r="A7100">
        <v>7099</v>
      </c>
      <c r="B7100" t="str">
        <f>"026587"</f>
        <v>0</v>
      </c>
      <c r="C7100" t="s">
        <v>9122</v>
      </c>
      <c r="D7100" t="s">
        <v>11208</v>
      </c>
      <c r="E7100" t="str">
        <f>"1570500175920"</f>
        <v>0</v>
      </c>
      <c r="F7100" t="str">
        <f>"001250"</f>
        <v>0</v>
      </c>
      <c r="G7100" t="s">
        <v>21</v>
      </c>
    </row>
    <row r="7101" spans="1:7">
      <c r="A7101">
        <v>7100</v>
      </c>
      <c r="B7101" t="str">
        <f>"020725"</f>
        <v>0</v>
      </c>
      <c r="C7101" t="s">
        <v>11209</v>
      </c>
      <c r="D7101" t="s">
        <v>11210</v>
      </c>
      <c r="E7101" t="str">
        <f>"3560700383735"</f>
        <v>0</v>
      </c>
      <c r="F7101" t="str">
        <f>"001250"</f>
        <v>0</v>
      </c>
      <c r="G7101" t="s">
        <v>21</v>
      </c>
    </row>
    <row r="7102" spans="1:7">
      <c r="A7102">
        <v>7101</v>
      </c>
      <c r="B7102" t="str">
        <f>"017606"</f>
        <v>0</v>
      </c>
      <c r="C7102" t="s">
        <v>11211</v>
      </c>
      <c r="D7102" t="s">
        <v>11212</v>
      </c>
      <c r="E7102" t="str">
        <f>"3640900247931"</f>
        <v>0</v>
      </c>
      <c r="F7102" t="str">
        <f>"001250"</f>
        <v>0</v>
      </c>
      <c r="G7102" t="s">
        <v>21</v>
      </c>
    </row>
    <row r="7103" spans="1:7">
      <c r="A7103">
        <v>7102</v>
      </c>
      <c r="B7103" t="str">
        <f>"025192"</f>
        <v>0</v>
      </c>
      <c r="C7103" t="s">
        <v>11213</v>
      </c>
      <c r="D7103" t="s">
        <v>11214</v>
      </c>
      <c r="E7103" t="str">
        <f>"1930600103200"</f>
        <v>0</v>
      </c>
      <c r="F7103" t="str">
        <f>"001250"</f>
        <v>0</v>
      </c>
      <c r="G7103" t="s">
        <v>21</v>
      </c>
    </row>
    <row r="7104" spans="1:7">
      <c r="A7104">
        <v>7103</v>
      </c>
      <c r="B7104" t="str">
        <f>"018327"</f>
        <v>0</v>
      </c>
      <c r="C7104" t="s">
        <v>678</v>
      </c>
      <c r="D7104" t="s">
        <v>11215</v>
      </c>
      <c r="E7104" t="str">
        <f>"3571100024425"</f>
        <v>0</v>
      </c>
      <c r="F7104" t="str">
        <f>"001250"</f>
        <v>0</v>
      </c>
      <c r="G7104" t="s">
        <v>21</v>
      </c>
    </row>
    <row r="7105" spans="1:7">
      <c r="A7105">
        <v>7104</v>
      </c>
      <c r="B7105" t="str">
        <f>"023865"</f>
        <v>0</v>
      </c>
      <c r="C7105" t="s">
        <v>11216</v>
      </c>
      <c r="D7105" t="s">
        <v>11217</v>
      </c>
      <c r="E7105" t="str">
        <f>"1560300117225"</f>
        <v>0</v>
      </c>
      <c r="F7105" t="str">
        <f>"001250"</f>
        <v>0</v>
      </c>
      <c r="G7105" t="s">
        <v>21</v>
      </c>
    </row>
    <row r="7106" spans="1:7">
      <c r="A7106">
        <v>7105</v>
      </c>
      <c r="B7106" t="str">
        <f>"024823"</f>
        <v>0</v>
      </c>
      <c r="C7106" t="s">
        <v>634</v>
      </c>
      <c r="D7106" t="s">
        <v>11218</v>
      </c>
      <c r="E7106" t="str">
        <f>"1510400004571"</f>
        <v>0</v>
      </c>
      <c r="F7106" t="str">
        <f>"001250"</f>
        <v>0</v>
      </c>
      <c r="G7106" t="s">
        <v>21</v>
      </c>
    </row>
    <row r="7107" spans="1:7">
      <c r="A7107">
        <v>7106</v>
      </c>
      <c r="B7107" t="str">
        <f>"000159"</f>
        <v>0</v>
      </c>
      <c r="C7107" t="s">
        <v>8873</v>
      </c>
      <c r="D7107" t="s">
        <v>11219</v>
      </c>
      <c r="E7107" t="str">
        <f>"3820100030685"</f>
        <v>0</v>
      </c>
      <c r="F7107" t="str">
        <f>"001340"</f>
        <v>0</v>
      </c>
      <c r="G7107" t="s">
        <v>21</v>
      </c>
    </row>
    <row r="7108" spans="1:7">
      <c r="A7108">
        <v>7107</v>
      </c>
      <c r="B7108" t="str">
        <f>"000357"</f>
        <v>0</v>
      </c>
      <c r="C7108" t="s">
        <v>11220</v>
      </c>
      <c r="D7108" t="s">
        <v>11221</v>
      </c>
      <c r="E7108" t="str">
        <f>"3830100310211"</f>
        <v>0</v>
      </c>
      <c r="F7108" t="str">
        <f>"001340"</f>
        <v>0</v>
      </c>
      <c r="G7108" t="s">
        <v>21</v>
      </c>
    </row>
    <row r="7109" spans="1:7">
      <c r="A7109">
        <v>7108</v>
      </c>
      <c r="B7109" t="str">
        <f>"000860"</f>
        <v>0</v>
      </c>
      <c r="C7109" t="s">
        <v>11222</v>
      </c>
      <c r="D7109" t="s">
        <v>11223</v>
      </c>
      <c r="E7109" t="str">
        <f>"3839900455441"</f>
        <v>0</v>
      </c>
      <c r="F7109" t="str">
        <f>"001340"</f>
        <v>0</v>
      </c>
      <c r="G7109" t="s">
        <v>21</v>
      </c>
    </row>
    <row r="7110" spans="1:7">
      <c r="A7110">
        <v>7109</v>
      </c>
      <c r="B7110" t="str">
        <f>"002118"</f>
        <v>0</v>
      </c>
      <c r="C7110" t="s">
        <v>11224</v>
      </c>
      <c r="D7110" t="s">
        <v>11225</v>
      </c>
      <c r="E7110" t="str">
        <f>"3839900094210"</f>
        <v>0</v>
      </c>
      <c r="F7110" t="str">
        <f>"001340"</f>
        <v>0</v>
      </c>
      <c r="G7110" t="s">
        <v>21</v>
      </c>
    </row>
    <row r="7111" spans="1:7">
      <c r="A7111">
        <v>7110</v>
      </c>
      <c r="B7111" t="str">
        <f>"003883"</f>
        <v>0</v>
      </c>
      <c r="C7111" t="s">
        <v>11226</v>
      </c>
      <c r="D7111" t="s">
        <v>11227</v>
      </c>
      <c r="E7111" t="str">
        <f>"3501400349559"</f>
        <v>0</v>
      </c>
      <c r="F7111" t="str">
        <f>"001340"</f>
        <v>0</v>
      </c>
      <c r="G7111" t="s">
        <v>21</v>
      </c>
    </row>
    <row r="7112" spans="1:7">
      <c r="A7112">
        <v>7111</v>
      </c>
      <c r="B7112" t="str">
        <f>"004316"</f>
        <v>0</v>
      </c>
      <c r="C7112" t="s">
        <v>326</v>
      </c>
      <c r="D7112" t="s">
        <v>777</v>
      </c>
      <c r="E7112" t="str">
        <f>"3819900016952"</f>
        <v>0</v>
      </c>
      <c r="F7112" t="str">
        <f>"001340"</f>
        <v>0</v>
      </c>
      <c r="G7112" t="s">
        <v>21</v>
      </c>
    </row>
    <row r="7113" spans="1:7">
      <c r="A7113">
        <v>7112</v>
      </c>
      <c r="B7113" t="str">
        <f>"004325"</f>
        <v>0</v>
      </c>
      <c r="C7113" t="s">
        <v>5091</v>
      </c>
      <c r="D7113" t="s">
        <v>11228</v>
      </c>
      <c r="E7113" t="str">
        <f>"3810500105411"</f>
        <v>0</v>
      </c>
      <c r="F7113" t="str">
        <f>"001340"</f>
        <v>0</v>
      </c>
      <c r="G7113" t="s">
        <v>21</v>
      </c>
    </row>
    <row r="7114" spans="1:7">
      <c r="A7114">
        <v>7113</v>
      </c>
      <c r="B7114" t="str">
        <f>"004441"</f>
        <v>0</v>
      </c>
      <c r="C7114" t="s">
        <v>7606</v>
      </c>
      <c r="D7114" t="s">
        <v>11229</v>
      </c>
      <c r="E7114" t="str">
        <f>"3839900358187"</f>
        <v>0</v>
      </c>
      <c r="F7114" t="str">
        <f>"001340"</f>
        <v>0</v>
      </c>
      <c r="G7114" t="s">
        <v>21</v>
      </c>
    </row>
    <row r="7115" spans="1:7">
      <c r="A7115">
        <v>7114</v>
      </c>
      <c r="B7115" t="str">
        <f>"005139"</f>
        <v>0</v>
      </c>
      <c r="C7115" t="s">
        <v>7591</v>
      </c>
      <c r="D7115" t="s">
        <v>11230</v>
      </c>
      <c r="E7115" t="str">
        <f>"3839900404286"</f>
        <v>0</v>
      </c>
      <c r="F7115" t="str">
        <f>"001340"</f>
        <v>0</v>
      </c>
      <c r="G7115" t="s">
        <v>21</v>
      </c>
    </row>
    <row r="7116" spans="1:7">
      <c r="A7116">
        <v>7115</v>
      </c>
      <c r="B7116" t="str">
        <f>"005140"</f>
        <v>0</v>
      </c>
      <c r="C7116" t="s">
        <v>1093</v>
      </c>
      <c r="D7116" t="s">
        <v>11231</v>
      </c>
      <c r="E7116" t="str">
        <f>"3839900120806"</f>
        <v>0</v>
      </c>
      <c r="F7116" t="str">
        <f>"001340"</f>
        <v>0</v>
      </c>
      <c r="G7116" t="s">
        <v>21</v>
      </c>
    </row>
    <row r="7117" spans="1:7">
      <c r="A7117">
        <v>7116</v>
      </c>
      <c r="B7117" t="str">
        <f>"005141"</f>
        <v>0</v>
      </c>
      <c r="C7117" t="s">
        <v>9327</v>
      </c>
      <c r="D7117" t="s">
        <v>11232</v>
      </c>
      <c r="E7117" t="str">
        <f>"3830300006273"</f>
        <v>0</v>
      </c>
      <c r="F7117" t="str">
        <f>"001340"</f>
        <v>0</v>
      </c>
      <c r="G7117" t="s">
        <v>21</v>
      </c>
    </row>
    <row r="7118" spans="1:7">
      <c r="A7118">
        <v>7117</v>
      </c>
      <c r="B7118" t="str">
        <f>"006634"</f>
        <v>0</v>
      </c>
      <c r="C7118" t="s">
        <v>11233</v>
      </c>
      <c r="D7118" t="s">
        <v>11234</v>
      </c>
      <c r="E7118" t="str">
        <f>"3839900455450"</f>
        <v>0</v>
      </c>
      <c r="F7118" t="str">
        <f>"001340"</f>
        <v>0</v>
      </c>
      <c r="G7118" t="s">
        <v>21</v>
      </c>
    </row>
    <row r="7119" spans="1:7">
      <c r="A7119">
        <v>7118</v>
      </c>
      <c r="B7119" t="str">
        <f>"008001"</f>
        <v>0</v>
      </c>
      <c r="C7119" t="s">
        <v>7194</v>
      </c>
      <c r="D7119" t="s">
        <v>11235</v>
      </c>
      <c r="E7119" t="str">
        <f>"3830100311145"</f>
        <v>0</v>
      </c>
      <c r="F7119" t="str">
        <f>"001340"</f>
        <v>0</v>
      </c>
      <c r="G7119" t="s">
        <v>21</v>
      </c>
    </row>
    <row r="7120" spans="1:7">
      <c r="A7120">
        <v>7119</v>
      </c>
      <c r="B7120" t="str">
        <f>"008868"</f>
        <v>0</v>
      </c>
      <c r="C7120" t="s">
        <v>514</v>
      </c>
      <c r="D7120" t="s">
        <v>11236</v>
      </c>
      <c r="E7120" t="str">
        <f>"3480900045974"</f>
        <v>0</v>
      </c>
      <c r="F7120" t="str">
        <f>"001340"</f>
        <v>0</v>
      </c>
      <c r="G7120" t="s">
        <v>21</v>
      </c>
    </row>
    <row r="7121" spans="1:7">
      <c r="A7121">
        <v>7120</v>
      </c>
      <c r="B7121" t="str">
        <f>"016743"</f>
        <v>0</v>
      </c>
      <c r="C7121" t="s">
        <v>11237</v>
      </c>
      <c r="D7121" t="s">
        <v>11238</v>
      </c>
      <c r="E7121" t="str">
        <f>"3820300016619"</f>
        <v>0</v>
      </c>
      <c r="F7121" t="str">
        <f>"001340"</f>
        <v>0</v>
      </c>
      <c r="G7121" t="s">
        <v>21</v>
      </c>
    </row>
    <row r="7122" spans="1:7">
      <c r="A7122">
        <v>7121</v>
      </c>
      <c r="B7122" t="str">
        <f>"017603"</f>
        <v>0</v>
      </c>
      <c r="C7122" t="s">
        <v>2848</v>
      </c>
      <c r="D7122" t="s">
        <v>11239</v>
      </c>
      <c r="E7122" t="str">
        <f>"3820100196362"</f>
        <v>0</v>
      </c>
      <c r="F7122" t="str">
        <f>"001340"</f>
        <v>0</v>
      </c>
      <c r="G7122" t="s">
        <v>21</v>
      </c>
    </row>
    <row r="7123" spans="1:7">
      <c r="A7123">
        <v>7122</v>
      </c>
      <c r="B7123" t="str">
        <f>"004803"</f>
        <v>0</v>
      </c>
      <c r="C7123" t="s">
        <v>11240</v>
      </c>
      <c r="D7123" t="s">
        <v>11241</v>
      </c>
      <c r="E7123" t="str">
        <f>"3839900292143"</f>
        <v>0</v>
      </c>
      <c r="F7123" t="str">
        <f>"001340"</f>
        <v>0</v>
      </c>
      <c r="G7123" t="s">
        <v>21</v>
      </c>
    </row>
    <row r="7124" spans="1:7">
      <c r="A7124">
        <v>7123</v>
      </c>
      <c r="B7124" t="str">
        <f>"004987"</f>
        <v>0</v>
      </c>
      <c r="C7124" t="s">
        <v>11242</v>
      </c>
      <c r="D7124" t="s">
        <v>11243</v>
      </c>
      <c r="E7124" t="str">
        <f>"3839900194931"</f>
        <v>0</v>
      </c>
      <c r="F7124" t="str">
        <f>"001340"</f>
        <v>0</v>
      </c>
      <c r="G7124" t="s">
        <v>21</v>
      </c>
    </row>
    <row r="7125" spans="1:7">
      <c r="A7125">
        <v>7124</v>
      </c>
      <c r="B7125" t="str">
        <f>"021032"</f>
        <v>0</v>
      </c>
      <c r="C7125" t="s">
        <v>11244</v>
      </c>
      <c r="D7125" t="s">
        <v>11245</v>
      </c>
      <c r="E7125" t="str">
        <f>"3550600272338"</f>
        <v>0</v>
      </c>
      <c r="F7125" t="str">
        <f>"001340"</f>
        <v>0</v>
      </c>
      <c r="G7125" t="s">
        <v>21</v>
      </c>
    </row>
    <row r="7126" spans="1:7">
      <c r="A7126">
        <v>7125</v>
      </c>
      <c r="B7126" t="str">
        <f>"019814"</f>
        <v>0</v>
      </c>
      <c r="C7126" t="s">
        <v>11246</v>
      </c>
      <c r="D7126" t="s">
        <v>11247</v>
      </c>
      <c r="E7126" t="str">
        <f>"3800900996096"</f>
        <v>0</v>
      </c>
      <c r="F7126" t="str">
        <f>"001340"</f>
        <v>0</v>
      </c>
      <c r="G7126" t="s">
        <v>21</v>
      </c>
    </row>
    <row r="7127" spans="1:7">
      <c r="A7127">
        <v>7126</v>
      </c>
      <c r="B7127" t="str">
        <f>"024255"</f>
        <v>0</v>
      </c>
      <c r="C7127" t="s">
        <v>11248</v>
      </c>
      <c r="D7127" t="s">
        <v>11249</v>
      </c>
      <c r="E7127" t="str">
        <f>"1809900046634"</f>
        <v>0</v>
      </c>
      <c r="F7127" t="str">
        <f>"001340"</f>
        <v>0</v>
      </c>
      <c r="G7127" t="s">
        <v>21</v>
      </c>
    </row>
    <row r="7128" spans="1:7">
      <c r="A7128">
        <v>7127</v>
      </c>
      <c r="B7128" t="str">
        <f>"018717"</f>
        <v>0</v>
      </c>
      <c r="C7128" t="s">
        <v>11250</v>
      </c>
      <c r="D7128" t="s">
        <v>11251</v>
      </c>
      <c r="E7128" t="str">
        <f>"3841000090784"</f>
        <v>0</v>
      </c>
      <c r="F7128" t="str">
        <f>"001340"</f>
        <v>0</v>
      </c>
      <c r="G7128" t="s">
        <v>21</v>
      </c>
    </row>
    <row r="7129" spans="1:7">
      <c r="A7129">
        <v>7128</v>
      </c>
      <c r="B7129" t="str">
        <f>"013853"</f>
        <v>0</v>
      </c>
      <c r="C7129" t="s">
        <v>11252</v>
      </c>
      <c r="D7129" t="s">
        <v>11253</v>
      </c>
      <c r="E7129" t="str">
        <f>"3820700016209"</f>
        <v>0</v>
      </c>
      <c r="F7129" t="str">
        <f>"001340"</f>
        <v>0</v>
      </c>
      <c r="G7129" t="s">
        <v>21</v>
      </c>
    </row>
    <row r="7130" spans="1:7">
      <c r="A7130">
        <v>7129</v>
      </c>
      <c r="B7130" t="str">
        <f>"013968"</f>
        <v>0</v>
      </c>
      <c r="C7130" t="s">
        <v>11254</v>
      </c>
      <c r="D7130" t="s">
        <v>11255</v>
      </c>
      <c r="E7130" t="str">
        <f>"3610100020525"</f>
        <v>0</v>
      </c>
      <c r="F7130" t="str">
        <f>"001340"</f>
        <v>0</v>
      </c>
      <c r="G7130" t="s">
        <v>21</v>
      </c>
    </row>
    <row r="7131" spans="1:7">
      <c r="A7131">
        <v>7130</v>
      </c>
      <c r="B7131" t="str">
        <f>"016742"</f>
        <v>0</v>
      </c>
      <c r="C7131" t="s">
        <v>11256</v>
      </c>
      <c r="D7131" t="s">
        <v>11257</v>
      </c>
      <c r="E7131" t="str">
        <f>"3809900033814"</f>
        <v>0</v>
      </c>
      <c r="F7131" t="str">
        <f>"001340"</f>
        <v>0</v>
      </c>
      <c r="G7131" t="s">
        <v>21</v>
      </c>
    </row>
    <row r="7132" spans="1:7">
      <c r="A7132">
        <v>7131</v>
      </c>
      <c r="B7132" t="str">
        <f>"017242"</f>
        <v>0</v>
      </c>
      <c r="C7132" t="s">
        <v>8482</v>
      </c>
      <c r="D7132" t="s">
        <v>11258</v>
      </c>
      <c r="E7132" t="str">
        <f>"3839900200265"</f>
        <v>0</v>
      </c>
      <c r="F7132" t="str">
        <f>"001340"</f>
        <v>0</v>
      </c>
      <c r="G7132" t="s">
        <v>21</v>
      </c>
    </row>
    <row r="7133" spans="1:7">
      <c r="A7133">
        <v>7132</v>
      </c>
      <c r="B7133" t="str">
        <f>"018687"</f>
        <v>0</v>
      </c>
      <c r="C7133" t="s">
        <v>6146</v>
      </c>
      <c r="D7133" t="s">
        <v>11259</v>
      </c>
      <c r="E7133" t="str">
        <f>"3930600486113"</f>
        <v>0</v>
      </c>
      <c r="F7133" t="str">
        <f>"001340"</f>
        <v>0</v>
      </c>
      <c r="G7133" t="s">
        <v>21</v>
      </c>
    </row>
    <row r="7134" spans="1:7">
      <c r="A7134">
        <v>7133</v>
      </c>
      <c r="B7134" t="str">
        <f>"020618"</f>
        <v>0</v>
      </c>
      <c r="C7134" t="s">
        <v>11260</v>
      </c>
      <c r="D7134" t="s">
        <v>11261</v>
      </c>
      <c r="E7134" t="str">
        <f>"3839900260772"</f>
        <v>0</v>
      </c>
      <c r="F7134" t="str">
        <f>"001340"</f>
        <v>0</v>
      </c>
      <c r="G7134" t="s">
        <v>21</v>
      </c>
    </row>
    <row r="7135" spans="1:7">
      <c r="A7135">
        <v>7134</v>
      </c>
      <c r="B7135" t="str">
        <f>"020678"</f>
        <v>0</v>
      </c>
      <c r="C7135" t="s">
        <v>46</v>
      </c>
      <c r="D7135" t="s">
        <v>11262</v>
      </c>
      <c r="E7135" t="str">
        <f>"3830200052460"</f>
        <v>0</v>
      </c>
      <c r="F7135" t="str">
        <f>"001340"</f>
        <v>0</v>
      </c>
      <c r="G7135" t="s">
        <v>21</v>
      </c>
    </row>
    <row r="7136" spans="1:7">
      <c r="A7136">
        <v>7135</v>
      </c>
      <c r="B7136" t="str">
        <f>"021265"</f>
        <v>0</v>
      </c>
      <c r="C7136" t="s">
        <v>4948</v>
      </c>
      <c r="D7136" t="s">
        <v>11263</v>
      </c>
      <c r="E7136" t="str">
        <f>"3900100900026"</f>
        <v>0</v>
      </c>
      <c r="F7136" t="str">
        <f>"001340"</f>
        <v>0</v>
      </c>
      <c r="G7136" t="s">
        <v>21</v>
      </c>
    </row>
    <row r="7137" spans="1:7">
      <c r="A7137">
        <v>7136</v>
      </c>
      <c r="B7137" t="str">
        <f>"021722"</f>
        <v>0</v>
      </c>
      <c r="C7137" t="s">
        <v>11264</v>
      </c>
      <c r="D7137" t="s">
        <v>11263</v>
      </c>
      <c r="E7137" t="str">
        <f>"3101000400704"</f>
        <v>0</v>
      </c>
      <c r="F7137" t="str">
        <f>"001340"</f>
        <v>0</v>
      </c>
      <c r="G7137" t="s">
        <v>21</v>
      </c>
    </row>
    <row r="7138" spans="1:7">
      <c r="A7138">
        <v>7137</v>
      </c>
      <c r="B7138" t="str">
        <f>"023429"</f>
        <v>0</v>
      </c>
      <c r="C7138" t="s">
        <v>11265</v>
      </c>
      <c r="D7138" t="s">
        <v>11266</v>
      </c>
      <c r="E7138" t="str">
        <f>"3840200280021"</f>
        <v>0</v>
      </c>
      <c r="F7138" t="str">
        <f>"001340"</f>
        <v>0</v>
      </c>
      <c r="G7138" t="s">
        <v>21</v>
      </c>
    </row>
    <row r="7139" spans="1:7">
      <c r="A7139">
        <v>7138</v>
      </c>
      <c r="B7139" t="str">
        <f>"023596"</f>
        <v>0</v>
      </c>
      <c r="C7139" t="s">
        <v>7647</v>
      </c>
      <c r="D7139" t="s">
        <v>11267</v>
      </c>
      <c r="E7139" t="str">
        <f>"1919900081820"</f>
        <v>0</v>
      </c>
      <c r="F7139" t="str">
        <f>"001340"</f>
        <v>0</v>
      </c>
      <c r="G7139" t="s">
        <v>21</v>
      </c>
    </row>
    <row r="7140" spans="1:7">
      <c r="A7140">
        <v>7139</v>
      </c>
      <c r="B7140" t="str">
        <f>"024072"</f>
        <v>0</v>
      </c>
      <c r="C7140" t="s">
        <v>5473</v>
      </c>
      <c r="D7140" t="s">
        <v>380</v>
      </c>
      <c r="E7140" t="str">
        <f>"3959900154114"</f>
        <v>0</v>
      </c>
      <c r="F7140" t="str">
        <f>"001340"</f>
        <v>0</v>
      </c>
      <c r="G7140" t="s">
        <v>21</v>
      </c>
    </row>
    <row r="7141" spans="1:7">
      <c r="A7141">
        <v>7140</v>
      </c>
      <c r="B7141" t="str">
        <f>"024967"</f>
        <v>0</v>
      </c>
      <c r="C7141" t="s">
        <v>6128</v>
      </c>
      <c r="D7141" t="s">
        <v>11268</v>
      </c>
      <c r="E7141" t="str">
        <f>"3900200126926"</f>
        <v>0</v>
      </c>
      <c r="F7141" t="str">
        <f>"001340"</f>
        <v>0</v>
      </c>
      <c r="G7141" t="s">
        <v>21</v>
      </c>
    </row>
    <row r="7142" spans="1:7">
      <c r="A7142">
        <v>7141</v>
      </c>
      <c r="B7142" t="str">
        <f>"025304"</f>
        <v>0</v>
      </c>
      <c r="C7142" t="s">
        <v>11269</v>
      </c>
      <c r="D7142" t="s">
        <v>11270</v>
      </c>
      <c r="E7142" t="str">
        <f>"3810100053090"</f>
        <v>0</v>
      </c>
      <c r="F7142" t="str">
        <f>"001340"</f>
        <v>0</v>
      </c>
      <c r="G7142" t="s">
        <v>21</v>
      </c>
    </row>
    <row r="7143" spans="1:7">
      <c r="A7143">
        <v>7142</v>
      </c>
      <c r="B7143" t="str">
        <f>"027167"</f>
        <v>0</v>
      </c>
      <c r="C7143" t="s">
        <v>11271</v>
      </c>
      <c r="D7143" t="s">
        <v>11272</v>
      </c>
      <c r="E7143" t="str">
        <f>"1820600008551"</f>
        <v>0</v>
      </c>
      <c r="F7143" t="str">
        <f>"001340"</f>
        <v>0</v>
      </c>
      <c r="G7143" t="s">
        <v>21</v>
      </c>
    </row>
    <row r="7144" spans="1:7">
      <c r="A7144">
        <v>7143</v>
      </c>
      <c r="B7144" t="str">
        <f>"025935"</f>
        <v>0</v>
      </c>
      <c r="C7144" t="s">
        <v>11273</v>
      </c>
      <c r="D7144" t="s">
        <v>11274</v>
      </c>
      <c r="E7144" t="str">
        <f>"1809900220626"</f>
        <v>0</v>
      </c>
      <c r="F7144" t="str">
        <f>"001340"</f>
        <v>0</v>
      </c>
      <c r="G7144" t="s">
        <v>21</v>
      </c>
    </row>
    <row r="7145" spans="1:7">
      <c r="A7145">
        <v>7144</v>
      </c>
      <c r="B7145" t="str">
        <f>"025127"</f>
        <v>0</v>
      </c>
      <c r="C7145" t="s">
        <v>9871</v>
      </c>
      <c r="D7145" t="s">
        <v>9300</v>
      </c>
      <c r="E7145" t="str">
        <f>"1860300022973"</f>
        <v>0</v>
      </c>
      <c r="F7145" t="str">
        <f>"001340"</f>
        <v>0</v>
      </c>
      <c r="G7145" t="s">
        <v>21</v>
      </c>
    </row>
    <row r="7146" spans="1:7">
      <c r="A7146">
        <v>7145</v>
      </c>
      <c r="B7146" t="str">
        <f>"016221"</f>
        <v>0</v>
      </c>
      <c r="C7146" t="s">
        <v>11275</v>
      </c>
      <c r="D7146" t="s">
        <v>11276</v>
      </c>
      <c r="E7146" t="str">
        <f>"3900300095747"</f>
        <v>0</v>
      </c>
      <c r="F7146" t="str">
        <f>"001340"</f>
        <v>0</v>
      </c>
      <c r="G7146" t="s">
        <v>21</v>
      </c>
    </row>
    <row r="7147" spans="1:7">
      <c r="A7147">
        <v>7146</v>
      </c>
      <c r="B7147" t="str">
        <f>"019120"</f>
        <v>0</v>
      </c>
      <c r="C7147" t="s">
        <v>11277</v>
      </c>
      <c r="D7147" t="s">
        <v>11278</v>
      </c>
      <c r="E7147" t="str">
        <f>"3820400272145"</f>
        <v>0</v>
      </c>
      <c r="F7147" t="str">
        <f>"001340"</f>
        <v>0</v>
      </c>
      <c r="G7147" t="s">
        <v>21</v>
      </c>
    </row>
    <row r="7148" spans="1:7">
      <c r="A7148">
        <v>7147</v>
      </c>
      <c r="B7148" t="str">
        <f>"025936"</f>
        <v>0</v>
      </c>
      <c r="C7148" t="s">
        <v>1653</v>
      </c>
      <c r="D7148" t="s">
        <v>11279</v>
      </c>
      <c r="E7148" t="str">
        <f>"1929800005790"</f>
        <v>0</v>
      </c>
      <c r="F7148" t="str">
        <f>"001340"</f>
        <v>0</v>
      </c>
      <c r="G7148" t="s">
        <v>21</v>
      </c>
    </row>
    <row r="7149" spans="1:7">
      <c r="A7149">
        <v>7148</v>
      </c>
      <c r="B7149" t="str">
        <f>"026184"</f>
        <v>0</v>
      </c>
      <c r="C7149" t="s">
        <v>11280</v>
      </c>
      <c r="D7149" t="s">
        <v>11281</v>
      </c>
      <c r="E7149" t="str">
        <f>"1949900183061"</f>
        <v>0</v>
      </c>
      <c r="F7149" t="str">
        <f>"001340"</f>
        <v>0</v>
      </c>
      <c r="G7149" t="s">
        <v>21</v>
      </c>
    </row>
    <row r="7150" spans="1:7">
      <c r="A7150">
        <v>7149</v>
      </c>
      <c r="B7150" t="str">
        <f>"027582"</f>
        <v>0</v>
      </c>
      <c r="C7150" t="s">
        <v>4018</v>
      </c>
      <c r="D7150" t="s">
        <v>11282</v>
      </c>
      <c r="E7150" t="str">
        <f>"1800700126989"</f>
        <v>0</v>
      </c>
      <c r="F7150" t="str">
        <f>"001340"</f>
        <v>0</v>
      </c>
      <c r="G7150" t="s">
        <v>21</v>
      </c>
    </row>
    <row r="7151" spans="1:7">
      <c r="A7151">
        <v>7150</v>
      </c>
      <c r="B7151" t="str">
        <f>"000230"</f>
        <v>0</v>
      </c>
      <c r="C7151" t="s">
        <v>5332</v>
      </c>
      <c r="D7151" t="s">
        <v>11283</v>
      </c>
      <c r="E7151" t="str">
        <f>"3449900026269"</f>
        <v>0</v>
      </c>
      <c r="F7151" t="str">
        <f>"001350"</f>
        <v>0</v>
      </c>
      <c r="G7151" t="s">
        <v>21</v>
      </c>
    </row>
    <row r="7152" spans="1:7">
      <c r="A7152">
        <v>7151</v>
      </c>
      <c r="B7152" t="str">
        <f>"000604"</f>
        <v>0</v>
      </c>
      <c r="C7152" t="s">
        <v>11284</v>
      </c>
      <c r="D7152" t="s">
        <v>11285</v>
      </c>
      <c r="E7152" t="str">
        <f>"3440500093360"</f>
        <v>0</v>
      </c>
      <c r="F7152" t="str">
        <f>"001350"</f>
        <v>0</v>
      </c>
      <c r="G7152" t="s">
        <v>21</v>
      </c>
    </row>
    <row r="7153" spans="1:7">
      <c r="A7153">
        <v>7152</v>
      </c>
      <c r="B7153" t="str">
        <f>"000852"</f>
        <v>0</v>
      </c>
      <c r="C7153" t="s">
        <v>3740</v>
      </c>
      <c r="D7153" t="s">
        <v>11286</v>
      </c>
      <c r="E7153" t="str">
        <f>"3440800104529"</f>
        <v>0</v>
      </c>
      <c r="F7153" t="str">
        <f>"001350"</f>
        <v>0</v>
      </c>
      <c r="G7153" t="s">
        <v>21</v>
      </c>
    </row>
    <row r="7154" spans="1:7">
      <c r="A7154">
        <v>7153</v>
      </c>
      <c r="B7154" t="str">
        <f>"001554"</f>
        <v>0</v>
      </c>
      <c r="C7154" t="s">
        <v>11287</v>
      </c>
      <c r="D7154" t="s">
        <v>11288</v>
      </c>
      <c r="E7154" t="str">
        <f>"3430100250654"</f>
        <v>0</v>
      </c>
      <c r="F7154" t="str">
        <f>"001350"</f>
        <v>0</v>
      </c>
      <c r="G7154" t="s">
        <v>21</v>
      </c>
    </row>
    <row r="7155" spans="1:7">
      <c r="A7155">
        <v>7154</v>
      </c>
      <c r="B7155" t="str">
        <f>"002592"</f>
        <v>0</v>
      </c>
      <c r="C7155" t="s">
        <v>2417</v>
      </c>
      <c r="D7155" t="s">
        <v>11289</v>
      </c>
      <c r="E7155" t="str">
        <f>"3449900063202"</f>
        <v>0</v>
      </c>
      <c r="F7155" t="str">
        <f>"001350"</f>
        <v>0</v>
      </c>
      <c r="G7155" t="s">
        <v>21</v>
      </c>
    </row>
    <row r="7156" spans="1:7">
      <c r="A7156">
        <v>7155</v>
      </c>
      <c r="B7156" t="str">
        <f>"002855"</f>
        <v>0</v>
      </c>
      <c r="C7156" t="s">
        <v>11290</v>
      </c>
      <c r="D7156" t="s">
        <v>11291</v>
      </c>
      <c r="E7156" t="str">
        <f>"3309900989939"</f>
        <v>0</v>
      </c>
      <c r="F7156" t="str">
        <f>"001350"</f>
        <v>0</v>
      </c>
      <c r="G7156" t="s">
        <v>21</v>
      </c>
    </row>
    <row r="7157" spans="1:7">
      <c r="A7157">
        <v>7156</v>
      </c>
      <c r="B7157" t="str">
        <f>"003395"</f>
        <v>0</v>
      </c>
      <c r="C7157" t="s">
        <v>11292</v>
      </c>
      <c r="D7157" t="s">
        <v>11293</v>
      </c>
      <c r="E7157" t="str">
        <f>"5440500006854"</f>
        <v>0</v>
      </c>
      <c r="F7157" t="str">
        <f>"001350"</f>
        <v>0</v>
      </c>
      <c r="G7157" t="s">
        <v>21</v>
      </c>
    </row>
    <row r="7158" spans="1:7">
      <c r="A7158">
        <v>7157</v>
      </c>
      <c r="B7158" t="str">
        <f>"003666"</f>
        <v>0</v>
      </c>
      <c r="C7158" t="s">
        <v>11294</v>
      </c>
      <c r="D7158" t="s">
        <v>11295</v>
      </c>
      <c r="E7158" t="str">
        <f>"3449900085877"</f>
        <v>0</v>
      </c>
      <c r="F7158" t="str">
        <f>"001350"</f>
        <v>0</v>
      </c>
      <c r="G7158" t="s">
        <v>21</v>
      </c>
    </row>
    <row r="7159" spans="1:7">
      <c r="A7159">
        <v>7158</v>
      </c>
      <c r="B7159" t="str">
        <f>"003698"</f>
        <v>0</v>
      </c>
      <c r="C7159" t="s">
        <v>767</v>
      </c>
      <c r="D7159" t="s">
        <v>11296</v>
      </c>
      <c r="E7159" t="str">
        <f>"3400100837396"</f>
        <v>0</v>
      </c>
      <c r="F7159" t="str">
        <f>"001350"</f>
        <v>0</v>
      </c>
      <c r="G7159" t="s">
        <v>21</v>
      </c>
    </row>
    <row r="7160" spans="1:7">
      <c r="A7160">
        <v>7159</v>
      </c>
      <c r="B7160" t="str">
        <f>"005143"</f>
        <v>0</v>
      </c>
      <c r="C7160" t="s">
        <v>425</v>
      </c>
      <c r="D7160" t="s">
        <v>11297</v>
      </c>
      <c r="E7160" t="str">
        <f>"3440500071421"</f>
        <v>0</v>
      </c>
      <c r="F7160" t="str">
        <f>"001350"</f>
        <v>0</v>
      </c>
      <c r="G7160" t="s">
        <v>21</v>
      </c>
    </row>
    <row r="7161" spans="1:7">
      <c r="A7161">
        <v>7160</v>
      </c>
      <c r="B7161" t="str">
        <f>"005145"</f>
        <v>0</v>
      </c>
      <c r="C7161" t="s">
        <v>2210</v>
      </c>
      <c r="D7161" t="s">
        <v>11298</v>
      </c>
      <c r="E7161" t="str">
        <f>"3440600035213"</f>
        <v>0</v>
      </c>
      <c r="F7161" t="str">
        <f>"001350"</f>
        <v>0</v>
      </c>
      <c r="G7161" t="s">
        <v>21</v>
      </c>
    </row>
    <row r="7162" spans="1:7">
      <c r="A7162">
        <v>7161</v>
      </c>
      <c r="B7162" t="str">
        <f>"006020"</f>
        <v>0</v>
      </c>
      <c r="C7162" t="s">
        <v>11299</v>
      </c>
      <c r="D7162" t="s">
        <v>11300</v>
      </c>
      <c r="E7162" t="str">
        <f>"3341600593471"</f>
        <v>0</v>
      </c>
      <c r="F7162" t="str">
        <f>"001350"</f>
        <v>0</v>
      </c>
      <c r="G7162" t="s">
        <v>21</v>
      </c>
    </row>
    <row r="7163" spans="1:7">
      <c r="A7163">
        <v>7162</v>
      </c>
      <c r="B7163" t="str">
        <f>"006864"</f>
        <v>0</v>
      </c>
      <c r="C7163" t="s">
        <v>1849</v>
      </c>
      <c r="D7163" t="s">
        <v>1814</v>
      </c>
      <c r="E7163" t="str">
        <f>"3440400198755"</f>
        <v>0</v>
      </c>
      <c r="F7163" t="str">
        <f>"001350"</f>
        <v>0</v>
      </c>
      <c r="G7163" t="s">
        <v>21</v>
      </c>
    </row>
    <row r="7164" spans="1:7">
      <c r="A7164">
        <v>7163</v>
      </c>
      <c r="B7164" t="str">
        <f>"007755"</f>
        <v>0</v>
      </c>
      <c r="C7164" t="s">
        <v>445</v>
      </c>
      <c r="D7164" t="s">
        <v>11301</v>
      </c>
      <c r="E7164" t="str">
        <f>"3440600168086"</f>
        <v>0</v>
      </c>
      <c r="F7164" t="str">
        <f>"001350"</f>
        <v>0</v>
      </c>
      <c r="G7164" t="s">
        <v>21</v>
      </c>
    </row>
    <row r="7165" spans="1:7">
      <c r="A7165">
        <v>7164</v>
      </c>
      <c r="B7165" t="str">
        <f>"007770"</f>
        <v>0</v>
      </c>
      <c r="C7165" t="s">
        <v>1820</v>
      </c>
      <c r="D7165" t="s">
        <v>11302</v>
      </c>
      <c r="E7165" t="str">
        <f>"3350200068565"</f>
        <v>0</v>
      </c>
      <c r="F7165" t="str">
        <f>"001350"</f>
        <v>0</v>
      </c>
      <c r="G7165" t="s">
        <v>21</v>
      </c>
    </row>
    <row r="7166" spans="1:7">
      <c r="A7166">
        <v>7165</v>
      </c>
      <c r="B7166" t="str">
        <f>"008498"</f>
        <v>0</v>
      </c>
      <c r="C7166" t="s">
        <v>6025</v>
      </c>
      <c r="D7166" t="s">
        <v>11303</v>
      </c>
      <c r="E7166" t="str">
        <f>"3440300967714"</f>
        <v>0</v>
      </c>
      <c r="F7166" t="str">
        <f>"001350"</f>
        <v>0</v>
      </c>
      <c r="G7166" t="s">
        <v>21</v>
      </c>
    </row>
    <row r="7167" spans="1:7">
      <c r="A7167">
        <v>7166</v>
      </c>
      <c r="B7167" t="str">
        <f>"009109"</f>
        <v>0</v>
      </c>
      <c r="C7167" t="s">
        <v>4866</v>
      </c>
      <c r="D7167" t="s">
        <v>11304</v>
      </c>
      <c r="E7167" t="str">
        <f>"3409700048901"</f>
        <v>0</v>
      </c>
      <c r="F7167" t="str">
        <f>"001350"</f>
        <v>0</v>
      </c>
      <c r="G7167" t="s">
        <v>21</v>
      </c>
    </row>
    <row r="7168" spans="1:7">
      <c r="A7168">
        <v>7167</v>
      </c>
      <c r="B7168" t="str">
        <f>"009404"</f>
        <v>0</v>
      </c>
      <c r="C7168" t="s">
        <v>837</v>
      </c>
      <c r="D7168" t="s">
        <v>11305</v>
      </c>
      <c r="E7168" t="str">
        <f>"3441000037542"</f>
        <v>0</v>
      </c>
      <c r="F7168" t="str">
        <f>"001350"</f>
        <v>0</v>
      </c>
      <c r="G7168" t="s">
        <v>21</v>
      </c>
    </row>
    <row r="7169" spans="1:7">
      <c r="A7169">
        <v>7168</v>
      </c>
      <c r="B7169" t="str">
        <f>"009405"</f>
        <v>0</v>
      </c>
      <c r="C7169" t="s">
        <v>11306</v>
      </c>
      <c r="D7169" t="s">
        <v>11307</v>
      </c>
      <c r="E7169" t="str">
        <f>"5440700017744"</f>
        <v>0</v>
      </c>
      <c r="F7169" t="str">
        <f>"001350"</f>
        <v>0</v>
      </c>
      <c r="G7169" t="s">
        <v>21</v>
      </c>
    </row>
    <row r="7170" spans="1:7">
      <c r="A7170">
        <v>7169</v>
      </c>
      <c r="B7170" t="str">
        <f>"009649"</f>
        <v>0</v>
      </c>
      <c r="C7170" t="s">
        <v>2288</v>
      </c>
      <c r="D7170" t="s">
        <v>11308</v>
      </c>
      <c r="E7170" t="str">
        <f>"3320700830857"</f>
        <v>0</v>
      </c>
      <c r="F7170" t="str">
        <f>"001350"</f>
        <v>0</v>
      </c>
      <c r="G7170" t="s">
        <v>21</v>
      </c>
    </row>
    <row r="7171" spans="1:7">
      <c r="A7171">
        <v>7170</v>
      </c>
      <c r="B7171" t="str">
        <f>"009708"</f>
        <v>0</v>
      </c>
      <c r="C7171" t="s">
        <v>3316</v>
      </c>
      <c r="D7171" t="s">
        <v>11309</v>
      </c>
      <c r="E7171" t="str">
        <f>"5301700089518"</f>
        <v>0</v>
      </c>
      <c r="F7171" t="str">
        <f>"001350"</f>
        <v>0</v>
      </c>
      <c r="G7171" t="s">
        <v>21</v>
      </c>
    </row>
    <row r="7172" spans="1:7">
      <c r="A7172">
        <v>7171</v>
      </c>
      <c r="B7172" t="str">
        <f>"009819"</f>
        <v>0</v>
      </c>
      <c r="C7172" t="s">
        <v>11310</v>
      </c>
      <c r="D7172" t="s">
        <v>10041</v>
      </c>
      <c r="E7172" t="str">
        <f>"3309901143766"</f>
        <v>0</v>
      </c>
      <c r="F7172" t="str">
        <f>"001350"</f>
        <v>0</v>
      </c>
      <c r="G7172" t="s">
        <v>21</v>
      </c>
    </row>
    <row r="7173" spans="1:7">
      <c r="A7173">
        <v>7172</v>
      </c>
      <c r="B7173" t="str">
        <f>"009824"</f>
        <v>0</v>
      </c>
      <c r="C7173" t="s">
        <v>678</v>
      </c>
      <c r="D7173" t="s">
        <v>11311</v>
      </c>
      <c r="E7173" t="str">
        <f>"3440700375491"</f>
        <v>0</v>
      </c>
      <c r="F7173" t="str">
        <f>"001350"</f>
        <v>0</v>
      </c>
      <c r="G7173" t="s">
        <v>21</v>
      </c>
    </row>
    <row r="7174" spans="1:7">
      <c r="A7174">
        <v>7173</v>
      </c>
      <c r="B7174" t="str">
        <f>"010051"</f>
        <v>0</v>
      </c>
      <c r="C7174" t="s">
        <v>731</v>
      </c>
      <c r="D7174" t="s">
        <v>11312</v>
      </c>
      <c r="E7174" t="str">
        <f>"3440600168043"</f>
        <v>0</v>
      </c>
      <c r="F7174" t="str">
        <f>"001350"</f>
        <v>0</v>
      </c>
      <c r="G7174" t="s">
        <v>21</v>
      </c>
    </row>
    <row r="7175" spans="1:7">
      <c r="A7175">
        <v>7174</v>
      </c>
      <c r="B7175" t="str">
        <f>"010250"</f>
        <v>0</v>
      </c>
      <c r="C7175" t="s">
        <v>11313</v>
      </c>
      <c r="D7175" t="s">
        <v>11314</v>
      </c>
      <c r="E7175" t="str">
        <f>"3440800230397"</f>
        <v>0</v>
      </c>
      <c r="F7175" t="str">
        <f>"001350"</f>
        <v>0</v>
      </c>
      <c r="G7175" t="s">
        <v>21</v>
      </c>
    </row>
    <row r="7176" spans="1:7">
      <c r="A7176">
        <v>7175</v>
      </c>
      <c r="B7176" t="str">
        <f>"010465"</f>
        <v>0</v>
      </c>
      <c r="C7176" t="s">
        <v>11315</v>
      </c>
      <c r="D7176" t="s">
        <v>11316</v>
      </c>
      <c r="E7176" t="str">
        <f>"3440600234925"</f>
        <v>0</v>
      </c>
      <c r="F7176" t="str">
        <f>"001350"</f>
        <v>0</v>
      </c>
      <c r="G7176" t="s">
        <v>21</v>
      </c>
    </row>
    <row r="7177" spans="1:7">
      <c r="A7177">
        <v>7176</v>
      </c>
      <c r="B7177" t="str">
        <f>"010549"</f>
        <v>0</v>
      </c>
      <c r="C7177" t="s">
        <v>10980</v>
      </c>
      <c r="D7177" t="s">
        <v>11314</v>
      </c>
      <c r="E7177" t="str">
        <f>"3411600374833"</f>
        <v>0</v>
      </c>
      <c r="F7177" t="str">
        <f>"001350"</f>
        <v>0</v>
      </c>
      <c r="G7177" t="s">
        <v>21</v>
      </c>
    </row>
    <row r="7178" spans="1:7">
      <c r="A7178">
        <v>7177</v>
      </c>
      <c r="B7178" t="str">
        <f>"011159"</f>
        <v>0</v>
      </c>
      <c r="C7178" t="s">
        <v>11317</v>
      </c>
      <c r="D7178" t="s">
        <v>11318</v>
      </c>
      <c r="E7178" t="str">
        <f>"3440400679257"</f>
        <v>0</v>
      </c>
      <c r="F7178" t="str">
        <f>"001350"</f>
        <v>0</v>
      </c>
      <c r="G7178" t="s">
        <v>21</v>
      </c>
    </row>
    <row r="7179" spans="1:7">
      <c r="A7179">
        <v>7178</v>
      </c>
      <c r="B7179" t="str">
        <f>"011542"</f>
        <v>0</v>
      </c>
      <c r="C7179" t="s">
        <v>9970</v>
      </c>
      <c r="D7179" t="s">
        <v>11319</v>
      </c>
      <c r="E7179" t="str">
        <f>"3440100265651"</f>
        <v>0</v>
      </c>
      <c r="F7179" t="str">
        <f>"001350"</f>
        <v>0</v>
      </c>
      <c r="G7179" t="s">
        <v>21</v>
      </c>
    </row>
    <row r="7180" spans="1:7">
      <c r="A7180">
        <v>7179</v>
      </c>
      <c r="B7180" t="str">
        <f>"012023"</f>
        <v>0</v>
      </c>
      <c r="C7180" t="s">
        <v>11320</v>
      </c>
      <c r="D7180" t="s">
        <v>11321</v>
      </c>
      <c r="E7180" t="str">
        <f>"3401700136543"</f>
        <v>0</v>
      </c>
      <c r="F7180" t="str">
        <f>"001350"</f>
        <v>0</v>
      </c>
      <c r="G7180" t="s">
        <v>21</v>
      </c>
    </row>
    <row r="7181" spans="1:7">
      <c r="A7181">
        <v>7180</v>
      </c>
      <c r="B7181" t="str">
        <f>"012024"</f>
        <v>0</v>
      </c>
      <c r="C7181" t="s">
        <v>3212</v>
      </c>
      <c r="D7181" t="s">
        <v>11322</v>
      </c>
      <c r="E7181" t="str">
        <f>"3319900013192"</f>
        <v>0</v>
      </c>
      <c r="F7181" t="str">
        <f>"001350"</f>
        <v>0</v>
      </c>
      <c r="G7181" t="s">
        <v>21</v>
      </c>
    </row>
    <row r="7182" spans="1:7">
      <c r="A7182">
        <v>7181</v>
      </c>
      <c r="B7182" t="str">
        <f>"012211"</f>
        <v>0</v>
      </c>
      <c r="C7182" t="s">
        <v>11323</v>
      </c>
      <c r="D7182" t="s">
        <v>11324</v>
      </c>
      <c r="E7182" t="str">
        <f>"3440700010018"</f>
        <v>0</v>
      </c>
      <c r="F7182" t="str">
        <f>"001350"</f>
        <v>0</v>
      </c>
      <c r="G7182" t="s">
        <v>21</v>
      </c>
    </row>
    <row r="7183" spans="1:7">
      <c r="A7183">
        <v>7182</v>
      </c>
      <c r="B7183" t="str">
        <f>"012425"</f>
        <v>0</v>
      </c>
      <c r="C7183" t="s">
        <v>953</v>
      </c>
      <c r="D7183" t="s">
        <v>11325</v>
      </c>
      <c r="E7183" t="str">
        <f>"3310300787237"</f>
        <v>0</v>
      </c>
      <c r="F7183" t="str">
        <f>"001350"</f>
        <v>0</v>
      </c>
      <c r="G7183" t="s">
        <v>21</v>
      </c>
    </row>
    <row r="7184" spans="1:7">
      <c r="A7184">
        <v>7183</v>
      </c>
      <c r="B7184" t="str">
        <f>"012680"</f>
        <v>0</v>
      </c>
      <c r="C7184" t="s">
        <v>11326</v>
      </c>
      <c r="D7184" t="s">
        <v>11327</v>
      </c>
      <c r="E7184" t="str">
        <f>"3440800730675"</f>
        <v>0</v>
      </c>
      <c r="F7184" t="str">
        <f>"001350"</f>
        <v>0</v>
      </c>
      <c r="G7184" t="s">
        <v>21</v>
      </c>
    </row>
    <row r="7185" spans="1:7">
      <c r="A7185">
        <v>7184</v>
      </c>
      <c r="B7185" t="str">
        <f>"014340"</f>
        <v>0</v>
      </c>
      <c r="C7185" t="s">
        <v>3638</v>
      </c>
      <c r="D7185" t="s">
        <v>11328</v>
      </c>
      <c r="E7185" t="str">
        <f>"3440400082935"</f>
        <v>0</v>
      </c>
      <c r="F7185" t="str">
        <f>"001350"</f>
        <v>0</v>
      </c>
      <c r="G7185" t="s">
        <v>21</v>
      </c>
    </row>
    <row r="7186" spans="1:7">
      <c r="A7186">
        <v>7185</v>
      </c>
      <c r="B7186" t="str">
        <f>"014963"</f>
        <v>0</v>
      </c>
      <c r="C7186" t="s">
        <v>11329</v>
      </c>
      <c r="D7186" t="s">
        <v>5322</v>
      </c>
      <c r="E7186" t="str">
        <f>"3500600582256"</f>
        <v>0</v>
      </c>
      <c r="F7186" t="str">
        <f>"001350"</f>
        <v>0</v>
      </c>
      <c r="G7186" t="s">
        <v>21</v>
      </c>
    </row>
    <row r="7187" spans="1:7">
      <c r="A7187">
        <v>7186</v>
      </c>
      <c r="B7187" t="str">
        <f>"015000"</f>
        <v>0</v>
      </c>
      <c r="C7187" t="s">
        <v>425</v>
      </c>
      <c r="D7187" t="s">
        <v>11330</v>
      </c>
      <c r="E7187" t="str">
        <f>"3449900306806"</f>
        <v>0</v>
      </c>
      <c r="F7187" t="str">
        <f>"001350"</f>
        <v>0</v>
      </c>
      <c r="G7187" t="s">
        <v>21</v>
      </c>
    </row>
    <row r="7188" spans="1:7">
      <c r="A7188">
        <v>7187</v>
      </c>
      <c r="B7188" t="str">
        <f>"015822"</f>
        <v>0</v>
      </c>
      <c r="C7188" t="s">
        <v>2333</v>
      </c>
      <c r="D7188" t="s">
        <v>11331</v>
      </c>
      <c r="E7188" t="str">
        <f>"3330401181415"</f>
        <v>0</v>
      </c>
      <c r="F7188" t="str">
        <f>"001350"</f>
        <v>0</v>
      </c>
      <c r="G7188" t="s">
        <v>21</v>
      </c>
    </row>
    <row r="7189" spans="1:7">
      <c r="A7189">
        <v>7188</v>
      </c>
      <c r="B7189" t="str">
        <f>"016662"</f>
        <v>0</v>
      </c>
      <c r="C7189" t="s">
        <v>11332</v>
      </c>
      <c r="D7189" t="s">
        <v>11333</v>
      </c>
      <c r="E7189" t="str">
        <f>"3470101008351"</f>
        <v>0</v>
      </c>
      <c r="F7189" t="str">
        <f>"001350"</f>
        <v>0</v>
      </c>
      <c r="G7189" t="s">
        <v>21</v>
      </c>
    </row>
    <row r="7190" spans="1:7">
      <c r="A7190">
        <v>7189</v>
      </c>
      <c r="B7190" t="str">
        <f>"017055"</f>
        <v>0</v>
      </c>
      <c r="C7190" t="s">
        <v>11334</v>
      </c>
      <c r="D7190" t="s">
        <v>11335</v>
      </c>
      <c r="E7190" t="str">
        <f>"3341300368294"</f>
        <v>0</v>
      </c>
      <c r="F7190" t="str">
        <f>"001350"</f>
        <v>0</v>
      </c>
      <c r="G7190" t="s">
        <v>21</v>
      </c>
    </row>
    <row r="7191" spans="1:7">
      <c r="A7191">
        <v>7190</v>
      </c>
      <c r="B7191" t="str">
        <f>"017143"</f>
        <v>0</v>
      </c>
      <c r="C7191" t="s">
        <v>11336</v>
      </c>
      <c r="D7191" t="s">
        <v>2963</v>
      </c>
      <c r="E7191" t="str">
        <f>"3449900004591"</f>
        <v>0</v>
      </c>
      <c r="F7191" t="str">
        <f>"001350"</f>
        <v>0</v>
      </c>
      <c r="G7191" t="s">
        <v>21</v>
      </c>
    </row>
    <row r="7192" spans="1:7">
      <c r="A7192">
        <v>7191</v>
      </c>
      <c r="B7192" t="str">
        <f>"018118"</f>
        <v>0</v>
      </c>
      <c r="C7192" t="s">
        <v>2320</v>
      </c>
      <c r="D7192" t="s">
        <v>11337</v>
      </c>
      <c r="E7192" t="str">
        <f>"3440400551072"</f>
        <v>0</v>
      </c>
      <c r="F7192" t="str">
        <f>"001350"</f>
        <v>0</v>
      </c>
      <c r="G7192" t="s">
        <v>21</v>
      </c>
    </row>
    <row r="7193" spans="1:7">
      <c r="A7193">
        <v>7192</v>
      </c>
      <c r="B7193" t="str">
        <f>"018436"</f>
        <v>0</v>
      </c>
      <c r="C7193" t="s">
        <v>326</v>
      </c>
      <c r="D7193" t="s">
        <v>11338</v>
      </c>
      <c r="E7193" t="str">
        <f>"3411600077308"</f>
        <v>0</v>
      </c>
      <c r="F7193" t="str">
        <f>"001350"</f>
        <v>0</v>
      </c>
      <c r="G7193" t="s">
        <v>21</v>
      </c>
    </row>
    <row r="7194" spans="1:7">
      <c r="A7194">
        <v>7193</v>
      </c>
      <c r="B7194" t="str">
        <f>"018989"</f>
        <v>0</v>
      </c>
      <c r="C7194" t="s">
        <v>5144</v>
      </c>
      <c r="D7194" t="s">
        <v>11339</v>
      </c>
      <c r="E7194" t="str">
        <f>"3440400551102"</f>
        <v>0</v>
      </c>
      <c r="F7194" t="str">
        <f>"001350"</f>
        <v>0</v>
      </c>
      <c r="G7194" t="s">
        <v>21</v>
      </c>
    </row>
    <row r="7195" spans="1:7">
      <c r="A7195">
        <v>7194</v>
      </c>
      <c r="B7195" t="str">
        <f>"020619"</f>
        <v>0</v>
      </c>
      <c r="C7195" t="s">
        <v>514</v>
      </c>
      <c r="D7195" t="s">
        <v>11340</v>
      </c>
      <c r="E7195" t="str">
        <f>"3440300008202"</f>
        <v>0</v>
      </c>
      <c r="F7195" t="str">
        <f>"001350"</f>
        <v>0</v>
      </c>
      <c r="G7195" t="s">
        <v>21</v>
      </c>
    </row>
    <row r="7196" spans="1:7">
      <c r="A7196">
        <v>7195</v>
      </c>
      <c r="B7196" t="str">
        <f>"022541"</f>
        <v>0</v>
      </c>
      <c r="C7196" t="s">
        <v>11341</v>
      </c>
      <c r="D7196" t="s">
        <v>11342</v>
      </c>
      <c r="E7196" t="str">
        <f>"3409900673361"</f>
        <v>0</v>
      </c>
      <c r="F7196" t="str">
        <f>"001350"</f>
        <v>0</v>
      </c>
      <c r="G7196" t="s">
        <v>21</v>
      </c>
    </row>
    <row r="7197" spans="1:7">
      <c r="A7197">
        <v>7196</v>
      </c>
      <c r="B7197" t="str">
        <f>"006860"</f>
        <v>0</v>
      </c>
      <c r="C7197" t="s">
        <v>11343</v>
      </c>
      <c r="D7197" t="s">
        <v>11344</v>
      </c>
      <c r="E7197" t="str">
        <f>"3449900102747"</f>
        <v>0</v>
      </c>
      <c r="F7197" t="str">
        <f>"001350"</f>
        <v>0</v>
      </c>
      <c r="G7197" t="s">
        <v>21</v>
      </c>
    </row>
    <row r="7198" spans="1:7">
      <c r="A7198">
        <v>7197</v>
      </c>
      <c r="B7198" t="str">
        <f>"014253"</f>
        <v>0</v>
      </c>
      <c r="C7198" t="s">
        <v>435</v>
      </c>
      <c r="D7198" t="s">
        <v>11345</v>
      </c>
      <c r="E7198" t="str">
        <f>"3449900035659"</f>
        <v>0</v>
      </c>
      <c r="F7198" t="str">
        <f>"001350"</f>
        <v>0</v>
      </c>
      <c r="G7198" t="s">
        <v>21</v>
      </c>
    </row>
    <row r="7199" spans="1:7">
      <c r="A7199">
        <v>7198</v>
      </c>
      <c r="B7199" t="str">
        <f>"016083"</f>
        <v>0</v>
      </c>
      <c r="C7199" t="s">
        <v>4399</v>
      </c>
      <c r="D7199" t="s">
        <v>11346</v>
      </c>
      <c r="E7199" t="str">
        <f>"3440100514597"</f>
        <v>0</v>
      </c>
      <c r="F7199" t="str">
        <f>"001350"</f>
        <v>0</v>
      </c>
      <c r="G7199" t="s">
        <v>21</v>
      </c>
    </row>
    <row r="7200" spans="1:7">
      <c r="A7200">
        <v>7199</v>
      </c>
      <c r="B7200" t="str">
        <f>"017284"</f>
        <v>0</v>
      </c>
      <c r="C7200" t="s">
        <v>11347</v>
      </c>
      <c r="D7200" t="s">
        <v>11348</v>
      </c>
      <c r="E7200" t="str">
        <f>"3409900535112"</f>
        <v>0</v>
      </c>
      <c r="F7200" t="str">
        <f>"001350"</f>
        <v>0</v>
      </c>
      <c r="G7200" t="s">
        <v>21</v>
      </c>
    </row>
    <row r="7201" spans="1:7">
      <c r="A7201">
        <v>7200</v>
      </c>
      <c r="B7201" t="str">
        <f>"023288"</f>
        <v>0</v>
      </c>
      <c r="C7201" t="s">
        <v>11349</v>
      </c>
      <c r="D7201" t="s">
        <v>11350</v>
      </c>
      <c r="E7201" t="str">
        <f>"3440700379232"</f>
        <v>0</v>
      </c>
      <c r="F7201" t="str">
        <f>"001350"</f>
        <v>0</v>
      </c>
      <c r="G7201" t="s">
        <v>21</v>
      </c>
    </row>
    <row r="7202" spans="1:7">
      <c r="A7202">
        <v>7201</v>
      </c>
      <c r="B7202" t="str">
        <f>"025613"</f>
        <v>0</v>
      </c>
      <c r="C7202" t="s">
        <v>1204</v>
      </c>
      <c r="D7202" t="s">
        <v>11351</v>
      </c>
      <c r="E7202" t="str">
        <f>"1440100109289"</f>
        <v>0</v>
      </c>
      <c r="F7202" t="str">
        <f>"001350"</f>
        <v>0</v>
      </c>
      <c r="G7202" t="s">
        <v>21</v>
      </c>
    </row>
    <row r="7203" spans="1:7">
      <c r="A7203">
        <v>7202</v>
      </c>
      <c r="B7203" t="str">
        <f>"026518"</f>
        <v>0</v>
      </c>
      <c r="C7203" t="s">
        <v>11091</v>
      </c>
      <c r="D7203" t="s">
        <v>11352</v>
      </c>
      <c r="E7203" t="str">
        <f>"1479900128316"</f>
        <v>0</v>
      </c>
      <c r="F7203" t="str">
        <f>"001350"</f>
        <v>0</v>
      </c>
      <c r="G7203" t="s">
        <v>21</v>
      </c>
    </row>
    <row r="7204" spans="1:7">
      <c r="A7204">
        <v>7203</v>
      </c>
      <c r="B7204" t="str">
        <f>"027170"</f>
        <v>0</v>
      </c>
      <c r="C7204" t="s">
        <v>11353</v>
      </c>
      <c r="D7204" t="s">
        <v>11354</v>
      </c>
      <c r="E7204" t="str">
        <f>"1229900578453"</f>
        <v>0</v>
      </c>
      <c r="F7204" t="str">
        <f>"001350"</f>
        <v>0</v>
      </c>
      <c r="G7204" t="s">
        <v>21</v>
      </c>
    </row>
    <row r="7205" spans="1:7">
      <c r="A7205">
        <v>7204</v>
      </c>
      <c r="B7205" t="str">
        <f>"021697"</f>
        <v>0</v>
      </c>
      <c r="C7205" t="s">
        <v>297</v>
      </c>
      <c r="D7205" t="s">
        <v>11355</v>
      </c>
      <c r="E7205" t="str">
        <f>"3300300107741"</f>
        <v>0</v>
      </c>
      <c r="F7205" t="str">
        <f>"001350"</f>
        <v>0</v>
      </c>
      <c r="G7205" t="s">
        <v>21</v>
      </c>
    </row>
    <row r="7206" spans="1:7">
      <c r="A7206">
        <v>7205</v>
      </c>
      <c r="B7206" t="str">
        <f>"027168"</f>
        <v>0</v>
      </c>
      <c r="C7206" t="s">
        <v>11356</v>
      </c>
      <c r="D7206" t="s">
        <v>11357</v>
      </c>
      <c r="E7206" t="str">
        <f>"5330100082384"</f>
        <v>0</v>
      </c>
      <c r="F7206" t="str">
        <f>"001350"</f>
        <v>0</v>
      </c>
      <c r="G7206" t="s">
        <v>21</v>
      </c>
    </row>
    <row r="7207" spans="1:7">
      <c r="A7207">
        <v>7206</v>
      </c>
      <c r="B7207" t="str">
        <f>"023431"</f>
        <v>0</v>
      </c>
      <c r="C7207" t="s">
        <v>11358</v>
      </c>
      <c r="D7207" t="s">
        <v>11359</v>
      </c>
      <c r="E7207" t="str">
        <f>"3349900722339"</f>
        <v>0</v>
      </c>
      <c r="F7207" t="str">
        <f>"001350"</f>
        <v>0</v>
      </c>
      <c r="G7207" t="s">
        <v>21</v>
      </c>
    </row>
    <row r="7208" spans="1:7">
      <c r="A7208">
        <v>7207</v>
      </c>
      <c r="B7208" t="str">
        <f>"026589"</f>
        <v>0</v>
      </c>
      <c r="C7208" t="s">
        <v>9605</v>
      </c>
      <c r="D7208" t="s">
        <v>11360</v>
      </c>
      <c r="E7208" t="str">
        <f>"1102001496301"</f>
        <v>0</v>
      </c>
      <c r="F7208" t="str">
        <f>"001350"</f>
        <v>0</v>
      </c>
      <c r="G7208" t="s">
        <v>21</v>
      </c>
    </row>
    <row r="7209" spans="1:7">
      <c r="A7209">
        <v>7208</v>
      </c>
      <c r="B7209" t="str">
        <f>"022781"</f>
        <v>0</v>
      </c>
      <c r="C7209" t="s">
        <v>11361</v>
      </c>
      <c r="D7209" t="s">
        <v>11362</v>
      </c>
      <c r="E7209" t="str">
        <f>"3341600355171"</f>
        <v>0</v>
      </c>
      <c r="F7209" t="str">
        <f>"001350"</f>
        <v>0</v>
      </c>
      <c r="G7209" t="s">
        <v>21</v>
      </c>
    </row>
    <row r="7210" spans="1:7">
      <c r="A7210">
        <v>7209</v>
      </c>
      <c r="B7210" t="str">
        <f>"026501"</f>
        <v>0</v>
      </c>
      <c r="C7210" t="s">
        <v>11363</v>
      </c>
      <c r="D7210" t="s">
        <v>11364</v>
      </c>
      <c r="E7210" t="str">
        <f>"1341300047777"</f>
        <v>0</v>
      </c>
      <c r="F7210" t="str">
        <f>"001350"</f>
        <v>0</v>
      </c>
      <c r="G7210" t="s">
        <v>21</v>
      </c>
    </row>
    <row r="7211" spans="1:7">
      <c r="A7211">
        <v>7210</v>
      </c>
      <c r="B7211" t="str">
        <f>"015030"</f>
        <v>0</v>
      </c>
      <c r="C7211" t="s">
        <v>11365</v>
      </c>
      <c r="D7211" t="s">
        <v>11366</v>
      </c>
      <c r="E7211" t="str">
        <f>"3360600311220"</f>
        <v>0</v>
      </c>
      <c r="F7211" t="str">
        <f>"001350"</f>
        <v>0</v>
      </c>
      <c r="G7211" t="s">
        <v>21</v>
      </c>
    </row>
    <row r="7212" spans="1:7">
      <c r="A7212">
        <v>7211</v>
      </c>
      <c r="B7212" t="str">
        <f>"020489"</f>
        <v>0</v>
      </c>
      <c r="C7212" t="s">
        <v>11367</v>
      </c>
      <c r="D7212" t="s">
        <v>11368</v>
      </c>
      <c r="E7212" t="str">
        <f>"3440900645939"</f>
        <v>0</v>
      </c>
      <c r="F7212" t="str">
        <f>"001350"</f>
        <v>0</v>
      </c>
      <c r="G7212" t="s">
        <v>21</v>
      </c>
    </row>
    <row r="7213" spans="1:7">
      <c r="A7213">
        <v>7212</v>
      </c>
      <c r="B7213" t="str">
        <f>"021055"</f>
        <v>0</v>
      </c>
      <c r="C7213" t="s">
        <v>11369</v>
      </c>
      <c r="D7213" t="s">
        <v>11370</v>
      </c>
      <c r="E7213" t="str">
        <f>"3411200393148"</f>
        <v>0</v>
      </c>
      <c r="F7213" t="str">
        <f>"001350"</f>
        <v>0</v>
      </c>
      <c r="G7213" t="s">
        <v>21</v>
      </c>
    </row>
    <row r="7214" spans="1:7">
      <c r="A7214">
        <v>7213</v>
      </c>
      <c r="B7214" t="str">
        <f>"026383"</f>
        <v>0</v>
      </c>
      <c r="C7214" t="s">
        <v>11371</v>
      </c>
      <c r="D7214" t="s">
        <v>11372</v>
      </c>
      <c r="E7214" t="str">
        <f>"3401800195410"</f>
        <v>0</v>
      </c>
      <c r="F7214" t="str">
        <f>"001350"</f>
        <v>0</v>
      </c>
      <c r="G7214" t="s">
        <v>21</v>
      </c>
    </row>
    <row r="7215" spans="1:7">
      <c r="A7215">
        <v>7214</v>
      </c>
      <c r="B7215" t="str">
        <f>"027173"</f>
        <v>0</v>
      </c>
      <c r="C7215" t="s">
        <v>11373</v>
      </c>
      <c r="D7215" t="s">
        <v>11374</v>
      </c>
      <c r="E7215" t="str">
        <f>"1409900551219"</f>
        <v>0</v>
      </c>
      <c r="F7215" t="str">
        <f>"001350"</f>
        <v>0</v>
      </c>
      <c r="G7215" t="s">
        <v>21</v>
      </c>
    </row>
    <row r="7216" spans="1:7">
      <c r="A7216">
        <v>7215</v>
      </c>
      <c r="B7216" t="str">
        <f>"009107"</f>
        <v>0</v>
      </c>
      <c r="C7216" t="s">
        <v>11375</v>
      </c>
      <c r="D7216" t="s">
        <v>11376</v>
      </c>
      <c r="E7216" t="str">
        <f>"3360600490141"</f>
        <v>0</v>
      </c>
      <c r="F7216" t="str">
        <f>"001350"</f>
        <v>0</v>
      </c>
      <c r="G7216" t="s">
        <v>21</v>
      </c>
    </row>
    <row r="7217" spans="1:7">
      <c r="A7217">
        <v>7216</v>
      </c>
      <c r="B7217" t="str">
        <f>"009110"</f>
        <v>0</v>
      </c>
      <c r="C7217" t="s">
        <v>11377</v>
      </c>
      <c r="D7217" t="s">
        <v>11378</v>
      </c>
      <c r="E7217" t="str">
        <f>"3501400330556"</f>
        <v>0</v>
      </c>
      <c r="F7217" t="str">
        <f>"001350"</f>
        <v>0</v>
      </c>
      <c r="G7217" t="s">
        <v>21</v>
      </c>
    </row>
    <row r="7218" spans="1:7">
      <c r="A7218">
        <v>7217</v>
      </c>
      <c r="B7218" t="str">
        <f>"009827"</f>
        <v>0</v>
      </c>
      <c r="C7218" t="s">
        <v>433</v>
      </c>
      <c r="D7218" t="s">
        <v>3912</v>
      </c>
      <c r="E7218" t="str">
        <f>"3440300033975"</f>
        <v>0</v>
      </c>
      <c r="F7218" t="str">
        <f>"001350"</f>
        <v>0</v>
      </c>
      <c r="G7218" t="s">
        <v>21</v>
      </c>
    </row>
    <row r="7219" spans="1:7">
      <c r="A7219">
        <v>7218</v>
      </c>
      <c r="B7219" t="str">
        <f>"010393"</f>
        <v>0</v>
      </c>
      <c r="C7219" t="s">
        <v>11379</v>
      </c>
      <c r="D7219" t="s">
        <v>11380</v>
      </c>
      <c r="E7219" t="str">
        <f>"5160200016504"</f>
        <v>0</v>
      </c>
      <c r="F7219" t="str">
        <f>"001350"</f>
        <v>0</v>
      </c>
      <c r="G7219" t="s">
        <v>21</v>
      </c>
    </row>
    <row r="7220" spans="1:7">
      <c r="A7220">
        <v>7219</v>
      </c>
      <c r="B7220" t="str">
        <f>"011387"</f>
        <v>0</v>
      </c>
      <c r="C7220" t="s">
        <v>11381</v>
      </c>
      <c r="D7220" t="s">
        <v>11382</v>
      </c>
      <c r="E7220" t="str">
        <f>"3301500975275"</f>
        <v>0</v>
      </c>
      <c r="F7220" t="str">
        <f>"001350"</f>
        <v>0</v>
      </c>
      <c r="G7220" t="s">
        <v>21</v>
      </c>
    </row>
    <row r="7221" spans="1:7">
      <c r="A7221">
        <v>7220</v>
      </c>
      <c r="B7221" t="str">
        <f>"011990"</f>
        <v>0</v>
      </c>
      <c r="C7221" t="s">
        <v>11383</v>
      </c>
      <c r="D7221" t="s">
        <v>11384</v>
      </c>
      <c r="E7221" t="str">
        <f>"3140300225303"</f>
        <v>0</v>
      </c>
      <c r="F7221" t="str">
        <f>"001350"</f>
        <v>0</v>
      </c>
      <c r="G7221" t="s">
        <v>21</v>
      </c>
    </row>
    <row r="7222" spans="1:7">
      <c r="A7222">
        <v>7221</v>
      </c>
      <c r="B7222" t="str">
        <f>"012356"</f>
        <v>0</v>
      </c>
      <c r="C7222" t="s">
        <v>425</v>
      </c>
      <c r="D7222" t="s">
        <v>11385</v>
      </c>
      <c r="E7222" t="str">
        <f>"3440400509513"</f>
        <v>0</v>
      </c>
      <c r="F7222" t="str">
        <f>"001350"</f>
        <v>0</v>
      </c>
      <c r="G7222" t="s">
        <v>21</v>
      </c>
    </row>
    <row r="7223" spans="1:7">
      <c r="A7223">
        <v>7222</v>
      </c>
      <c r="B7223" t="str">
        <f>"012924"</f>
        <v>0</v>
      </c>
      <c r="C7223" t="s">
        <v>7818</v>
      </c>
      <c r="D7223" t="s">
        <v>11386</v>
      </c>
      <c r="E7223" t="str">
        <f>"3440500075469"</f>
        <v>0</v>
      </c>
      <c r="F7223" t="str">
        <f>"001350"</f>
        <v>0</v>
      </c>
      <c r="G7223" t="s">
        <v>21</v>
      </c>
    </row>
    <row r="7224" spans="1:7">
      <c r="A7224">
        <v>7223</v>
      </c>
      <c r="B7224" t="str">
        <f>"013163"</f>
        <v>0</v>
      </c>
      <c r="C7224" t="s">
        <v>6206</v>
      </c>
      <c r="D7224" t="s">
        <v>11387</v>
      </c>
      <c r="E7224" t="str">
        <f>"3360300003431"</f>
        <v>0</v>
      </c>
      <c r="F7224" t="str">
        <f>"001350"</f>
        <v>0</v>
      </c>
      <c r="G7224" t="s">
        <v>21</v>
      </c>
    </row>
    <row r="7225" spans="1:7">
      <c r="A7225">
        <v>7224</v>
      </c>
      <c r="B7225" t="str">
        <f>"013222"</f>
        <v>0</v>
      </c>
      <c r="C7225" t="s">
        <v>494</v>
      </c>
      <c r="D7225" t="s">
        <v>11388</v>
      </c>
      <c r="E7225" t="str">
        <f>"3460800218311"</f>
        <v>0</v>
      </c>
      <c r="F7225" t="str">
        <f>"001350"</f>
        <v>0</v>
      </c>
      <c r="G7225" t="s">
        <v>21</v>
      </c>
    </row>
    <row r="7226" spans="1:7">
      <c r="A7226">
        <v>7225</v>
      </c>
      <c r="B7226" t="str">
        <f>"013978"</f>
        <v>0</v>
      </c>
      <c r="C7226" t="s">
        <v>11389</v>
      </c>
      <c r="D7226" t="s">
        <v>10277</v>
      </c>
      <c r="E7226" t="str">
        <f>"3440300960981"</f>
        <v>0</v>
      </c>
      <c r="F7226" t="str">
        <f>"001350"</f>
        <v>0</v>
      </c>
      <c r="G7226" t="s">
        <v>21</v>
      </c>
    </row>
    <row r="7227" spans="1:7">
      <c r="A7227">
        <v>7226</v>
      </c>
      <c r="B7227" t="str">
        <f>"014838"</f>
        <v>0</v>
      </c>
      <c r="C7227" t="s">
        <v>11390</v>
      </c>
      <c r="D7227" t="s">
        <v>11391</v>
      </c>
      <c r="E7227" t="str">
        <f>"3440100228268"</f>
        <v>0</v>
      </c>
      <c r="F7227" t="str">
        <f>"001350"</f>
        <v>0</v>
      </c>
      <c r="G7227" t="s">
        <v>21</v>
      </c>
    </row>
    <row r="7228" spans="1:7">
      <c r="A7228">
        <v>7227</v>
      </c>
      <c r="B7228" t="str">
        <f>"015369"</f>
        <v>0</v>
      </c>
      <c r="C7228" t="s">
        <v>11392</v>
      </c>
      <c r="D7228" t="s">
        <v>11393</v>
      </c>
      <c r="E7228" t="str">
        <f>"3800100251878"</f>
        <v>0</v>
      </c>
      <c r="F7228" t="str">
        <f>"001350"</f>
        <v>0</v>
      </c>
      <c r="G7228" t="s">
        <v>21</v>
      </c>
    </row>
    <row r="7229" spans="1:7">
      <c r="A7229">
        <v>7228</v>
      </c>
      <c r="B7229" t="str">
        <f>"015510"</f>
        <v>0</v>
      </c>
      <c r="C7229" t="s">
        <v>2254</v>
      </c>
      <c r="D7229" t="s">
        <v>11394</v>
      </c>
      <c r="E7229" t="str">
        <f>"3469900067399"</f>
        <v>0</v>
      </c>
      <c r="F7229" t="str">
        <f>"001350"</f>
        <v>0</v>
      </c>
      <c r="G7229" t="s">
        <v>21</v>
      </c>
    </row>
    <row r="7230" spans="1:7">
      <c r="A7230">
        <v>7229</v>
      </c>
      <c r="B7230" t="str">
        <f>"016113"</f>
        <v>0</v>
      </c>
      <c r="C7230" t="s">
        <v>3316</v>
      </c>
      <c r="D7230" t="s">
        <v>11395</v>
      </c>
      <c r="E7230" t="str">
        <f>"3401000975364"</f>
        <v>0</v>
      </c>
      <c r="F7230" t="str">
        <f>"001350"</f>
        <v>0</v>
      </c>
      <c r="G7230" t="s">
        <v>21</v>
      </c>
    </row>
    <row r="7231" spans="1:7">
      <c r="A7231">
        <v>7230</v>
      </c>
      <c r="B7231" t="str">
        <f>"016224"</f>
        <v>0</v>
      </c>
      <c r="C7231" t="s">
        <v>2758</v>
      </c>
      <c r="D7231" t="s">
        <v>11396</v>
      </c>
      <c r="E7231" t="str">
        <f>"3331100081242"</f>
        <v>0</v>
      </c>
      <c r="F7231" t="str">
        <f>"001350"</f>
        <v>0</v>
      </c>
      <c r="G7231" t="s">
        <v>21</v>
      </c>
    </row>
    <row r="7232" spans="1:7">
      <c r="A7232">
        <v>7231</v>
      </c>
      <c r="B7232" t="str">
        <f>"016471"</f>
        <v>0</v>
      </c>
      <c r="C7232" t="s">
        <v>11397</v>
      </c>
      <c r="D7232" t="s">
        <v>11398</v>
      </c>
      <c r="E7232" t="str">
        <f>"3440600718621"</f>
        <v>0</v>
      </c>
      <c r="F7232" t="str">
        <f>"001350"</f>
        <v>0</v>
      </c>
      <c r="G7232" t="s">
        <v>21</v>
      </c>
    </row>
    <row r="7233" spans="1:7">
      <c r="A7233">
        <v>7232</v>
      </c>
      <c r="B7233" t="str">
        <f>"016544"</f>
        <v>0</v>
      </c>
      <c r="C7233" t="s">
        <v>11399</v>
      </c>
      <c r="D7233" t="s">
        <v>11400</v>
      </c>
      <c r="E7233" t="str">
        <f>"3440800034261"</f>
        <v>0</v>
      </c>
      <c r="F7233" t="str">
        <f>"001350"</f>
        <v>0</v>
      </c>
      <c r="G7233" t="s">
        <v>21</v>
      </c>
    </row>
    <row r="7234" spans="1:7">
      <c r="A7234">
        <v>7233</v>
      </c>
      <c r="B7234" t="str">
        <f>"016741"</f>
        <v>0</v>
      </c>
      <c r="C7234" t="s">
        <v>11401</v>
      </c>
      <c r="D7234" t="s">
        <v>11402</v>
      </c>
      <c r="E7234" t="str">
        <f>"3860400530926"</f>
        <v>0</v>
      </c>
      <c r="F7234" t="str">
        <f>"001350"</f>
        <v>0</v>
      </c>
      <c r="G7234" t="s">
        <v>21</v>
      </c>
    </row>
    <row r="7235" spans="1:7">
      <c r="A7235">
        <v>7234</v>
      </c>
      <c r="B7235" t="str">
        <f>"016828"</f>
        <v>0</v>
      </c>
      <c r="C7235" t="s">
        <v>11403</v>
      </c>
      <c r="D7235" t="s">
        <v>11404</v>
      </c>
      <c r="E7235" t="str">
        <f>"3310700459628"</f>
        <v>0</v>
      </c>
      <c r="F7235" t="str">
        <f>"001350"</f>
        <v>0</v>
      </c>
      <c r="G7235" t="s">
        <v>21</v>
      </c>
    </row>
    <row r="7236" spans="1:7">
      <c r="A7236">
        <v>7235</v>
      </c>
      <c r="B7236" t="str">
        <f>"017212"</f>
        <v>0</v>
      </c>
      <c r="C7236" t="s">
        <v>10668</v>
      </c>
      <c r="D7236" t="s">
        <v>11405</v>
      </c>
      <c r="E7236" t="str">
        <f>"3440300002646"</f>
        <v>0</v>
      </c>
      <c r="F7236" t="str">
        <f>"001350"</f>
        <v>0</v>
      </c>
      <c r="G7236" t="s">
        <v>21</v>
      </c>
    </row>
    <row r="7237" spans="1:7">
      <c r="A7237">
        <v>7236</v>
      </c>
      <c r="B7237" t="str">
        <f>"017221"</f>
        <v>0</v>
      </c>
      <c r="C7237" t="s">
        <v>4967</v>
      </c>
      <c r="D7237" t="s">
        <v>11406</v>
      </c>
      <c r="E7237" t="str">
        <f>"3310700361491"</f>
        <v>0</v>
      </c>
      <c r="F7237" t="str">
        <f>"001350"</f>
        <v>0</v>
      </c>
      <c r="G7237" t="s">
        <v>21</v>
      </c>
    </row>
    <row r="7238" spans="1:7">
      <c r="A7238">
        <v>7237</v>
      </c>
      <c r="B7238" t="str">
        <f>"017386"</f>
        <v>0</v>
      </c>
      <c r="C7238" t="s">
        <v>326</v>
      </c>
      <c r="D7238" t="s">
        <v>11407</v>
      </c>
      <c r="E7238" t="str">
        <f>"3440600021930"</f>
        <v>0</v>
      </c>
      <c r="F7238" t="str">
        <f>"001350"</f>
        <v>0</v>
      </c>
      <c r="G7238" t="s">
        <v>21</v>
      </c>
    </row>
    <row r="7239" spans="1:7">
      <c r="A7239">
        <v>7238</v>
      </c>
      <c r="B7239" t="str">
        <f>"017387"</f>
        <v>0</v>
      </c>
      <c r="C7239" t="s">
        <v>11408</v>
      </c>
      <c r="D7239" t="s">
        <v>11409</v>
      </c>
      <c r="E7239" t="str">
        <f>"3361300375860"</f>
        <v>0</v>
      </c>
      <c r="F7239" t="str">
        <f>"001350"</f>
        <v>0</v>
      </c>
      <c r="G7239" t="s">
        <v>21</v>
      </c>
    </row>
    <row r="7240" spans="1:7">
      <c r="A7240">
        <v>7239</v>
      </c>
      <c r="B7240" t="str">
        <f>"017397"</f>
        <v>0</v>
      </c>
      <c r="C7240" t="s">
        <v>1001</v>
      </c>
      <c r="D7240" t="s">
        <v>1125</v>
      </c>
      <c r="E7240" t="str">
        <f>"3409700289673"</f>
        <v>0</v>
      </c>
      <c r="F7240" t="str">
        <f>"001350"</f>
        <v>0</v>
      </c>
      <c r="G7240" t="s">
        <v>21</v>
      </c>
    </row>
    <row r="7241" spans="1:7">
      <c r="A7241">
        <v>7240</v>
      </c>
      <c r="B7241" t="str">
        <f>"017398"</f>
        <v>0</v>
      </c>
      <c r="C7241" t="s">
        <v>6754</v>
      </c>
      <c r="D7241" t="s">
        <v>11410</v>
      </c>
      <c r="E7241" t="str">
        <f>"3440100283811"</f>
        <v>0</v>
      </c>
      <c r="F7241" t="str">
        <f>"001350"</f>
        <v>0</v>
      </c>
      <c r="G7241" t="s">
        <v>21</v>
      </c>
    </row>
    <row r="7242" spans="1:7">
      <c r="A7242">
        <v>7241</v>
      </c>
      <c r="B7242" t="str">
        <f>"017530"</f>
        <v>0</v>
      </c>
      <c r="C7242" t="s">
        <v>11411</v>
      </c>
      <c r="D7242" t="s">
        <v>11412</v>
      </c>
      <c r="E7242" t="str">
        <f>"3450400585538"</f>
        <v>0</v>
      </c>
      <c r="F7242" t="str">
        <f>"001350"</f>
        <v>0</v>
      </c>
      <c r="G7242" t="s">
        <v>21</v>
      </c>
    </row>
    <row r="7243" spans="1:7">
      <c r="A7243">
        <v>7242</v>
      </c>
      <c r="B7243" t="str">
        <f>"017555"</f>
        <v>0</v>
      </c>
      <c r="C7243" t="s">
        <v>11413</v>
      </c>
      <c r="D7243" t="s">
        <v>11414</v>
      </c>
      <c r="E7243" t="str">
        <f>"3449900012608"</f>
        <v>0</v>
      </c>
      <c r="F7243" t="str">
        <f>"001350"</f>
        <v>0</v>
      </c>
      <c r="G7243" t="s">
        <v>21</v>
      </c>
    </row>
    <row r="7244" spans="1:7">
      <c r="A7244">
        <v>7243</v>
      </c>
      <c r="B7244" t="str">
        <f>"017870"</f>
        <v>0</v>
      </c>
      <c r="C7244" t="s">
        <v>11415</v>
      </c>
      <c r="D7244" t="s">
        <v>11416</v>
      </c>
      <c r="E7244" t="str">
        <f>"3440600045936"</f>
        <v>0</v>
      </c>
      <c r="F7244" t="str">
        <f>"001350"</f>
        <v>0</v>
      </c>
      <c r="G7244" t="s">
        <v>21</v>
      </c>
    </row>
    <row r="7245" spans="1:7">
      <c r="A7245">
        <v>7244</v>
      </c>
      <c r="B7245" t="str">
        <f>"018124"</f>
        <v>0</v>
      </c>
      <c r="C7245" t="s">
        <v>11417</v>
      </c>
      <c r="D7245" t="s">
        <v>11418</v>
      </c>
      <c r="E7245" t="str">
        <f>"3409900781661"</f>
        <v>0</v>
      </c>
      <c r="F7245" t="str">
        <f>"001350"</f>
        <v>0</v>
      </c>
      <c r="G7245" t="s">
        <v>21</v>
      </c>
    </row>
    <row r="7246" spans="1:7">
      <c r="A7246">
        <v>7245</v>
      </c>
      <c r="B7246" t="str">
        <f>"018131"</f>
        <v>0</v>
      </c>
      <c r="C7246" t="s">
        <v>11419</v>
      </c>
      <c r="D7246" t="s">
        <v>3224</v>
      </c>
      <c r="E7246" t="str">
        <f>"3440700006991"</f>
        <v>0</v>
      </c>
      <c r="F7246" t="str">
        <f>"001350"</f>
        <v>0</v>
      </c>
      <c r="G7246" t="s">
        <v>21</v>
      </c>
    </row>
    <row r="7247" spans="1:7">
      <c r="A7247">
        <v>7246</v>
      </c>
      <c r="B7247" t="str">
        <f>"018157"</f>
        <v>0</v>
      </c>
      <c r="C7247" t="s">
        <v>11420</v>
      </c>
      <c r="D7247" t="s">
        <v>11421</v>
      </c>
      <c r="E7247" t="str">
        <f>"3450500267422"</f>
        <v>0</v>
      </c>
      <c r="F7247" t="str">
        <f>"001350"</f>
        <v>0</v>
      </c>
      <c r="G7247" t="s">
        <v>21</v>
      </c>
    </row>
    <row r="7248" spans="1:7">
      <c r="A7248">
        <v>7247</v>
      </c>
      <c r="B7248" t="str">
        <f>"018877"</f>
        <v>0</v>
      </c>
      <c r="C7248" t="s">
        <v>11422</v>
      </c>
      <c r="D7248" t="s">
        <v>11423</v>
      </c>
      <c r="E7248" t="str">
        <f>"3449900195851"</f>
        <v>0</v>
      </c>
      <c r="F7248" t="str">
        <f>"001350"</f>
        <v>0</v>
      </c>
      <c r="G7248" t="s">
        <v>21</v>
      </c>
    </row>
    <row r="7249" spans="1:7">
      <c r="A7249">
        <v>7248</v>
      </c>
      <c r="B7249" t="str">
        <f>"018939"</f>
        <v>0</v>
      </c>
      <c r="C7249" t="s">
        <v>239</v>
      </c>
      <c r="D7249" t="s">
        <v>11424</v>
      </c>
      <c r="E7249" t="str">
        <f>"3450300163178"</f>
        <v>0</v>
      </c>
      <c r="F7249" t="str">
        <f>"001350"</f>
        <v>0</v>
      </c>
      <c r="G7249" t="s">
        <v>21</v>
      </c>
    </row>
    <row r="7250" spans="1:7">
      <c r="A7250">
        <v>7249</v>
      </c>
      <c r="B7250" t="str">
        <f>"019263"</f>
        <v>0</v>
      </c>
      <c r="C7250" t="s">
        <v>3997</v>
      </c>
      <c r="D7250" t="s">
        <v>11425</v>
      </c>
      <c r="E7250" t="str">
        <f>"3440100798676"</f>
        <v>0</v>
      </c>
      <c r="F7250" t="str">
        <f>"001350"</f>
        <v>0</v>
      </c>
      <c r="G7250" t="s">
        <v>21</v>
      </c>
    </row>
    <row r="7251" spans="1:7">
      <c r="A7251">
        <v>7250</v>
      </c>
      <c r="B7251" t="str">
        <f>"019683"</f>
        <v>0</v>
      </c>
      <c r="C7251" t="s">
        <v>2193</v>
      </c>
      <c r="D7251" t="s">
        <v>11426</v>
      </c>
      <c r="E7251" t="str">
        <f>"3440400199476"</f>
        <v>0</v>
      </c>
      <c r="F7251" t="str">
        <f>"001350"</f>
        <v>0</v>
      </c>
      <c r="G7251" t="s">
        <v>21</v>
      </c>
    </row>
    <row r="7252" spans="1:7">
      <c r="A7252">
        <v>7251</v>
      </c>
      <c r="B7252" t="str">
        <f>"019958"</f>
        <v>0</v>
      </c>
      <c r="C7252" t="s">
        <v>11427</v>
      </c>
      <c r="D7252" t="s">
        <v>11428</v>
      </c>
      <c r="E7252" t="str">
        <f>"3440400200652"</f>
        <v>0</v>
      </c>
      <c r="F7252" t="str">
        <f>"001350"</f>
        <v>0</v>
      </c>
      <c r="G7252" t="s">
        <v>21</v>
      </c>
    </row>
    <row r="7253" spans="1:7">
      <c r="A7253">
        <v>7252</v>
      </c>
      <c r="B7253" t="str">
        <f>"020084"</f>
        <v>0</v>
      </c>
      <c r="C7253" t="s">
        <v>11429</v>
      </c>
      <c r="D7253" t="s">
        <v>11430</v>
      </c>
      <c r="E7253" t="str">
        <f>"3441000274684"</f>
        <v>0</v>
      </c>
      <c r="F7253" t="str">
        <f>"001350"</f>
        <v>0</v>
      </c>
      <c r="G7253" t="s">
        <v>21</v>
      </c>
    </row>
    <row r="7254" spans="1:7">
      <c r="A7254">
        <v>7253</v>
      </c>
      <c r="B7254" t="str">
        <f>"020118"</f>
        <v>0</v>
      </c>
      <c r="C7254" t="s">
        <v>11431</v>
      </c>
      <c r="D7254" t="s">
        <v>11432</v>
      </c>
      <c r="E7254" t="str">
        <f>"3440100524096"</f>
        <v>0</v>
      </c>
      <c r="F7254" t="str">
        <f>"001350"</f>
        <v>0</v>
      </c>
      <c r="G7254" t="s">
        <v>21</v>
      </c>
    </row>
    <row r="7255" spans="1:7">
      <c r="A7255">
        <v>7254</v>
      </c>
      <c r="B7255" t="str">
        <f>"020207"</f>
        <v>0</v>
      </c>
      <c r="C7255" t="s">
        <v>421</v>
      </c>
      <c r="D7255" t="s">
        <v>11337</v>
      </c>
      <c r="E7255" t="str">
        <f>"3400101467894"</f>
        <v>0</v>
      </c>
      <c r="F7255" t="str">
        <f>"001350"</f>
        <v>0</v>
      </c>
      <c r="G7255" t="s">
        <v>21</v>
      </c>
    </row>
    <row r="7256" spans="1:7">
      <c r="A7256">
        <v>7255</v>
      </c>
      <c r="B7256" t="str">
        <f>"020322"</f>
        <v>0</v>
      </c>
      <c r="C7256" t="s">
        <v>6442</v>
      </c>
      <c r="D7256" t="s">
        <v>11433</v>
      </c>
      <c r="E7256" t="str">
        <f>"3309700066896"</f>
        <v>0</v>
      </c>
      <c r="F7256" t="str">
        <f>"001350"</f>
        <v>0</v>
      </c>
      <c r="G7256" t="s">
        <v>21</v>
      </c>
    </row>
    <row r="7257" spans="1:7">
      <c r="A7257">
        <v>7256</v>
      </c>
      <c r="B7257" t="str">
        <f>"020537"</f>
        <v>0</v>
      </c>
      <c r="C7257" t="s">
        <v>2022</v>
      </c>
      <c r="D7257" t="s">
        <v>11434</v>
      </c>
      <c r="E7257" t="str">
        <f>"3190900325261"</f>
        <v>0</v>
      </c>
      <c r="F7257" t="str">
        <f>"001350"</f>
        <v>0</v>
      </c>
      <c r="G7257" t="s">
        <v>21</v>
      </c>
    </row>
    <row r="7258" spans="1:7">
      <c r="A7258">
        <v>7257</v>
      </c>
      <c r="B7258" t="str">
        <f>"020542"</f>
        <v>0</v>
      </c>
      <c r="C7258" t="s">
        <v>1938</v>
      </c>
      <c r="D7258" t="s">
        <v>11435</v>
      </c>
      <c r="E7258" t="str">
        <f>"3440700101595"</f>
        <v>0</v>
      </c>
      <c r="F7258" t="str">
        <f>"001350"</f>
        <v>0</v>
      </c>
      <c r="G7258" t="s">
        <v>21</v>
      </c>
    </row>
    <row r="7259" spans="1:7">
      <c r="A7259">
        <v>7258</v>
      </c>
      <c r="B7259" t="str">
        <f>"020667"</f>
        <v>0</v>
      </c>
      <c r="C7259" t="s">
        <v>11436</v>
      </c>
      <c r="D7259" t="s">
        <v>11437</v>
      </c>
      <c r="E7259" t="str">
        <f>"3440900911965"</f>
        <v>0</v>
      </c>
      <c r="F7259" t="str">
        <f>"001350"</f>
        <v>0</v>
      </c>
      <c r="G7259" t="s">
        <v>21</v>
      </c>
    </row>
    <row r="7260" spans="1:7">
      <c r="A7260">
        <v>7259</v>
      </c>
      <c r="B7260" t="str">
        <f>"021016"</f>
        <v>0</v>
      </c>
      <c r="C7260" t="s">
        <v>11438</v>
      </c>
      <c r="D7260" t="s">
        <v>11439</v>
      </c>
      <c r="E7260" t="str">
        <f>"3440500142247"</f>
        <v>0</v>
      </c>
      <c r="F7260" t="str">
        <f>"001350"</f>
        <v>0</v>
      </c>
      <c r="G7260" t="s">
        <v>21</v>
      </c>
    </row>
    <row r="7261" spans="1:7">
      <c r="A7261">
        <v>7260</v>
      </c>
      <c r="B7261" t="str">
        <f>"021018"</f>
        <v>0</v>
      </c>
      <c r="C7261" t="s">
        <v>112</v>
      </c>
      <c r="D7261" t="s">
        <v>11440</v>
      </c>
      <c r="E7261" t="str">
        <f>"3440100280626"</f>
        <v>0</v>
      </c>
      <c r="F7261" t="str">
        <f>"001350"</f>
        <v>0</v>
      </c>
      <c r="G7261" t="s">
        <v>21</v>
      </c>
    </row>
    <row r="7262" spans="1:7">
      <c r="A7262">
        <v>7261</v>
      </c>
      <c r="B7262" t="str">
        <f>"021168"</f>
        <v>0</v>
      </c>
      <c r="C7262" t="s">
        <v>2872</v>
      </c>
      <c r="D7262" t="s">
        <v>11441</v>
      </c>
      <c r="E7262" t="str">
        <f>"3440800234015"</f>
        <v>0</v>
      </c>
      <c r="F7262" t="str">
        <f>"001350"</f>
        <v>0</v>
      </c>
      <c r="G7262" t="s">
        <v>21</v>
      </c>
    </row>
    <row r="7263" spans="1:7">
      <c r="A7263">
        <v>7262</v>
      </c>
      <c r="B7263" t="str">
        <f>"021191"</f>
        <v>0</v>
      </c>
      <c r="C7263" t="s">
        <v>11442</v>
      </c>
      <c r="D7263" t="s">
        <v>11443</v>
      </c>
      <c r="E7263" t="str">
        <f>"3440600573657"</f>
        <v>0</v>
      </c>
      <c r="F7263" t="str">
        <f>"001350"</f>
        <v>0</v>
      </c>
      <c r="G7263" t="s">
        <v>21</v>
      </c>
    </row>
    <row r="7264" spans="1:7">
      <c r="A7264">
        <v>7263</v>
      </c>
      <c r="B7264" t="str">
        <f>"021442"</f>
        <v>0</v>
      </c>
      <c r="C7264" t="s">
        <v>11444</v>
      </c>
      <c r="D7264" t="s">
        <v>11445</v>
      </c>
      <c r="E7264" t="str">
        <f>"3440601186533"</f>
        <v>0</v>
      </c>
      <c r="F7264" t="str">
        <f>"001350"</f>
        <v>0</v>
      </c>
      <c r="G7264" t="s">
        <v>21</v>
      </c>
    </row>
    <row r="7265" spans="1:7">
      <c r="A7265">
        <v>7264</v>
      </c>
      <c r="B7265" t="str">
        <f>"021573"</f>
        <v>0</v>
      </c>
      <c r="C7265" t="s">
        <v>2760</v>
      </c>
      <c r="D7265" t="s">
        <v>11446</v>
      </c>
      <c r="E7265" t="str">
        <f>"3440900649217"</f>
        <v>0</v>
      </c>
      <c r="F7265" t="str">
        <f>"001350"</f>
        <v>0</v>
      </c>
      <c r="G7265" t="s">
        <v>21</v>
      </c>
    </row>
    <row r="7266" spans="1:7">
      <c r="A7266">
        <v>7265</v>
      </c>
      <c r="B7266" t="str">
        <f>"021984"</f>
        <v>0</v>
      </c>
      <c r="C7266" t="s">
        <v>3346</v>
      </c>
      <c r="D7266" t="s">
        <v>11447</v>
      </c>
      <c r="E7266" t="str">
        <f>"3440400388601"</f>
        <v>0</v>
      </c>
      <c r="F7266" t="str">
        <f>"001350"</f>
        <v>0</v>
      </c>
      <c r="G7266" t="s">
        <v>21</v>
      </c>
    </row>
    <row r="7267" spans="1:7">
      <c r="A7267">
        <v>7266</v>
      </c>
      <c r="B7267" t="str">
        <f>"022193"</f>
        <v>0</v>
      </c>
      <c r="C7267" t="s">
        <v>8146</v>
      </c>
      <c r="D7267" t="s">
        <v>11448</v>
      </c>
      <c r="E7267" t="str">
        <f>"5440300039961"</f>
        <v>0</v>
      </c>
      <c r="F7267" t="str">
        <f>"001350"</f>
        <v>0</v>
      </c>
      <c r="G7267" t="s">
        <v>21</v>
      </c>
    </row>
    <row r="7268" spans="1:7">
      <c r="A7268">
        <v>7267</v>
      </c>
      <c r="B7268" t="str">
        <f>"022280"</f>
        <v>0</v>
      </c>
      <c r="C7268" t="s">
        <v>9619</v>
      </c>
      <c r="D7268" t="s">
        <v>11449</v>
      </c>
      <c r="E7268" t="str">
        <f>"3440100662821"</f>
        <v>0</v>
      </c>
      <c r="F7268" t="str">
        <f>"001350"</f>
        <v>0</v>
      </c>
      <c r="G7268" t="s">
        <v>21</v>
      </c>
    </row>
    <row r="7269" spans="1:7">
      <c r="A7269">
        <v>7268</v>
      </c>
      <c r="B7269" t="str">
        <f>"022559"</f>
        <v>0</v>
      </c>
      <c r="C7269" t="s">
        <v>11450</v>
      </c>
      <c r="D7269" t="s">
        <v>11451</v>
      </c>
      <c r="E7269" t="str">
        <f>"3440100189238"</f>
        <v>0</v>
      </c>
      <c r="F7269" t="str">
        <f>"001350"</f>
        <v>0</v>
      </c>
      <c r="G7269" t="s">
        <v>21</v>
      </c>
    </row>
    <row r="7270" spans="1:7">
      <c r="A7270">
        <v>7269</v>
      </c>
      <c r="B7270" t="str">
        <f>"022664"</f>
        <v>0</v>
      </c>
      <c r="C7270" t="s">
        <v>11452</v>
      </c>
      <c r="D7270" t="s">
        <v>5016</v>
      </c>
      <c r="E7270" t="str">
        <f>"3440600291074"</f>
        <v>0</v>
      </c>
      <c r="F7270" t="str">
        <f>"001350"</f>
        <v>0</v>
      </c>
      <c r="G7270" t="s">
        <v>21</v>
      </c>
    </row>
    <row r="7271" spans="1:7">
      <c r="A7271">
        <v>7270</v>
      </c>
      <c r="B7271" t="str">
        <f>"022739"</f>
        <v>0</v>
      </c>
      <c r="C7271" t="s">
        <v>4829</v>
      </c>
      <c r="D7271" t="s">
        <v>11453</v>
      </c>
      <c r="E7271" t="str">
        <f>"3449900103794"</f>
        <v>0</v>
      </c>
      <c r="F7271" t="str">
        <f>"001350"</f>
        <v>0</v>
      </c>
      <c r="G7271" t="s">
        <v>21</v>
      </c>
    </row>
    <row r="7272" spans="1:7">
      <c r="A7272">
        <v>7271</v>
      </c>
      <c r="B7272" t="str">
        <f>"023115"</f>
        <v>0</v>
      </c>
      <c r="C7272" t="s">
        <v>6066</v>
      </c>
      <c r="D7272" t="s">
        <v>11454</v>
      </c>
      <c r="E7272" t="str">
        <f>"3440301018708"</f>
        <v>0</v>
      </c>
      <c r="F7272" t="str">
        <f>"001350"</f>
        <v>0</v>
      </c>
      <c r="G7272" t="s">
        <v>21</v>
      </c>
    </row>
    <row r="7273" spans="1:7">
      <c r="A7273">
        <v>7272</v>
      </c>
      <c r="B7273" t="str">
        <f>"023588"</f>
        <v>0</v>
      </c>
      <c r="C7273" t="s">
        <v>11455</v>
      </c>
      <c r="D7273" t="s">
        <v>11456</v>
      </c>
      <c r="E7273" t="str">
        <f>"1449900124558"</f>
        <v>0</v>
      </c>
      <c r="F7273" t="str">
        <f>"001350"</f>
        <v>0</v>
      </c>
      <c r="G7273" t="s">
        <v>21</v>
      </c>
    </row>
    <row r="7274" spans="1:7">
      <c r="A7274">
        <v>7273</v>
      </c>
      <c r="B7274" t="str">
        <f>"023630"</f>
        <v>0</v>
      </c>
      <c r="C7274" t="s">
        <v>11457</v>
      </c>
      <c r="D7274" t="s">
        <v>11458</v>
      </c>
      <c r="E7274" t="str">
        <f>"5450500016451"</f>
        <v>0</v>
      </c>
      <c r="F7274" t="str">
        <f>"001350"</f>
        <v>0</v>
      </c>
      <c r="G7274" t="s">
        <v>21</v>
      </c>
    </row>
    <row r="7275" spans="1:7">
      <c r="A7275">
        <v>7274</v>
      </c>
      <c r="B7275" t="str">
        <f>"023631"</f>
        <v>0</v>
      </c>
      <c r="C7275" t="s">
        <v>7459</v>
      </c>
      <c r="D7275" t="s">
        <v>11459</v>
      </c>
      <c r="E7275" t="str">
        <f>"3460100185330"</f>
        <v>0</v>
      </c>
      <c r="F7275" t="str">
        <f>"001350"</f>
        <v>0</v>
      </c>
      <c r="G7275" t="s">
        <v>21</v>
      </c>
    </row>
    <row r="7276" spans="1:7">
      <c r="A7276">
        <v>7275</v>
      </c>
      <c r="B7276" t="str">
        <f>"023684"</f>
        <v>0</v>
      </c>
      <c r="C7276" t="s">
        <v>2301</v>
      </c>
      <c r="D7276" t="s">
        <v>11460</v>
      </c>
      <c r="E7276" t="str">
        <f>"1440600114192"</f>
        <v>0</v>
      </c>
      <c r="F7276" t="str">
        <f>"001350"</f>
        <v>0</v>
      </c>
      <c r="G7276" t="s">
        <v>21</v>
      </c>
    </row>
    <row r="7277" spans="1:7">
      <c r="A7277">
        <v>7276</v>
      </c>
      <c r="B7277" t="str">
        <f>"023725"</f>
        <v>0</v>
      </c>
      <c r="C7277" t="s">
        <v>11461</v>
      </c>
      <c r="D7277" t="s">
        <v>11462</v>
      </c>
      <c r="E7277" t="str">
        <f>"3440100522671"</f>
        <v>0</v>
      </c>
      <c r="F7277" t="str">
        <f>"001350"</f>
        <v>0</v>
      </c>
      <c r="G7277" t="s">
        <v>21</v>
      </c>
    </row>
    <row r="7278" spans="1:7">
      <c r="A7278">
        <v>7277</v>
      </c>
      <c r="B7278" t="str">
        <f>"023737"</f>
        <v>0</v>
      </c>
      <c r="C7278" t="s">
        <v>11463</v>
      </c>
      <c r="D7278" t="s">
        <v>11464</v>
      </c>
      <c r="E7278" t="str">
        <f>"3440601186827"</f>
        <v>0</v>
      </c>
      <c r="F7278" t="str">
        <f>"001350"</f>
        <v>0</v>
      </c>
      <c r="G7278" t="s">
        <v>21</v>
      </c>
    </row>
    <row r="7279" spans="1:7">
      <c r="A7279">
        <v>7278</v>
      </c>
      <c r="B7279" t="str">
        <f>"024012"</f>
        <v>0</v>
      </c>
      <c r="C7279" t="s">
        <v>1411</v>
      </c>
      <c r="D7279" t="s">
        <v>11465</v>
      </c>
      <c r="E7279" t="str">
        <f>"3440600132995"</f>
        <v>0</v>
      </c>
      <c r="F7279" t="str">
        <f>"001350"</f>
        <v>0</v>
      </c>
      <c r="G7279" t="s">
        <v>21</v>
      </c>
    </row>
    <row r="7280" spans="1:7">
      <c r="A7280">
        <v>7279</v>
      </c>
      <c r="B7280" t="str">
        <f>"024074"</f>
        <v>0</v>
      </c>
      <c r="C7280" t="s">
        <v>1204</v>
      </c>
      <c r="D7280" t="s">
        <v>11466</v>
      </c>
      <c r="E7280" t="str">
        <f>"3440500752878"</f>
        <v>0</v>
      </c>
      <c r="F7280" t="str">
        <f>"001350"</f>
        <v>0</v>
      </c>
      <c r="G7280" t="s">
        <v>21</v>
      </c>
    </row>
    <row r="7281" spans="1:7">
      <c r="A7281">
        <v>7280</v>
      </c>
      <c r="B7281" t="str">
        <f>"024075"</f>
        <v>0</v>
      </c>
      <c r="C7281" t="s">
        <v>11467</v>
      </c>
      <c r="D7281" t="s">
        <v>11468</v>
      </c>
      <c r="E7281" t="str">
        <f>"1440300006114"</f>
        <v>0</v>
      </c>
      <c r="F7281" t="str">
        <f>"001350"</f>
        <v>0</v>
      </c>
      <c r="G7281" t="s">
        <v>21</v>
      </c>
    </row>
    <row r="7282" spans="1:7">
      <c r="A7282">
        <v>7281</v>
      </c>
      <c r="B7282" t="str">
        <f>"024264"</f>
        <v>0</v>
      </c>
      <c r="C7282" t="s">
        <v>10134</v>
      </c>
      <c r="D7282" t="s">
        <v>2808</v>
      </c>
      <c r="E7282" t="str">
        <f>"1570800001331"</f>
        <v>0</v>
      </c>
      <c r="F7282" t="str">
        <f>"001350"</f>
        <v>0</v>
      </c>
      <c r="G7282" t="s">
        <v>21</v>
      </c>
    </row>
    <row r="7283" spans="1:7">
      <c r="A7283">
        <v>7282</v>
      </c>
      <c r="B7283" t="str">
        <f>"024387"</f>
        <v>0</v>
      </c>
      <c r="C7283" t="s">
        <v>11469</v>
      </c>
      <c r="D7283" t="s">
        <v>11470</v>
      </c>
      <c r="E7283" t="str">
        <f>"3340701535841"</f>
        <v>0</v>
      </c>
      <c r="F7283" t="str">
        <f>"001350"</f>
        <v>0</v>
      </c>
      <c r="G7283" t="s">
        <v>21</v>
      </c>
    </row>
    <row r="7284" spans="1:7">
      <c r="A7284">
        <v>7283</v>
      </c>
      <c r="B7284" t="str">
        <f>"024443"</f>
        <v>0</v>
      </c>
      <c r="C7284" t="s">
        <v>11083</v>
      </c>
      <c r="D7284" t="s">
        <v>11471</v>
      </c>
      <c r="E7284" t="str">
        <f>"3141200525292"</f>
        <v>0</v>
      </c>
      <c r="F7284" t="str">
        <f>"001350"</f>
        <v>0</v>
      </c>
      <c r="G7284" t="s">
        <v>21</v>
      </c>
    </row>
    <row r="7285" spans="1:7">
      <c r="A7285">
        <v>7284</v>
      </c>
      <c r="B7285" t="str">
        <f>"024516"</f>
        <v>0</v>
      </c>
      <c r="C7285" t="s">
        <v>11472</v>
      </c>
      <c r="D7285" t="s">
        <v>11473</v>
      </c>
      <c r="E7285" t="str">
        <f>"3440301000647"</f>
        <v>0</v>
      </c>
      <c r="F7285" t="str">
        <f>"001350"</f>
        <v>0</v>
      </c>
      <c r="G7285" t="s">
        <v>21</v>
      </c>
    </row>
    <row r="7286" spans="1:7">
      <c r="A7286">
        <v>7285</v>
      </c>
      <c r="B7286" t="str">
        <f>"024749"</f>
        <v>0</v>
      </c>
      <c r="C7286" t="s">
        <v>1048</v>
      </c>
      <c r="D7286" t="s">
        <v>11474</v>
      </c>
      <c r="E7286" t="str">
        <f>"3440100805940"</f>
        <v>0</v>
      </c>
      <c r="F7286" t="str">
        <f>"001350"</f>
        <v>0</v>
      </c>
      <c r="G7286" t="s">
        <v>21</v>
      </c>
    </row>
    <row r="7287" spans="1:7">
      <c r="A7287">
        <v>7286</v>
      </c>
      <c r="B7287" t="str">
        <f>"024831"</f>
        <v>0</v>
      </c>
      <c r="C7287" t="s">
        <v>1571</v>
      </c>
      <c r="D7287" t="s">
        <v>11475</v>
      </c>
      <c r="E7287" t="str">
        <f>"3440300984767"</f>
        <v>0</v>
      </c>
      <c r="F7287" t="str">
        <f>"001350"</f>
        <v>0</v>
      </c>
      <c r="G7287" t="s">
        <v>21</v>
      </c>
    </row>
    <row r="7288" spans="1:7">
      <c r="A7288">
        <v>7287</v>
      </c>
      <c r="B7288" t="str">
        <f>"024832"</f>
        <v>0</v>
      </c>
      <c r="C7288" t="s">
        <v>8864</v>
      </c>
      <c r="D7288" t="s">
        <v>11476</v>
      </c>
      <c r="E7288" t="str">
        <f>"3440500578436"</f>
        <v>0</v>
      </c>
      <c r="F7288" t="str">
        <f>"001350"</f>
        <v>0</v>
      </c>
      <c r="G7288" t="s">
        <v>21</v>
      </c>
    </row>
    <row r="7289" spans="1:7">
      <c r="A7289">
        <v>7288</v>
      </c>
      <c r="B7289" t="str">
        <f>"024866"</f>
        <v>0</v>
      </c>
      <c r="C7289" t="s">
        <v>11477</v>
      </c>
      <c r="D7289" t="s">
        <v>11478</v>
      </c>
      <c r="E7289" t="str">
        <f>"3411600374841"</f>
        <v>0</v>
      </c>
      <c r="F7289" t="str">
        <f>"001350"</f>
        <v>0</v>
      </c>
      <c r="G7289" t="s">
        <v>21</v>
      </c>
    </row>
    <row r="7290" spans="1:7">
      <c r="A7290">
        <v>7289</v>
      </c>
      <c r="B7290" t="str">
        <f>"025140"</f>
        <v>0</v>
      </c>
      <c r="C7290" t="s">
        <v>7988</v>
      </c>
      <c r="D7290" t="s">
        <v>11479</v>
      </c>
      <c r="E7290" t="str">
        <f>"3440600938981"</f>
        <v>0</v>
      </c>
      <c r="F7290" t="str">
        <f>"001350"</f>
        <v>0</v>
      </c>
      <c r="G7290" t="s">
        <v>21</v>
      </c>
    </row>
    <row r="7291" spans="1:7">
      <c r="A7291">
        <v>7290</v>
      </c>
      <c r="B7291" t="str">
        <f>"025460"</f>
        <v>0</v>
      </c>
      <c r="C7291" t="s">
        <v>6053</v>
      </c>
      <c r="D7291" t="s">
        <v>11480</v>
      </c>
      <c r="E7291" t="str">
        <f>"3440300075163"</f>
        <v>0</v>
      </c>
      <c r="F7291" t="str">
        <f>"001350"</f>
        <v>0</v>
      </c>
      <c r="G7291" t="s">
        <v>21</v>
      </c>
    </row>
    <row r="7292" spans="1:7">
      <c r="A7292">
        <v>7291</v>
      </c>
      <c r="B7292" t="str">
        <f>"025635"</f>
        <v>0</v>
      </c>
      <c r="C7292" t="s">
        <v>857</v>
      </c>
      <c r="D7292" t="s">
        <v>11481</v>
      </c>
      <c r="E7292" t="str">
        <f>"3310400596417"</f>
        <v>0</v>
      </c>
      <c r="F7292" t="str">
        <f>"001350"</f>
        <v>0</v>
      </c>
      <c r="G7292" t="s">
        <v>21</v>
      </c>
    </row>
    <row r="7293" spans="1:7">
      <c r="A7293">
        <v>7292</v>
      </c>
      <c r="B7293" t="str">
        <f>"025636"</f>
        <v>0</v>
      </c>
      <c r="C7293" t="s">
        <v>11482</v>
      </c>
      <c r="D7293" t="s">
        <v>11483</v>
      </c>
      <c r="E7293" t="str">
        <f>"1100700431273"</f>
        <v>0</v>
      </c>
      <c r="F7293" t="str">
        <f>"001350"</f>
        <v>0</v>
      </c>
      <c r="G7293" t="s">
        <v>21</v>
      </c>
    </row>
    <row r="7294" spans="1:7">
      <c r="A7294">
        <v>7293</v>
      </c>
      <c r="B7294" t="str">
        <f>"026384"</f>
        <v>0</v>
      </c>
      <c r="C7294" t="s">
        <v>346</v>
      </c>
      <c r="D7294" t="s">
        <v>11484</v>
      </c>
      <c r="E7294" t="str">
        <f>"1440800119457"</f>
        <v>0</v>
      </c>
      <c r="F7294" t="str">
        <f>"001350"</f>
        <v>0</v>
      </c>
      <c r="G7294" t="s">
        <v>21</v>
      </c>
    </row>
    <row r="7295" spans="1:7">
      <c r="A7295">
        <v>7294</v>
      </c>
      <c r="B7295" t="str">
        <f>"026761"</f>
        <v>0</v>
      </c>
      <c r="C7295" t="s">
        <v>11485</v>
      </c>
      <c r="D7295" t="s">
        <v>11486</v>
      </c>
      <c r="E7295" t="str">
        <f>"1440700011701"</f>
        <v>0</v>
      </c>
      <c r="F7295" t="str">
        <f>"001350"</f>
        <v>0</v>
      </c>
      <c r="G7295" t="s">
        <v>21</v>
      </c>
    </row>
    <row r="7296" spans="1:7">
      <c r="A7296">
        <v>7295</v>
      </c>
      <c r="B7296" t="str">
        <f>"027174"</f>
        <v>0</v>
      </c>
      <c r="C7296" t="s">
        <v>4264</v>
      </c>
      <c r="D7296" t="s">
        <v>11487</v>
      </c>
      <c r="E7296" t="str">
        <f>"3401000211089"</f>
        <v>0</v>
      </c>
      <c r="F7296" t="str">
        <f>"001350"</f>
        <v>0</v>
      </c>
      <c r="G7296" t="s">
        <v>21</v>
      </c>
    </row>
    <row r="7297" spans="1:7">
      <c r="A7297">
        <v>7296</v>
      </c>
      <c r="B7297" t="str">
        <f>"025968"</f>
        <v>0</v>
      </c>
      <c r="C7297" t="s">
        <v>11488</v>
      </c>
      <c r="D7297" t="s">
        <v>11489</v>
      </c>
      <c r="E7297" t="str">
        <f>"3450100564314"</f>
        <v>0</v>
      </c>
      <c r="F7297" t="str">
        <f>"001350"</f>
        <v>0</v>
      </c>
      <c r="G7297" t="s">
        <v>21</v>
      </c>
    </row>
    <row r="7298" spans="1:7">
      <c r="A7298">
        <v>7297</v>
      </c>
      <c r="B7298" t="str">
        <f>"011727"</f>
        <v>0</v>
      </c>
      <c r="C7298" t="s">
        <v>11490</v>
      </c>
      <c r="D7298" t="s">
        <v>11491</v>
      </c>
      <c r="E7298" t="str">
        <f>"3460700511521"</f>
        <v>0</v>
      </c>
      <c r="F7298" t="str">
        <f>"001350"</f>
        <v>0</v>
      </c>
      <c r="G7298" t="s">
        <v>21</v>
      </c>
    </row>
    <row r="7299" spans="1:7">
      <c r="A7299">
        <v>7298</v>
      </c>
      <c r="B7299" t="str">
        <f>"020541"</f>
        <v>0</v>
      </c>
      <c r="C7299" t="s">
        <v>11492</v>
      </c>
      <c r="D7299" t="s">
        <v>11493</v>
      </c>
      <c r="E7299" t="str">
        <f>"3460800124503"</f>
        <v>0</v>
      </c>
      <c r="F7299" t="str">
        <f>"001350"</f>
        <v>0</v>
      </c>
      <c r="G7299" t="s">
        <v>21</v>
      </c>
    </row>
    <row r="7300" spans="1:7">
      <c r="A7300">
        <v>7299</v>
      </c>
      <c r="B7300" t="str">
        <f>"026999"</f>
        <v>0</v>
      </c>
      <c r="C7300" t="s">
        <v>11494</v>
      </c>
      <c r="D7300" t="s">
        <v>11495</v>
      </c>
      <c r="E7300" t="str">
        <f>"1480500152114"</f>
        <v>0</v>
      </c>
      <c r="F7300" t="str">
        <f>"001350"</f>
        <v>0</v>
      </c>
      <c r="G7300" t="s">
        <v>21</v>
      </c>
    </row>
    <row r="7301" spans="1:7">
      <c r="A7301">
        <v>7300</v>
      </c>
      <c r="B7301" t="str">
        <f>"024484"</f>
        <v>0</v>
      </c>
      <c r="C7301" t="s">
        <v>634</v>
      </c>
      <c r="D7301" t="s">
        <v>11496</v>
      </c>
      <c r="E7301" t="str">
        <f>"3440900659930"</f>
        <v>0</v>
      </c>
      <c r="F7301" t="str">
        <f>"001350"</f>
        <v>0</v>
      </c>
      <c r="G7301" t="s">
        <v>21</v>
      </c>
    </row>
    <row r="7302" spans="1:7">
      <c r="A7302">
        <v>7301</v>
      </c>
      <c r="B7302" t="str">
        <f>"027172"</f>
        <v>0</v>
      </c>
      <c r="C7302" t="s">
        <v>11497</v>
      </c>
      <c r="D7302" t="s">
        <v>11498</v>
      </c>
      <c r="E7302" t="str">
        <f>"1610600113020"</f>
        <v>0</v>
      </c>
      <c r="F7302" t="str">
        <f>"001350"</f>
        <v>0</v>
      </c>
      <c r="G7302" t="s">
        <v>21</v>
      </c>
    </row>
    <row r="7303" spans="1:7">
      <c r="A7303">
        <v>7302</v>
      </c>
      <c r="B7303" t="str">
        <f>"027169"</f>
        <v>0</v>
      </c>
      <c r="C7303" t="s">
        <v>8034</v>
      </c>
      <c r="D7303" t="s">
        <v>11499</v>
      </c>
      <c r="E7303" t="str">
        <f>"1620200062932"</f>
        <v>0</v>
      </c>
      <c r="F7303" t="str">
        <f>"001350"</f>
        <v>0</v>
      </c>
      <c r="G7303" t="s">
        <v>21</v>
      </c>
    </row>
    <row r="7304" spans="1:7">
      <c r="A7304">
        <v>7303</v>
      </c>
      <c r="B7304" t="str">
        <f>"026385"</f>
        <v>0</v>
      </c>
      <c r="C7304" t="s">
        <v>8324</v>
      </c>
      <c r="D7304" t="s">
        <v>11500</v>
      </c>
      <c r="E7304" t="str">
        <f>"1102001019243"</f>
        <v>0</v>
      </c>
      <c r="F7304" t="str">
        <f>"001350"</f>
        <v>0</v>
      </c>
      <c r="G7304" t="s">
        <v>21</v>
      </c>
    </row>
    <row r="7305" spans="1:7">
      <c r="A7305">
        <v>7304</v>
      </c>
      <c r="B7305" t="str">
        <f>"027175"</f>
        <v>0</v>
      </c>
      <c r="C7305" t="s">
        <v>11501</v>
      </c>
      <c r="D7305" t="s">
        <v>11502</v>
      </c>
      <c r="E7305" t="str">
        <f>"1141200056059"</f>
        <v>0</v>
      </c>
      <c r="F7305" t="str">
        <f>"001350"</f>
        <v>0</v>
      </c>
      <c r="G7305" t="s">
        <v>21</v>
      </c>
    </row>
    <row r="7306" spans="1:7">
      <c r="A7306">
        <v>7305</v>
      </c>
      <c r="B7306" t="str">
        <f>"012493"</f>
        <v>0</v>
      </c>
      <c r="C7306" t="s">
        <v>11503</v>
      </c>
      <c r="D7306" t="s">
        <v>11504</v>
      </c>
      <c r="E7306" t="str">
        <f>"4120500001008"</f>
        <v>0</v>
      </c>
      <c r="F7306" t="str">
        <f>"001350"</f>
        <v>0</v>
      </c>
      <c r="G7306" t="s">
        <v>21</v>
      </c>
    </row>
    <row r="7307" spans="1:7">
      <c r="A7307">
        <v>7306</v>
      </c>
      <c r="B7307" t="str">
        <f>"013075"</f>
        <v>0</v>
      </c>
      <c r="C7307" t="s">
        <v>1341</v>
      </c>
      <c r="D7307" t="s">
        <v>11505</v>
      </c>
      <c r="E7307" t="str">
        <f>"3901100622795"</f>
        <v>0</v>
      </c>
      <c r="F7307" t="str">
        <f>"001350"</f>
        <v>0</v>
      </c>
      <c r="G7307" t="s">
        <v>21</v>
      </c>
    </row>
    <row r="7308" spans="1:7">
      <c r="A7308">
        <v>7307</v>
      </c>
      <c r="B7308" t="str">
        <f>"022324"</f>
        <v>0</v>
      </c>
      <c r="C7308" t="s">
        <v>11506</v>
      </c>
      <c r="D7308" t="s">
        <v>11507</v>
      </c>
      <c r="E7308" t="str">
        <f>"3470400170893"</f>
        <v>0</v>
      </c>
      <c r="F7308" t="str">
        <f>"001350"</f>
        <v>0</v>
      </c>
      <c r="G7308" t="s">
        <v>21</v>
      </c>
    </row>
    <row r="7309" spans="1:7">
      <c r="A7309">
        <v>7308</v>
      </c>
      <c r="B7309" t="str">
        <f>"015570"</f>
        <v>0</v>
      </c>
      <c r="C7309" t="s">
        <v>11508</v>
      </c>
      <c r="D7309" t="s">
        <v>11509</v>
      </c>
      <c r="E7309" t="str">
        <f>"3800900809831"</f>
        <v>0</v>
      </c>
      <c r="F7309" t="str">
        <f>"001350"</f>
        <v>0</v>
      </c>
      <c r="G7309" t="s">
        <v>21</v>
      </c>
    </row>
    <row r="7310" spans="1:7">
      <c r="A7310">
        <v>7309</v>
      </c>
      <c r="B7310" t="str">
        <f>"025471"</f>
        <v>0</v>
      </c>
      <c r="C7310" t="s">
        <v>11510</v>
      </c>
      <c r="D7310" t="s">
        <v>11511</v>
      </c>
      <c r="E7310" t="str">
        <f>"1499900089400"</f>
        <v>0</v>
      </c>
      <c r="F7310" t="str">
        <f>"001350"</f>
        <v>0</v>
      </c>
      <c r="G7310" t="s">
        <v>21</v>
      </c>
    </row>
    <row r="7311" spans="1:7">
      <c r="A7311">
        <v>7310</v>
      </c>
      <c r="B7311" t="str">
        <f>"001575"</f>
        <v>0</v>
      </c>
      <c r="C7311" t="s">
        <v>11512</v>
      </c>
      <c r="D7311" t="s">
        <v>11513</v>
      </c>
      <c r="E7311" t="str">
        <f>"3580200124129"</f>
        <v>0</v>
      </c>
      <c r="F7311" t="str">
        <f>"001360"</f>
        <v>0</v>
      </c>
      <c r="G7311" t="s">
        <v>21</v>
      </c>
    </row>
    <row r="7312" spans="1:7">
      <c r="A7312">
        <v>7311</v>
      </c>
      <c r="B7312" t="str">
        <f>"002757"</f>
        <v>0</v>
      </c>
      <c r="C7312" t="s">
        <v>341</v>
      </c>
      <c r="D7312" t="s">
        <v>8274</v>
      </c>
      <c r="E7312" t="str">
        <f>"3589900026012"</f>
        <v>0</v>
      </c>
      <c r="F7312" t="str">
        <f>"001360"</f>
        <v>0</v>
      </c>
      <c r="G7312" t="s">
        <v>21</v>
      </c>
    </row>
    <row r="7313" spans="1:7">
      <c r="A7313">
        <v>7312</v>
      </c>
      <c r="B7313" t="str">
        <f>"003529"</f>
        <v>0</v>
      </c>
      <c r="C7313" t="s">
        <v>3537</v>
      </c>
      <c r="D7313" t="s">
        <v>8274</v>
      </c>
      <c r="E7313" t="str">
        <f>"3589900026047"</f>
        <v>0</v>
      </c>
      <c r="F7313" t="str">
        <f>"001360"</f>
        <v>0</v>
      </c>
      <c r="G7313" t="s">
        <v>21</v>
      </c>
    </row>
    <row r="7314" spans="1:7">
      <c r="A7314">
        <v>7313</v>
      </c>
      <c r="B7314" t="str">
        <f>"007147"</f>
        <v>0</v>
      </c>
      <c r="C7314" t="s">
        <v>8808</v>
      </c>
      <c r="D7314" t="s">
        <v>11514</v>
      </c>
      <c r="E7314" t="str">
        <f>"3580500225532"</f>
        <v>0</v>
      </c>
      <c r="F7314" t="str">
        <f>"001360"</f>
        <v>0</v>
      </c>
      <c r="G7314" t="s">
        <v>21</v>
      </c>
    </row>
    <row r="7315" spans="1:7">
      <c r="A7315">
        <v>7314</v>
      </c>
      <c r="B7315" t="str">
        <f>"007378"</f>
        <v>0</v>
      </c>
      <c r="C7315" t="s">
        <v>878</v>
      </c>
      <c r="D7315" t="s">
        <v>11515</v>
      </c>
      <c r="E7315" t="str">
        <f>"4501800001159"</f>
        <v>0</v>
      </c>
      <c r="F7315" t="str">
        <f>"001360"</f>
        <v>0</v>
      </c>
      <c r="G7315" t="s">
        <v>21</v>
      </c>
    </row>
    <row r="7316" spans="1:7">
      <c r="A7316">
        <v>7315</v>
      </c>
      <c r="B7316" t="str">
        <f>"008006"</f>
        <v>0</v>
      </c>
      <c r="C7316" t="s">
        <v>2662</v>
      </c>
      <c r="D7316" t="s">
        <v>11516</v>
      </c>
      <c r="E7316" t="str">
        <f>"3509901414211"</f>
        <v>0</v>
      </c>
      <c r="F7316" t="str">
        <f>"001360"</f>
        <v>0</v>
      </c>
      <c r="G7316" t="s">
        <v>21</v>
      </c>
    </row>
    <row r="7317" spans="1:7">
      <c r="A7317">
        <v>7316</v>
      </c>
      <c r="B7317" t="str">
        <f>"009059"</f>
        <v>0</v>
      </c>
      <c r="C7317" t="s">
        <v>896</v>
      </c>
      <c r="D7317" t="s">
        <v>11517</v>
      </c>
      <c r="E7317" t="str">
        <f>"3459900142609"</f>
        <v>0</v>
      </c>
      <c r="F7317" t="str">
        <f>"001360"</f>
        <v>0</v>
      </c>
      <c r="G7317" t="s">
        <v>21</v>
      </c>
    </row>
    <row r="7318" spans="1:7">
      <c r="A7318">
        <v>7317</v>
      </c>
      <c r="B7318" t="str">
        <f>"009246"</f>
        <v>0</v>
      </c>
      <c r="C7318" t="s">
        <v>798</v>
      </c>
      <c r="D7318" t="s">
        <v>11518</v>
      </c>
      <c r="E7318" t="str">
        <f>"3411200126760"</f>
        <v>0</v>
      </c>
      <c r="F7318" t="str">
        <f>"001360"</f>
        <v>0</v>
      </c>
      <c r="G7318" t="s">
        <v>21</v>
      </c>
    </row>
    <row r="7319" spans="1:7">
      <c r="A7319">
        <v>7318</v>
      </c>
      <c r="B7319" t="str">
        <f>"009296"</f>
        <v>0</v>
      </c>
      <c r="C7319" t="s">
        <v>11519</v>
      </c>
      <c r="D7319" t="s">
        <v>343</v>
      </c>
      <c r="E7319" t="str">
        <f>"3501900158574"</f>
        <v>0</v>
      </c>
      <c r="F7319" t="str">
        <f>"001360"</f>
        <v>0</v>
      </c>
      <c r="G7319" t="s">
        <v>21</v>
      </c>
    </row>
    <row r="7320" spans="1:7">
      <c r="A7320">
        <v>7319</v>
      </c>
      <c r="B7320" t="str">
        <f>"009297"</f>
        <v>0</v>
      </c>
      <c r="C7320" t="s">
        <v>7840</v>
      </c>
      <c r="D7320" t="s">
        <v>11520</v>
      </c>
      <c r="E7320" t="str">
        <f>"3580400041235"</f>
        <v>0</v>
      </c>
      <c r="F7320" t="str">
        <f>"001360"</f>
        <v>0</v>
      </c>
      <c r="G7320" t="s">
        <v>21</v>
      </c>
    </row>
    <row r="7321" spans="1:7">
      <c r="A7321">
        <v>7320</v>
      </c>
      <c r="B7321" t="str">
        <f>"009593"</f>
        <v>0</v>
      </c>
      <c r="C7321" t="s">
        <v>624</v>
      </c>
      <c r="D7321" t="s">
        <v>11521</v>
      </c>
      <c r="E7321" t="str">
        <f>"3480600089364"</f>
        <v>0</v>
      </c>
      <c r="F7321" t="str">
        <f>"001360"</f>
        <v>0</v>
      </c>
      <c r="G7321" t="s">
        <v>21</v>
      </c>
    </row>
    <row r="7322" spans="1:7">
      <c r="A7322">
        <v>7321</v>
      </c>
      <c r="B7322" t="str">
        <f>"010494"</f>
        <v>0</v>
      </c>
      <c r="C7322" t="s">
        <v>5247</v>
      </c>
      <c r="D7322" t="s">
        <v>11522</v>
      </c>
      <c r="E7322" t="str">
        <f>"3580500218871"</f>
        <v>0</v>
      </c>
      <c r="F7322" t="str">
        <f>"001360"</f>
        <v>0</v>
      </c>
      <c r="G7322" t="s">
        <v>21</v>
      </c>
    </row>
    <row r="7323" spans="1:7">
      <c r="A7323">
        <v>7322</v>
      </c>
      <c r="B7323" t="str">
        <f>"014518"</f>
        <v>0</v>
      </c>
      <c r="C7323" t="s">
        <v>391</v>
      </c>
      <c r="D7323" t="s">
        <v>11523</v>
      </c>
      <c r="E7323" t="str">
        <f>"3589900021614"</f>
        <v>0</v>
      </c>
      <c r="F7323" t="str">
        <f>"001360"</f>
        <v>0</v>
      </c>
      <c r="G7323" t="s">
        <v>21</v>
      </c>
    </row>
    <row r="7324" spans="1:7">
      <c r="A7324">
        <v>7323</v>
      </c>
      <c r="B7324" t="str">
        <f>"007193"</f>
        <v>0</v>
      </c>
      <c r="C7324" t="s">
        <v>11524</v>
      </c>
      <c r="D7324" t="s">
        <v>11525</v>
      </c>
      <c r="E7324" t="str">
        <f>"3589900035445"</f>
        <v>0</v>
      </c>
      <c r="F7324" t="str">
        <f>"001360"</f>
        <v>0</v>
      </c>
      <c r="G7324" t="s">
        <v>21</v>
      </c>
    </row>
    <row r="7325" spans="1:7">
      <c r="A7325">
        <v>7324</v>
      </c>
      <c r="B7325" t="str">
        <f>"023396"</f>
        <v>0</v>
      </c>
      <c r="C7325" t="s">
        <v>1240</v>
      </c>
      <c r="D7325" t="s">
        <v>11526</v>
      </c>
      <c r="E7325" t="str">
        <f>"1509900135940"</f>
        <v>0</v>
      </c>
      <c r="F7325" t="str">
        <f>"001360"</f>
        <v>0</v>
      </c>
      <c r="G7325" t="s">
        <v>21</v>
      </c>
    </row>
    <row r="7326" spans="1:7">
      <c r="A7326">
        <v>7325</v>
      </c>
      <c r="B7326" t="str">
        <f>"020617"</f>
        <v>0</v>
      </c>
      <c r="C7326" t="s">
        <v>6968</v>
      </c>
      <c r="D7326" t="s">
        <v>11527</v>
      </c>
      <c r="E7326" t="str">
        <f>"3501800042191"</f>
        <v>0</v>
      </c>
      <c r="F7326" t="str">
        <f>"001360"</f>
        <v>0</v>
      </c>
      <c r="G7326" t="s">
        <v>21</v>
      </c>
    </row>
    <row r="7327" spans="1:7">
      <c r="A7327">
        <v>7326</v>
      </c>
      <c r="B7327" t="str">
        <f>"021782"</f>
        <v>0</v>
      </c>
      <c r="C7327" t="s">
        <v>11528</v>
      </c>
      <c r="D7327" t="s">
        <v>11529</v>
      </c>
      <c r="E7327" t="str">
        <f>"3869900086624"</f>
        <v>0</v>
      </c>
      <c r="F7327" t="str">
        <f>"001360"</f>
        <v>0</v>
      </c>
      <c r="G7327" t="s">
        <v>21</v>
      </c>
    </row>
    <row r="7328" spans="1:7">
      <c r="A7328">
        <v>7327</v>
      </c>
      <c r="B7328" t="str">
        <f>"026763"</f>
        <v>0</v>
      </c>
      <c r="C7328" t="s">
        <v>11530</v>
      </c>
      <c r="D7328" t="s">
        <v>11531</v>
      </c>
      <c r="E7328" t="str">
        <f>"1509901150438"</f>
        <v>0</v>
      </c>
      <c r="F7328" t="str">
        <f>"001360"</f>
        <v>0</v>
      </c>
      <c r="G7328" t="s">
        <v>21</v>
      </c>
    </row>
    <row r="7329" spans="1:7">
      <c r="A7329">
        <v>7328</v>
      </c>
      <c r="B7329" t="str">
        <f>"011610"</f>
        <v>0</v>
      </c>
      <c r="C7329" t="s">
        <v>11532</v>
      </c>
      <c r="D7329" t="s">
        <v>11533</v>
      </c>
      <c r="E7329" t="str">
        <f>"3589900052897"</f>
        <v>0</v>
      </c>
      <c r="F7329" t="str">
        <f>"001360"</f>
        <v>0</v>
      </c>
      <c r="G7329" t="s">
        <v>21</v>
      </c>
    </row>
    <row r="7330" spans="1:7">
      <c r="A7330">
        <v>7329</v>
      </c>
      <c r="B7330" t="str">
        <f>"020268"</f>
        <v>0</v>
      </c>
      <c r="C7330" t="s">
        <v>11534</v>
      </c>
      <c r="D7330" t="s">
        <v>11535</v>
      </c>
      <c r="E7330" t="str">
        <f>"3500300233396"</f>
        <v>0</v>
      </c>
      <c r="F7330" t="str">
        <f>"001360"</f>
        <v>0</v>
      </c>
      <c r="G7330" t="s">
        <v>21</v>
      </c>
    </row>
    <row r="7331" spans="1:7">
      <c r="A7331">
        <v>7330</v>
      </c>
      <c r="B7331" t="str">
        <f>"022741"</f>
        <v>0</v>
      </c>
      <c r="C7331" t="s">
        <v>11536</v>
      </c>
      <c r="D7331" t="s">
        <v>11537</v>
      </c>
      <c r="E7331" t="str">
        <f>"3580400136031"</f>
        <v>0</v>
      </c>
      <c r="F7331" t="str">
        <f>"001360"</f>
        <v>0</v>
      </c>
      <c r="G7331" t="s">
        <v>21</v>
      </c>
    </row>
    <row r="7332" spans="1:7">
      <c r="A7332">
        <v>7331</v>
      </c>
      <c r="B7332" t="str">
        <f>"023110"</f>
        <v>0</v>
      </c>
      <c r="C7332" t="s">
        <v>11538</v>
      </c>
      <c r="D7332" t="s">
        <v>11539</v>
      </c>
      <c r="E7332" t="str">
        <f>"5580400010191"</f>
        <v>0</v>
      </c>
      <c r="F7332" t="str">
        <f>"001360"</f>
        <v>0</v>
      </c>
      <c r="G7332" t="s">
        <v>21</v>
      </c>
    </row>
    <row r="7333" spans="1:7">
      <c r="A7333">
        <v>7332</v>
      </c>
      <c r="B7333" t="str">
        <f>"023361"</f>
        <v>0</v>
      </c>
      <c r="C7333" t="s">
        <v>11540</v>
      </c>
      <c r="D7333" t="s">
        <v>11541</v>
      </c>
      <c r="E7333" t="str">
        <f>"1509900301441"</f>
        <v>0</v>
      </c>
      <c r="F7333" t="str">
        <f>"001360"</f>
        <v>0</v>
      </c>
      <c r="G7333" t="s">
        <v>21</v>
      </c>
    </row>
    <row r="7334" spans="1:7">
      <c r="A7334">
        <v>7333</v>
      </c>
      <c r="B7334" t="str">
        <f>"024144"</f>
        <v>0</v>
      </c>
      <c r="C7334" t="s">
        <v>11542</v>
      </c>
      <c r="D7334" t="s">
        <v>11543</v>
      </c>
      <c r="E7334" t="str">
        <f>"3500700444807"</f>
        <v>0</v>
      </c>
      <c r="F7334" t="str">
        <f>"001360"</f>
        <v>0</v>
      </c>
      <c r="G7334" t="s">
        <v>21</v>
      </c>
    </row>
    <row r="7335" spans="1:7">
      <c r="A7335">
        <v>7334</v>
      </c>
      <c r="B7335" t="str">
        <f>"024674"</f>
        <v>0</v>
      </c>
      <c r="C7335" t="s">
        <v>11544</v>
      </c>
      <c r="D7335" t="s">
        <v>11545</v>
      </c>
      <c r="E7335" t="str">
        <f>"3580500047391"</f>
        <v>0</v>
      </c>
      <c r="F7335" t="str">
        <f>"001360"</f>
        <v>0</v>
      </c>
      <c r="G7335" t="s">
        <v>21</v>
      </c>
    </row>
    <row r="7336" spans="1:7">
      <c r="A7336">
        <v>7335</v>
      </c>
      <c r="B7336" t="str">
        <f>"025753"</f>
        <v>0</v>
      </c>
      <c r="C7336" t="s">
        <v>11546</v>
      </c>
      <c r="D7336" t="s">
        <v>11547</v>
      </c>
      <c r="E7336" t="str">
        <f>"1509901396518"</f>
        <v>0</v>
      </c>
      <c r="F7336" t="str">
        <f>"001360"</f>
        <v>0</v>
      </c>
      <c r="G7336" t="s">
        <v>21</v>
      </c>
    </row>
    <row r="7337" spans="1:7">
      <c r="A7337">
        <v>7336</v>
      </c>
      <c r="B7337" t="str">
        <f>"025905"</f>
        <v>0</v>
      </c>
      <c r="C7337" t="s">
        <v>11548</v>
      </c>
      <c r="D7337" t="s">
        <v>11549</v>
      </c>
      <c r="E7337" t="str">
        <f>"1570700106671"</f>
        <v>0</v>
      </c>
      <c r="F7337" t="str">
        <f>"001360"</f>
        <v>0</v>
      </c>
      <c r="G7337" t="s">
        <v>21</v>
      </c>
    </row>
    <row r="7338" spans="1:7">
      <c r="A7338">
        <v>7337</v>
      </c>
      <c r="B7338" t="str">
        <f>"025978"</f>
        <v>0</v>
      </c>
      <c r="C7338" t="s">
        <v>11550</v>
      </c>
      <c r="D7338" t="s">
        <v>9759</v>
      </c>
      <c r="E7338" t="str">
        <f>"1509900767474"</f>
        <v>0</v>
      </c>
      <c r="F7338" t="str">
        <f>"001360"</f>
        <v>0</v>
      </c>
      <c r="G7338" t="s">
        <v>21</v>
      </c>
    </row>
    <row r="7339" spans="1:7">
      <c r="A7339">
        <v>7338</v>
      </c>
      <c r="B7339" t="str">
        <f>"025993"</f>
        <v>0</v>
      </c>
      <c r="C7339" t="s">
        <v>11551</v>
      </c>
      <c r="D7339" t="s">
        <v>11552</v>
      </c>
      <c r="E7339" t="str">
        <f>"3960200299910"</f>
        <v>0</v>
      </c>
      <c r="F7339" t="str">
        <f>"001360"</f>
        <v>0</v>
      </c>
      <c r="G7339" t="s">
        <v>21</v>
      </c>
    </row>
    <row r="7340" spans="1:7">
      <c r="A7340">
        <v>7339</v>
      </c>
      <c r="B7340" t="str">
        <f>"026186"</f>
        <v>0</v>
      </c>
      <c r="C7340" t="s">
        <v>11553</v>
      </c>
      <c r="D7340" t="s">
        <v>11554</v>
      </c>
      <c r="E7340" t="str">
        <f>"3500300251513"</f>
        <v>0</v>
      </c>
      <c r="F7340" t="str">
        <f>"001360"</f>
        <v>0</v>
      </c>
      <c r="G7340" t="s">
        <v>21</v>
      </c>
    </row>
    <row r="7341" spans="1:7">
      <c r="A7341">
        <v>7340</v>
      </c>
      <c r="B7341" t="str">
        <f>"026764"</f>
        <v>0</v>
      </c>
      <c r="C7341" t="s">
        <v>11555</v>
      </c>
      <c r="D7341" t="s">
        <v>11556</v>
      </c>
      <c r="E7341" t="str">
        <f>"1500300022038"</f>
        <v>0</v>
      </c>
      <c r="F7341" t="str">
        <f>"001360"</f>
        <v>0</v>
      </c>
      <c r="G7341" t="s">
        <v>21</v>
      </c>
    </row>
    <row r="7342" spans="1:7">
      <c r="A7342">
        <v>7341</v>
      </c>
      <c r="B7342" t="str">
        <f>"026765"</f>
        <v>0</v>
      </c>
      <c r="C7342" t="s">
        <v>6487</v>
      </c>
      <c r="D7342" t="s">
        <v>11557</v>
      </c>
      <c r="E7342" t="str">
        <f>"1500900109479"</f>
        <v>0</v>
      </c>
      <c r="F7342" t="str">
        <f>"001360"</f>
        <v>0</v>
      </c>
      <c r="G7342" t="s">
        <v>21</v>
      </c>
    </row>
    <row r="7343" spans="1:7">
      <c r="A7343">
        <v>7342</v>
      </c>
      <c r="B7343" t="str">
        <f>"026904"</f>
        <v>0</v>
      </c>
      <c r="C7343" t="s">
        <v>11558</v>
      </c>
      <c r="D7343" t="s">
        <v>11559</v>
      </c>
      <c r="E7343" t="str">
        <f>"1589900075785"</f>
        <v>0</v>
      </c>
      <c r="F7343" t="str">
        <f>"001360"</f>
        <v>0</v>
      </c>
      <c r="G7343" t="s">
        <v>21</v>
      </c>
    </row>
    <row r="7344" spans="1:7">
      <c r="A7344">
        <v>7343</v>
      </c>
      <c r="B7344" t="str">
        <f>"027178"</f>
        <v>0</v>
      </c>
      <c r="C7344" t="s">
        <v>11560</v>
      </c>
      <c r="D7344" t="s">
        <v>2557</v>
      </c>
      <c r="E7344" t="str">
        <f>"1509901299946"</f>
        <v>0</v>
      </c>
      <c r="F7344" t="str">
        <f>"001360"</f>
        <v>0</v>
      </c>
      <c r="G7344" t="s">
        <v>21</v>
      </c>
    </row>
    <row r="7345" spans="1:7">
      <c r="A7345">
        <v>7344</v>
      </c>
      <c r="B7345" t="str">
        <f>"027179"</f>
        <v>0</v>
      </c>
      <c r="C7345" t="s">
        <v>1206</v>
      </c>
      <c r="D7345" t="s">
        <v>11561</v>
      </c>
      <c r="E7345" t="str">
        <f>"1500200117169"</f>
        <v>0</v>
      </c>
      <c r="F7345" t="str">
        <f>"001360"</f>
        <v>0</v>
      </c>
      <c r="G7345" t="s">
        <v>21</v>
      </c>
    </row>
    <row r="7346" spans="1:7">
      <c r="A7346">
        <v>7345</v>
      </c>
      <c r="B7346" t="str">
        <f>"027181"</f>
        <v>0</v>
      </c>
      <c r="C7346" t="s">
        <v>11562</v>
      </c>
      <c r="D7346" t="s">
        <v>11563</v>
      </c>
      <c r="E7346" t="str">
        <f>"1500700087471"</f>
        <v>0</v>
      </c>
      <c r="F7346" t="str">
        <f>"001360"</f>
        <v>0</v>
      </c>
      <c r="G7346" t="s">
        <v>21</v>
      </c>
    </row>
    <row r="7347" spans="1:7">
      <c r="A7347">
        <v>7346</v>
      </c>
      <c r="B7347" t="str">
        <f>"027386"</f>
        <v>0</v>
      </c>
      <c r="C7347" t="s">
        <v>11564</v>
      </c>
      <c r="D7347" t="s">
        <v>11565</v>
      </c>
      <c r="E7347" t="str">
        <f>"3500400311259"</f>
        <v>0</v>
      </c>
      <c r="F7347" t="str">
        <f>"001360"</f>
        <v>0</v>
      </c>
      <c r="G7347" t="s">
        <v>21</v>
      </c>
    </row>
    <row r="7348" spans="1:7">
      <c r="A7348">
        <v>7347</v>
      </c>
      <c r="B7348" t="str">
        <f>"010309"</f>
        <v>0</v>
      </c>
      <c r="C7348" t="s">
        <v>11142</v>
      </c>
      <c r="D7348" t="s">
        <v>11566</v>
      </c>
      <c r="E7348" t="str">
        <f>"3510300027630"</f>
        <v>0</v>
      </c>
      <c r="F7348" t="str">
        <f>"001360"</f>
        <v>0</v>
      </c>
      <c r="G7348" t="s">
        <v>21</v>
      </c>
    </row>
    <row r="7349" spans="1:7">
      <c r="A7349">
        <v>7348</v>
      </c>
      <c r="B7349" t="str">
        <f>"020979"</f>
        <v>0</v>
      </c>
      <c r="C7349" t="s">
        <v>361</v>
      </c>
      <c r="D7349" t="s">
        <v>11567</v>
      </c>
      <c r="E7349" t="str">
        <f>"3510101353961"</f>
        <v>0</v>
      </c>
      <c r="F7349" t="str">
        <f>"001360"</f>
        <v>0</v>
      </c>
      <c r="G7349" t="s">
        <v>21</v>
      </c>
    </row>
    <row r="7350" spans="1:7">
      <c r="A7350">
        <v>7349</v>
      </c>
      <c r="B7350" t="str">
        <f>"021666"</f>
        <v>0</v>
      </c>
      <c r="C7350" t="s">
        <v>1242</v>
      </c>
      <c r="D7350" t="s">
        <v>11568</v>
      </c>
      <c r="E7350" t="str">
        <f>"1509900187109"</f>
        <v>0</v>
      </c>
      <c r="F7350" t="str">
        <f>"001360"</f>
        <v>0</v>
      </c>
      <c r="G7350" t="s">
        <v>21</v>
      </c>
    </row>
    <row r="7351" spans="1:7">
      <c r="A7351">
        <v>7350</v>
      </c>
      <c r="B7351" t="str">
        <f>"024835"</f>
        <v>0</v>
      </c>
      <c r="C7351" t="s">
        <v>11569</v>
      </c>
      <c r="D7351" t="s">
        <v>11570</v>
      </c>
      <c r="E7351" t="str">
        <f>"1560200004232"</f>
        <v>0</v>
      </c>
      <c r="F7351" t="str">
        <f>"001360"</f>
        <v>0</v>
      </c>
      <c r="G7351" t="s">
        <v>21</v>
      </c>
    </row>
    <row r="7352" spans="1:7">
      <c r="A7352">
        <v>7351</v>
      </c>
      <c r="B7352" t="str">
        <f>"027000"</f>
        <v>0</v>
      </c>
      <c r="C7352" t="s">
        <v>11571</v>
      </c>
      <c r="D7352" t="s">
        <v>11572</v>
      </c>
      <c r="E7352" t="str">
        <f>"1569900002028"</f>
        <v>0</v>
      </c>
      <c r="F7352" t="str">
        <f>"001360"</f>
        <v>0</v>
      </c>
      <c r="G7352" t="s">
        <v>21</v>
      </c>
    </row>
    <row r="7353" spans="1:7">
      <c r="A7353">
        <v>7352</v>
      </c>
      <c r="B7353" t="str">
        <f>"023967"</f>
        <v>0</v>
      </c>
      <c r="C7353" t="s">
        <v>6157</v>
      </c>
      <c r="D7353" t="s">
        <v>11573</v>
      </c>
      <c r="E7353" t="str">
        <f>"1570900010146"</f>
        <v>0</v>
      </c>
      <c r="F7353" t="str">
        <f>"001360"</f>
        <v>0</v>
      </c>
      <c r="G7353" t="s">
        <v>21</v>
      </c>
    </row>
    <row r="7354" spans="1:7">
      <c r="A7354">
        <v>7353</v>
      </c>
      <c r="B7354" t="str">
        <f>"009343"</f>
        <v>0</v>
      </c>
      <c r="C7354" t="s">
        <v>11574</v>
      </c>
      <c r="D7354" t="s">
        <v>11575</v>
      </c>
      <c r="E7354" t="str">
        <f>"3530800044304"</f>
        <v>0</v>
      </c>
      <c r="F7354" t="str">
        <f>"001360"</f>
        <v>0</v>
      </c>
      <c r="G7354" t="s">
        <v>21</v>
      </c>
    </row>
    <row r="7355" spans="1:7">
      <c r="A7355">
        <v>7354</v>
      </c>
      <c r="B7355" t="str">
        <f>"009561"</f>
        <v>0</v>
      </c>
      <c r="C7355" t="s">
        <v>11576</v>
      </c>
      <c r="D7355" t="s">
        <v>11577</v>
      </c>
      <c r="E7355" t="str">
        <f>"3589900015631"</f>
        <v>0</v>
      </c>
      <c r="F7355" t="str">
        <f>"001360"</f>
        <v>0</v>
      </c>
      <c r="G7355" t="s">
        <v>21</v>
      </c>
    </row>
    <row r="7356" spans="1:7">
      <c r="A7356">
        <v>7355</v>
      </c>
      <c r="B7356" t="str">
        <f>"012025"</f>
        <v>0</v>
      </c>
      <c r="C7356" t="s">
        <v>5424</v>
      </c>
      <c r="D7356" t="s">
        <v>11578</v>
      </c>
      <c r="E7356" t="str">
        <f>"3580200129571"</f>
        <v>0</v>
      </c>
      <c r="F7356" t="str">
        <f>"001360"</f>
        <v>0</v>
      </c>
      <c r="G7356" t="s">
        <v>21</v>
      </c>
    </row>
    <row r="7357" spans="1:7">
      <c r="A7357">
        <v>7356</v>
      </c>
      <c r="B7357" t="str">
        <f>"012097"</f>
        <v>0</v>
      </c>
      <c r="C7357" t="s">
        <v>2303</v>
      </c>
      <c r="D7357" t="s">
        <v>11579</v>
      </c>
      <c r="E7357" t="str">
        <f>"3500900853549"</f>
        <v>0</v>
      </c>
      <c r="F7357" t="str">
        <f>"001360"</f>
        <v>0</v>
      </c>
      <c r="G7357" t="s">
        <v>21</v>
      </c>
    </row>
    <row r="7358" spans="1:7">
      <c r="A7358">
        <v>7357</v>
      </c>
      <c r="B7358" t="str">
        <f>"013212"</f>
        <v>0</v>
      </c>
      <c r="C7358" t="s">
        <v>6315</v>
      </c>
      <c r="D7358" t="s">
        <v>11580</v>
      </c>
      <c r="E7358" t="str">
        <f>"3589900038614"</f>
        <v>0</v>
      </c>
      <c r="F7358" t="str">
        <f>"001360"</f>
        <v>0</v>
      </c>
      <c r="G7358" t="s">
        <v>21</v>
      </c>
    </row>
    <row r="7359" spans="1:7">
      <c r="A7359">
        <v>7358</v>
      </c>
      <c r="B7359" t="str">
        <f>"014178"</f>
        <v>0</v>
      </c>
      <c r="C7359" t="s">
        <v>3638</v>
      </c>
      <c r="D7359" t="s">
        <v>11581</v>
      </c>
      <c r="E7359" t="str">
        <f>"3580100164901"</f>
        <v>0</v>
      </c>
      <c r="F7359" t="str">
        <f>"001360"</f>
        <v>0</v>
      </c>
      <c r="G7359" t="s">
        <v>21</v>
      </c>
    </row>
    <row r="7360" spans="1:7">
      <c r="A7360">
        <v>7359</v>
      </c>
      <c r="B7360" t="str">
        <f>"016775"</f>
        <v>0</v>
      </c>
      <c r="C7360" t="s">
        <v>134</v>
      </c>
      <c r="D7360" t="s">
        <v>11582</v>
      </c>
      <c r="E7360" t="str">
        <f>"3501200312724"</f>
        <v>0</v>
      </c>
      <c r="F7360" t="str">
        <f>"001360"</f>
        <v>0</v>
      </c>
      <c r="G7360" t="s">
        <v>21</v>
      </c>
    </row>
    <row r="7361" spans="1:7">
      <c r="A7361">
        <v>7360</v>
      </c>
      <c r="B7361" t="str">
        <f>"021474"</f>
        <v>0</v>
      </c>
      <c r="C7361" t="s">
        <v>11583</v>
      </c>
      <c r="D7361" t="s">
        <v>11584</v>
      </c>
      <c r="E7361" t="str">
        <f>"3580400287846"</f>
        <v>0</v>
      </c>
      <c r="F7361" t="str">
        <f>"001360"</f>
        <v>0</v>
      </c>
      <c r="G7361" t="s">
        <v>21</v>
      </c>
    </row>
    <row r="7362" spans="1:7">
      <c r="A7362">
        <v>7361</v>
      </c>
      <c r="B7362" t="str">
        <f>"021783"</f>
        <v>0</v>
      </c>
      <c r="C7362" t="s">
        <v>6468</v>
      </c>
      <c r="D7362" t="s">
        <v>11585</v>
      </c>
      <c r="E7362" t="str">
        <f>"3560300852347"</f>
        <v>0</v>
      </c>
      <c r="F7362" t="str">
        <f>"001360"</f>
        <v>0</v>
      </c>
      <c r="G7362" t="s">
        <v>21</v>
      </c>
    </row>
    <row r="7363" spans="1:7">
      <c r="A7363">
        <v>7362</v>
      </c>
      <c r="B7363" t="str">
        <f>"022665"</f>
        <v>0</v>
      </c>
      <c r="C7363" t="s">
        <v>11586</v>
      </c>
      <c r="D7363" t="s">
        <v>11587</v>
      </c>
      <c r="E7363" t="str">
        <f>"1509900037581"</f>
        <v>0</v>
      </c>
      <c r="F7363" t="str">
        <f>"001360"</f>
        <v>0</v>
      </c>
      <c r="G7363" t="s">
        <v>21</v>
      </c>
    </row>
    <row r="7364" spans="1:7">
      <c r="A7364">
        <v>7363</v>
      </c>
      <c r="B7364" t="str">
        <f>"022809"</f>
        <v>0</v>
      </c>
      <c r="C7364" t="s">
        <v>11588</v>
      </c>
      <c r="D7364" t="s">
        <v>11589</v>
      </c>
      <c r="E7364" t="str">
        <f>"3589900042417"</f>
        <v>0</v>
      </c>
      <c r="F7364" t="str">
        <f>"001360"</f>
        <v>0</v>
      </c>
      <c r="G7364" t="s">
        <v>21</v>
      </c>
    </row>
    <row r="7365" spans="1:7">
      <c r="A7365">
        <v>7364</v>
      </c>
      <c r="B7365" t="str">
        <f>"022958"</f>
        <v>0</v>
      </c>
      <c r="C7365" t="s">
        <v>11590</v>
      </c>
      <c r="D7365" t="s">
        <v>11591</v>
      </c>
      <c r="E7365" t="str">
        <f>"3589900055462"</f>
        <v>0</v>
      </c>
      <c r="F7365" t="str">
        <f>"001360"</f>
        <v>0</v>
      </c>
      <c r="G7365" t="s">
        <v>21</v>
      </c>
    </row>
    <row r="7366" spans="1:7">
      <c r="A7366">
        <v>7365</v>
      </c>
      <c r="B7366" t="str">
        <f>"022997"</f>
        <v>0</v>
      </c>
      <c r="C7366" t="s">
        <v>4930</v>
      </c>
      <c r="D7366" t="s">
        <v>11592</v>
      </c>
      <c r="E7366" t="str">
        <f>"3580100005543"</f>
        <v>0</v>
      </c>
      <c r="F7366" t="str">
        <f>"001360"</f>
        <v>0</v>
      </c>
      <c r="G7366" t="s">
        <v>21</v>
      </c>
    </row>
    <row r="7367" spans="1:7">
      <c r="A7367">
        <v>7366</v>
      </c>
      <c r="B7367" t="str">
        <f>"023222"</f>
        <v>0</v>
      </c>
      <c r="C7367" t="s">
        <v>8222</v>
      </c>
      <c r="D7367" t="s">
        <v>11593</v>
      </c>
      <c r="E7367" t="str">
        <f>"4529900001832"</f>
        <v>0</v>
      </c>
      <c r="F7367" t="str">
        <f>"001360"</f>
        <v>0</v>
      </c>
      <c r="G7367" t="s">
        <v>21</v>
      </c>
    </row>
    <row r="7368" spans="1:7">
      <c r="A7368">
        <v>7367</v>
      </c>
      <c r="B7368" t="str">
        <f>"023348"</f>
        <v>0</v>
      </c>
      <c r="C7368" t="s">
        <v>9601</v>
      </c>
      <c r="D7368" t="s">
        <v>821</v>
      </c>
      <c r="E7368" t="str">
        <f>"1549900054206"</f>
        <v>0</v>
      </c>
      <c r="F7368" t="str">
        <f>"001360"</f>
        <v>0</v>
      </c>
      <c r="G7368" t="s">
        <v>21</v>
      </c>
    </row>
    <row r="7369" spans="1:7">
      <c r="A7369">
        <v>7368</v>
      </c>
      <c r="B7369" t="str">
        <f>"023906"</f>
        <v>0</v>
      </c>
      <c r="C7369" t="s">
        <v>11594</v>
      </c>
      <c r="D7369" t="s">
        <v>11595</v>
      </c>
      <c r="E7369" t="str">
        <f>"3580100125638"</f>
        <v>0</v>
      </c>
      <c r="F7369" t="str">
        <f>"001360"</f>
        <v>0</v>
      </c>
      <c r="G7369" t="s">
        <v>21</v>
      </c>
    </row>
    <row r="7370" spans="1:7">
      <c r="A7370">
        <v>7369</v>
      </c>
      <c r="B7370" t="str">
        <f>"024079"</f>
        <v>0</v>
      </c>
      <c r="C7370" t="s">
        <v>11596</v>
      </c>
      <c r="D7370" t="s">
        <v>11597</v>
      </c>
      <c r="E7370" t="str">
        <f>"1589900005051"</f>
        <v>0</v>
      </c>
      <c r="F7370" t="str">
        <f>"001360"</f>
        <v>0</v>
      </c>
      <c r="G7370" t="s">
        <v>21</v>
      </c>
    </row>
    <row r="7371" spans="1:7">
      <c r="A7371">
        <v>7370</v>
      </c>
      <c r="B7371" t="str">
        <f>"025515"</f>
        <v>0</v>
      </c>
      <c r="C7371" t="s">
        <v>11598</v>
      </c>
      <c r="D7371" t="s">
        <v>1105</v>
      </c>
      <c r="E7371" t="str">
        <f>"3501400607531"</f>
        <v>0</v>
      </c>
      <c r="F7371" t="str">
        <f>"001360"</f>
        <v>0</v>
      </c>
      <c r="G7371" t="s">
        <v>21</v>
      </c>
    </row>
    <row r="7372" spans="1:7">
      <c r="A7372">
        <v>7371</v>
      </c>
      <c r="B7372" t="str">
        <f>"027180"</f>
        <v>0</v>
      </c>
      <c r="C7372" t="s">
        <v>11599</v>
      </c>
      <c r="D7372" t="s">
        <v>11600</v>
      </c>
      <c r="E7372" t="str">
        <f>"1580200046580"</f>
        <v>0</v>
      </c>
      <c r="F7372" t="str">
        <f>"001360"</f>
        <v>0</v>
      </c>
      <c r="G7372" t="s">
        <v>21</v>
      </c>
    </row>
    <row r="7373" spans="1:7">
      <c r="A7373">
        <v>7372</v>
      </c>
      <c r="B7373" t="str">
        <f>"016989"</f>
        <v>0</v>
      </c>
      <c r="C7373" t="s">
        <v>1960</v>
      </c>
      <c r="D7373" t="s">
        <v>11601</v>
      </c>
      <c r="E7373" t="str">
        <f>"3550400005735"</f>
        <v>0</v>
      </c>
      <c r="F7373" t="str">
        <f>"001360"</f>
        <v>0</v>
      </c>
      <c r="G7373" t="s">
        <v>21</v>
      </c>
    </row>
    <row r="7374" spans="1:7">
      <c r="A7374">
        <v>7373</v>
      </c>
      <c r="B7374" t="str">
        <f>"021616"</f>
        <v>0</v>
      </c>
      <c r="C7374" t="s">
        <v>11602</v>
      </c>
      <c r="D7374" t="s">
        <v>11603</v>
      </c>
      <c r="E7374" t="str">
        <f>"3330700574354"</f>
        <v>0</v>
      </c>
      <c r="F7374" t="str">
        <f>"001360"</f>
        <v>0</v>
      </c>
      <c r="G7374" t="s">
        <v>21</v>
      </c>
    </row>
    <row r="7375" spans="1:7">
      <c r="A7375">
        <v>7374</v>
      </c>
      <c r="B7375" t="str">
        <f>"026118"</f>
        <v>0</v>
      </c>
      <c r="C7375" t="s">
        <v>11604</v>
      </c>
      <c r="D7375" t="s">
        <v>11605</v>
      </c>
      <c r="E7375" t="str">
        <f>"1509901191797"</f>
        <v>0</v>
      </c>
      <c r="F7375" t="str">
        <f>"001360"</f>
        <v>0</v>
      </c>
      <c r="G7375" t="s">
        <v>21</v>
      </c>
    </row>
    <row r="7376" spans="1:7">
      <c r="A7376">
        <v>7375</v>
      </c>
      <c r="B7376" t="str">
        <f>"026886"</f>
        <v>0</v>
      </c>
      <c r="C7376" t="s">
        <v>11606</v>
      </c>
      <c r="D7376" t="s">
        <v>11607</v>
      </c>
      <c r="E7376" t="str">
        <f>"3580400313022"</f>
        <v>0</v>
      </c>
      <c r="F7376" t="str">
        <f>"001360"</f>
        <v>0</v>
      </c>
      <c r="G7376" t="s">
        <v>21</v>
      </c>
    </row>
    <row r="7377" spans="1:7">
      <c r="A7377">
        <v>7376</v>
      </c>
      <c r="B7377" t="str">
        <f>"027596"</f>
        <v>0</v>
      </c>
      <c r="C7377" t="s">
        <v>11608</v>
      </c>
      <c r="D7377" t="s">
        <v>5565</v>
      </c>
      <c r="E7377" t="str">
        <f>"1509901153101"</f>
        <v>0</v>
      </c>
      <c r="F7377" t="str">
        <f>"001360"</f>
        <v>0</v>
      </c>
      <c r="G7377" t="s">
        <v>21</v>
      </c>
    </row>
    <row r="7378" spans="1:7">
      <c r="A7378">
        <v>7377</v>
      </c>
      <c r="B7378" t="str">
        <f>"003969"</f>
        <v>0</v>
      </c>
      <c r="C7378" t="s">
        <v>11609</v>
      </c>
      <c r="D7378" t="s">
        <v>11610</v>
      </c>
      <c r="E7378" t="str">
        <f>"3440800305044"</f>
        <v>0</v>
      </c>
      <c r="F7378" t="str">
        <f>"001380"</f>
        <v>0</v>
      </c>
      <c r="G7378" t="s">
        <v>21</v>
      </c>
    </row>
    <row r="7379" spans="1:7">
      <c r="A7379">
        <v>7378</v>
      </c>
      <c r="B7379" t="str">
        <f>"006410"</f>
        <v>0</v>
      </c>
      <c r="C7379" t="s">
        <v>1926</v>
      </c>
      <c r="D7379" t="s">
        <v>11611</v>
      </c>
      <c r="E7379" t="str">
        <f>"3330300924838"</f>
        <v>0</v>
      </c>
      <c r="F7379" t="str">
        <f>"001380"</f>
        <v>0</v>
      </c>
      <c r="G7379" t="s">
        <v>21</v>
      </c>
    </row>
    <row r="7380" spans="1:7">
      <c r="A7380">
        <v>7379</v>
      </c>
      <c r="B7380" t="str">
        <f>"007541"</f>
        <v>0</v>
      </c>
      <c r="C7380" t="s">
        <v>1857</v>
      </c>
      <c r="D7380" t="s">
        <v>11612</v>
      </c>
      <c r="E7380" t="str">
        <f>"3490500523445"</f>
        <v>0</v>
      </c>
      <c r="F7380" t="str">
        <f>"001380"</f>
        <v>0</v>
      </c>
      <c r="G7380" t="s">
        <v>21</v>
      </c>
    </row>
    <row r="7381" spans="1:7">
      <c r="A7381">
        <v>7380</v>
      </c>
      <c r="B7381" t="str">
        <f>"007542"</f>
        <v>0</v>
      </c>
      <c r="C7381" t="s">
        <v>2349</v>
      </c>
      <c r="D7381" t="s">
        <v>11613</v>
      </c>
      <c r="E7381" t="str">
        <f>"3490400121329"</f>
        <v>0</v>
      </c>
      <c r="F7381" t="str">
        <f>"001380"</f>
        <v>0</v>
      </c>
      <c r="G7381" t="s">
        <v>21</v>
      </c>
    </row>
    <row r="7382" spans="1:7">
      <c r="A7382">
        <v>7381</v>
      </c>
      <c r="B7382" t="str">
        <f>"009597"</f>
        <v>0</v>
      </c>
      <c r="C7382" t="s">
        <v>857</v>
      </c>
      <c r="D7382" t="s">
        <v>11614</v>
      </c>
      <c r="E7382" t="str">
        <f>"5460500017724"</f>
        <v>0</v>
      </c>
      <c r="F7382" t="str">
        <f>"001380"</f>
        <v>0</v>
      </c>
      <c r="G7382" t="s">
        <v>21</v>
      </c>
    </row>
    <row r="7383" spans="1:7">
      <c r="A7383">
        <v>7382</v>
      </c>
      <c r="B7383" t="str">
        <f>"010042"</f>
        <v>0</v>
      </c>
      <c r="C7383" t="s">
        <v>6713</v>
      </c>
      <c r="D7383" t="s">
        <v>11615</v>
      </c>
      <c r="E7383" t="str">
        <f>"3480500365939"</f>
        <v>0</v>
      </c>
      <c r="F7383" t="str">
        <f>"001380"</f>
        <v>0</v>
      </c>
      <c r="G7383" t="s">
        <v>21</v>
      </c>
    </row>
    <row r="7384" spans="1:7">
      <c r="A7384">
        <v>7383</v>
      </c>
      <c r="B7384" t="str">
        <f>"010074"</f>
        <v>0</v>
      </c>
      <c r="C7384" t="s">
        <v>48</v>
      </c>
      <c r="D7384" t="s">
        <v>11616</v>
      </c>
      <c r="E7384" t="str">
        <f>"3490200299370"</f>
        <v>0</v>
      </c>
      <c r="F7384" t="str">
        <f>"001380"</f>
        <v>0</v>
      </c>
      <c r="G7384" t="s">
        <v>21</v>
      </c>
    </row>
    <row r="7385" spans="1:7">
      <c r="A7385">
        <v>7384</v>
      </c>
      <c r="B7385" t="str">
        <f>"010574"</f>
        <v>0</v>
      </c>
      <c r="C7385" t="s">
        <v>11617</v>
      </c>
      <c r="D7385" t="s">
        <v>11618</v>
      </c>
      <c r="E7385" t="str">
        <f>"3490200154142"</f>
        <v>0</v>
      </c>
      <c r="F7385" t="str">
        <f>"001380"</f>
        <v>0</v>
      </c>
      <c r="G7385" t="s">
        <v>21</v>
      </c>
    </row>
    <row r="7386" spans="1:7">
      <c r="A7386">
        <v>7385</v>
      </c>
      <c r="B7386" t="str">
        <f>"011247"</f>
        <v>0</v>
      </c>
      <c r="C7386" t="s">
        <v>11619</v>
      </c>
      <c r="D7386" t="s">
        <v>2532</v>
      </c>
      <c r="E7386" t="str">
        <f>"3460500426695"</f>
        <v>0</v>
      </c>
      <c r="F7386" t="str">
        <f>"001380"</f>
        <v>0</v>
      </c>
      <c r="G7386" t="s">
        <v>21</v>
      </c>
    </row>
    <row r="7387" spans="1:7">
      <c r="A7387">
        <v>7386</v>
      </c>
      <c r="B7387" t="str">
        <f>"011429"</f>
        <v>0</v>
      </c>
      <c r="C7387" t="s">
        <v>2575</v>
      </c>
      <c r="D7387" t="s">
        <v>11620</v>
      </c>
      <c r="E7387" t="str">
        <f>"3490500089851"</f>
        <v>0</v>
      </c>
      <c r="F7387" t="str">
        <f>"001380"</f>
        <v>0</v>
      </c>
      <c r="G7387" t="s">
        <v>21</v>
      </c>
    </row>
    <row r="7388" spans="1:7">
      <c r="A7388">
        <v>7387</v>
      </c>
      <c r="B7388" t="str">
        <f>"015984"</f>
        <v>0</v>
      </c>
      <c r="C7388" t="s">
        <v>1944</v>
      </c>
      <c r="D7388" t="s">
        <v>11621</v>
      </c>
      <c r="E7388" t="str">
        <f>"3490500381586"</f>
        <v>0</v>
      </c>
      <c r="F7388" t="str">
        <f>"001380"</f>
        <v>0</v>
      </c>
      <c r="G7388" t="s">
        <v>21</v>
      </c>
    </row>
    <row r="7389" spans="1:7">
      <c r="A7389">
        <v>7388</v>
      </c>
      <c r="B7389" t="str">
        <f>"016307"</f>
        <v>0</v>
      </c>
      <c r="C7389" t="s">
        <v>11051</v>
      </c>
      <c r="D7389" t="s">
        <v>11622</v>
      </c>
      <c r="E7389" t="str">
        <f>"3489900017308"</f>
        <v>0</v>
      </c>
      <c r="F7389" t="str">
        <f>"001380"</f>
        <v>0</v>
      </c>
      <c r="G7389" t="s">
        <v>21</v>
      </c>
    </row>
    <row r="7390" spans="1:7">
      <c r="A7390">
        <v>7389</v>
      </c>
      <c r="B7390" t="str">
        <f>"016994"</f>
        <v>0</v>
      </c>
      <c r="C7390" t="s">
        <v>11623</v>
      </c>
      <c r="D7390" t="s">
        <v>11624</v>
      </c>
      <c r="E7390" t="str">
        <f>"3480700128663"</f>
        <v>0</v>
      </c>
      <c r="F7390" t="str">
        <f>"001380"</f>
        <v>0</v>
      </c>
      <c r="G7390" t="s">
        <v>21</v>
      </c>
    </row>
    <row r="7391" spans="1:7">
      <c r="A7391">
        <v>7390</v>
      </c>
      <c r="B7391" t="str">
        <f>"017399"</f>
        <v>0</v>
      </c>
      <c r="C7391" t="s">
        <v>2096</v>
      </c>
      <c r="D7391" t="s">
        <v>11625</v>
      </c>
      <c r="E7391" t="str">
        <f>"3490500207683"</f>
        <v>0</v>
      </c>
      <c r="F7391" t="str">
        <f>"001380"</f>
        <v>0</v>
      </c>
      <c r="G7391" t="s">
        <v>21</v>
      </c>
    </row>
    <row r="7392" spans="1:7">
      <c r="A7392">
        <v>7391</v>
      </c>
      <c r="B7392" t="str">
        <f>"018749"</f>
        <v>0</v>
      </c>
      <c r="C7392" t="s">
        <v>11626</v>
      </c>
      <c r="D7392" t="s">
        <v>9175</v>
      </c>
      <c r="E7392" t="str">
        <f>"3490500550451"</f>
        <v>0</v>
      </c>
      <c r="F7392" t="str">
        <f>"001380"</f>
        <v>0</v>
      </c>
      <c r="G7392" t="s">
        <v>21</v>
      </c>
    </row>
    <row r="7393" spans="1:7">
      <c r="A7393">
        <v>7392</v>
      </c>
      <c r="B7393" t="str">
        <f>"019547"</f>
        <v>0</v>
      </c>
      <c r="C7393" t="s">
        <v>11627</v>
      </c>
      <c r="D7393" t="s">
        <v>11628</v>
      </c>
      <c r="E7393" t="str">
        <f>"3930100156912"</f>
        <v>0</v>
      </c>
      <c r="F7393" t="str">
        <f>"001380"</f>
        <v>0</v>
      </c>
      <c r="G7393" t="s">
        <v>21</v>
      </c>
    </row>
    <row r="7394" spans="1:7">
      <c r="A7394">
        <v>7393</v>
      </c>
      <c r="B7394" t="str">
        <f>"021810"</f>
        <v>0</v>
      </c>
      <c r="C7394" t="s">
        <v>11629</v>
      </c>
      <c r="D7394" t="s">
        <v>11630</v>
      </c>
      <c r="E7394" t="str">
        <f>"3490500073741"</f>
        <v>0</v>
      </c>
      <c r="F7394" t="str">
        <f>"001380"</f>
        <v>0</v>
      </c>
      <c r="G7394" t="s">
        <v>21</v>
      </c>
    </row>
    <row r="7395" spans="1:7">
      <c r="A7395">
        <v>7394</v>
      </c>
      <c r="B7395" t="str">
        <f>"020414"</f>
        <v>0</v>
      </c>
      <c r="C7395" t="s">
        <v>2882</v>
      </c>
      <c r="D7395" t="s">
        <v>11631</v>
      </c>
      <c r="E7395" t="str">
        <f>"3490100467874"</f>
        <v>0</v>
      </c>
      <c r="F7395" t="str">
        <f>"001380"</f>
        <v>0</v>
      </c>
      <c r="G7395" t="s">
        <v>21</v>
      </c>
    </row>
    <row r="7396" spans="1:7">
      <c r="A7396">
        <v>7395</v>
      </c>
      <c r="B7396" t="str">
        <f>"027312"</f>
        <v>0</v>
      </c>
      <c r="C7396" t="s">
        <v>11632</v>
      </c>
      <c r="D7396" t="s">
        <v>11633</v>
      </c>
      <c r="E7396" t="str">
        <f>"1499900014248"</f>
        <v>0</v>
      </c>
      <c r="F7396" t="str">
        <f>"001380"</f>
        <v>0</v>
      </c>
      <c r="G7396" t="s">
        <v>21</v>
      </c>
    </row>
    <row r="7397" spans="1:7">
      <c r="A7397">
        <v>7396</v>
      </c>
      <c r="B7397" t="str">
        <f>"020514"</f>
        <v>0</v>
      </c>
      <c r="C7397" t="s">
        <v>6238</v>
      </c>
      <c r="D7397" t="s">
        <v>11634</v>
      </c>
      <c r="E7397" t="str">
        <f>"3341501576293"</f>
        <v>0</v>
      </c>
      <c r="F7397" t="str">
        <f>"001380"</f>
        <v>0</v>
      </c>
      <c r="G7397" t="s">
        <v>21</v>
      </c>
    </row>
    <row r="7398" spans="1:7">
      <c r="A7398">
        <v>7397</v>
      </c>
      <c r="B7398" t="str">
        <f>"024969"</f>
        <v>0</v>
      </c>
      <c r="C7398" t="s">
        <v>11635</v>
      </c>
      <c r="D7398" t="s">
        <v>11636</v>
      </c>
      <c r="E7398" t="str">
        <f>"1319900004863"</f>
        <v>0</v>
      </c>
      <c r="F7398" t="str">
        <f>"001380"</f>
        <v>0</v>
      </c>
      <c r="G7398" t="s">
        <v>21</v>
      </c>
    </row>
    <row r="7399" spans="1:7">
      <c r="A7399">
        <v>7398</v>
      </c>
      <c r="B7399" t="str">
        <f>"025764"</f>
        <v>0</v>
      </c>
      <c r="C7399" t="s">
        <v>11637</v>
      </c>
      <c r="D7399" t="s">
        <v>11638</v>
      </c>
      <c r="E7399" t="str">
        <f>"1340700004519"</f>
        <v>0</v>
      </c>
      <c r="F7399" t="str">
        <f>"001380"</f>
        <v>0</v>
      </c>
      <c r="G7399" t="s">
        <v>21</v>
      </c>
    </row>
    <row r="7400" spans="1:7">
      <c r="A7400">
        <v>7399</v>
      </c>
      <c r="B7400" t="str">
        <f>"022290"</f>
        <v>0</v>
      </c>
      <c r="C7400" t="s">
        <v>3171</v>
      </c>
      <c r="D7400" t="s">
        <v>11639</v>
      </c>
      <c r="E7400" t="str">
        <f>"1350800007170"</f>
        <v>0</v>
      </c>
      <c r="F7400" t="str">
        <f>"001380"</f>
        <v>0</v>
      </c>
      <c r="G7400" t="s">
        <v>21</v>
      </c>
    </row>
    <row r="7401" spans="1:7">
      <c r="A7401">
        <v>7400</v>
      </c>
      <c r="B7401" t="str">
        <f>"025133"</f>
        <v>0</v>
      </c>
      <c r="C7401" t="s">
        <v>11640</v>
      </c>
      <c r="D7401" t="s">
        <v>11641</v>
      </c>
      <c r="E7401" t="str">
        <f>"3401000589057"</f>
        <v>0</v>
      </c>
      <c r="F7401" t="str">
        <f>"001380"</f>
        <v>0</v>
      </c>
      <c r="G7401" t="s">
        <v>21</v>
      </c>
    </row>
    <row r="7402" spans="1:7">
      <c r="A7402">
        <v>7401</v>
      </c>
      <c r="B7402" t="str">
        <f>"027053"</f>
        <v>0</v>
      </c>
      <c r="C7402" t="s">
        <v>802</v>
      </c>
      <c r="D7402" t="s">
        <v>11642</v>
      </c>
      <c r="E7402" t="str">
        <f>"3451500169219"</f>
        <v>0</v>
      </c>
      <c r="F7402" t="str">
        <f>"001380"</f>
        <v>0</v>
      </c>
      <c r="G7402" t="s">
        <v>21</v>
      </c>
    </row>
    <row r="7403" spans="1:7">
      <c r="A7403">
        <v>7402</v>
      </c>
      <c r="B7403" t="str">
        <f>"016041"</f>
        <v>0</v>
      </c>
      <c r="C7403" t="s">
        <v>442</v>
      </c>
      <c r="D7403" t="s">
        <v>11643</v>
      </c>
      <c r="E7403" t="str">
        <f>"3320100148796"</f>
        <v>0</v>
      </c>
      <c r="F7403" t="str">
        <f>"001380"</f>
        <v>0</v>
      </c>
      <c r="G7403" t="s">
        <v>21</v>
      </c>
    </row>
    <row r="7404" spans="1:7">
      <c r="A7404">
        <v>7403</v>
      </c>
      <c r="B7404" t="str">
        <f>"026022"</f>
        <v>0</v>
      </c>
      <c r="C7404" t="s">
        <v>11644</v>
      </c>
      <c r="D7404" t="s">
        <v>11645</v>
      </c>
      <c r="E7404" t="str">
        <f>"1469900103674"</f>
        <v>0</v>
      </c>
      <c r="F7404" t="str">
        <f>"001380"</f>
        <v>0</v>
      </c>
      <c r="G7404" t="s">
        <v>21</v>
      </c>
    </row>
    <row r="7405" spans="1:7">
      <c r="A7405">
        <v>7404</v>
      </c>
      <c r="B7405" t="str">
        <f>"022666"</f>
        <v>0</v>
      </c>
      <c r="C7405" t="s">
        <v>11646</v>
      </c>
      <c r="D7405" t="s">
        <v>11647</v>
      </c>
      <c r="E7405" t="str">
        <f>"3470600107818"</f>
        <v>0</v>
      </c>
      <c r="F7405" t="str">
        <f>"001380"</f>
        <v>0</v>
      </c>
      <c r="G7405" t="s">
        <v>21</v>
      </c>
    </row>
    <row r="7406" spans="1:7">
      <c r="A7406">
        <v>7405</v>
      </c>
      <c r="B7406" t="str">
        <f>"022747"</f>
        <v>0</v>
      </c>
      <c r="C7406" t="s">
        <v>11648</v>
      </c>
      <c r="D7406" t="s">
        <v>11649</v>
      </c>
      <c r="E7406" t="str">
        <f>"1480500001221"</f>
        <v>0</v>
      </c>
      <c r="F7406" t="str">
        <f>"001380"</f>
        <v>0</v>
      </c>
      <c r="G7406" t="s">
        <v>21</v>
      </c>
    </row>
    <row r="7407" spans="1:7">
      <c r="A7407">
        <v>7406</v>
      </c>
      <c r="B7407" t="str">
        <f>"026387"</f>
        <v>0</v>
      </c>
      <c r="C7407" t="s">
        <v>11650</v>
      </c>
      <c r="D7407" t="s">
        <v>11651</v>
      </c>
      <c r="E7407" t="str">
        <f>"1440600047843"</f>
        <v>0</v>
      </c>
      <c r="F7407" t="str">
        <f>"001380"</f>
        <v>0</v>
      </c>
      <c r="G7407" t="s">
        <v>21</v>
      </c>
    </row>
    <row r="7408" spans="1:7">
      <c r="A7408">
        <v>7407</v>
      </c>
      <c r="B7408" t="str">
        <f>"010454"</f>
        <v>0</v>
      </c>
      <c r="C7408" t="s">
        <v>5903</v>
      </c>
      <c r="D7408" t="s">
        <v>11652</v>
      </c>
      <c r="E7408" t="str">
        <f>"3659900200313"</f>
        <v>0</v>
      </c>
      <c r="F7408" t="str">
        <f>"001380"</f>
        <v>0</v>
      </c>
      <c r="G7408" t="s">
        <v>21</v>
      </c>
    </row>
    <row r="7409" spans="1:7">
      <c r="A7409">
        <v>7408</v>
      </c>
      <c r="B7409" t="str">
        <f>"011160"</f>
        <v>0</v>
      </c>
      <c r="C7409" t="s">
        <v>11653</v>
      </c>
      <c r="D7409" t="s">
        <v>11654</v>
      </c>
      <c r="E7409" t="str">
        <f>"3490300057831"</f>
        <v>0</v>
      </c>
      <c r="F7409" t="str">
        <f>"001380"</f>
        <v>0</v>
      </c>
      <c r="G7409" t="s">
        <v>21</v>
      </c>
    </row>
    <row r="7410" spans="1:7">
      <c r="A7410">
        <v>7409</v>
      </c>
      <c r="B7410" t="str">
        <f>"011725"</f>
        <v>0</v>
      </c>
      <c r="C7410" t="s">
        <v>7931</v>
      </c>
      <c r="D7410" t="s">
        <v>11655</v>
      </c>
      <c r="E7410" t="str">
        <f>"3460100151214"</f>
        <v>0</v>
      </c>
      <c r="F7410" t="str">
        <f>"001380"</f>
        <v>0</v>
      </c>
      <c r="G7410" t="s">
        <v>21</v>
      </c>
    </row>
    <row r="7411" spans="1:7">
      <c r="A7411">
        <v>7410</v>
      </c>
      <c r="B7411" t="str">
        <f>"012810"</f>
        <v>0</v>
      </c>
      <c r="C7411" t="s">
        <v>11656</v>
      </c>
      <c r="D7411" t="s">
        <v>11657</v>
      </c>
      <c r="E7411" t="str">
        <f>"3341600764471"</f>
        <v>0</v>
      </c>
      <c r="F7411" t="str">
        <f>"001380"</f>
        <v>0</v>
      </c>
      <c r="G7411" t="s">
        <v>21</v>
      </c>
    </row>
    <row r="7412" spans="1:7">
      <c r="A7412">
        <v>7411</v>
      </c>
      <c r="B7412" t="str">
        <f>"013466"</f>
        <v>0</v>
      </c>
      <c r="C7412" t="s">
        <v>11658</v>
      </c>
      <c r="D7412" t="s">
        <v>11659</v>
      </c>
      <c r="E7412" t="str">
        <f>"3900800076369"</f>
        <v>0</v>
      </c>
      <c r="F7412" t="str">
        <f>"001380"</f>
        <v>0</v>
      </c>
      <c r="G7412" t="s">
        <v>21</v>
      </c>
    </row>
    <row r="7413" spans="1:7">
      <c r="A7413">
        <v>7412</v>
      </c>
      <c r="B7413" t="str">
        <f>"014179"</f>
        <v>0</v>
      </c>
      <c r="C7413" t="s">
        <v>11660</v>
      </c>
      <c r="D7413" t="s">
        <v>6542</v>
      </c>
      <c r="E7413" t="str">
        <f>"3400700172557"</f>
        <v>0</v>
      </c>
      <c r="F7413" t="str">
        <f>"001380"</f>
        <v>0</v>
      </c>
      <c r="G7413" t="s">
        <v>21</v>
      </c>
    </row>
    <row r="7414" spans="1:7">
      <c r="A7414">
        <v>7413</v>
      </c>
      <c r="B7414" t="str">
        <f>"014247"</f>
        <v>0</v>
      </c>
      <c r="C7414" t="s">
        <v>11661</v>
      </c>
      <c r="D7414" t="s">
        <v>11662</v>
      </c>
      <c r="E7414" t="str">
        <f>"3480700707981"</f>
        <v>0</v>
      </c>
      <c r="F7414" t="str">
        <f>"001380"</f>
        <v>0</v>
      </c>
      <c r="G7414" t="s">
        <v>21</v>
      </c>
    </row>
    <row r="7415" spans="1:7">
      <c r="A7415">
        <v>7414</v>
      </c>
      <c r="B7415" t="str">
        <f>"014301"</f>
        <v>0</v>
      </c>
      <c r="C7415" t="s">
        <v>6897</v>
      </c>
      <c r="D7415" t="s">
        <v>11663</v>
      </c>
      <c r="E7415" t="str">
        <f>"3930300234569"</f>
        <v>0</v>
      </c>
      <c r="F7415" t="str">
        <f>"001380"</f>
        <v>0</v>
      </c>
      <c r="G7415" t="s">
        <v>21</v>
      </c>
    </row>
    <row r="7416" spans="1:7">
      <c r="A7416">
        <v>7415</v>
      </c>
      <c r="B7416" t="str">
        <f>"014343"</f>
        <v>0</v>
      </c>
      <c r="C7416" t="s">
        <v>11664</v>
      </c>
      <c r="D7416" t="s">
        <v>11665</v>
      </c>
      <c r="E7416" t="str">
        <f>"3490500178519"</f>
        <v>0</v>
      </c>
      <c r="F7416" t="str">
        <f>"001380"</f>
        <v>0</v>
      </c>
      <c r="G7416" t="s">
        <v>21</v>
      </c>
    </row>
    <row r="7417" spans="1:7">
      <c r="A7417">
        <v>7416</v>
      </c>
      <c r="B7417" t="str">
        <f>"015927"</f>
        <v>0</v>
      </c>
      <c r="C7417" t="s">
        <v>11666</v>
      </c>
      <c r="D7417" t="s">
        <v>11667</v>
      </c>
      <c r="E7417" t="str">
        <f>"3841700760341"</f>
        <v>0</v>
      </c>
      <c r="F7417" t="str">
        <f>"001380"</f>
        <v>0</v>
      </c>
      <c r="G7417" t="s">
        <v>21</v>
      </c>
    </row>
    <row r="7418" spans="1:7">
      <c r="A7418">
        <v>7417</v>
      </c>
      <c r="B7418" t="str">
        <f>"015928"</f>
        <v>0</v>
      </c>
      <c r="C7418" t="s">
        <v>11668</v>
      </c>
      <c r="D7418" t="s">
        <v>11669</v>
      </c>
      <c r="E7418" t="str">
        <f>"3490600125492"</f>
        <v>0</v>
      </c>
      <c r="F7418" t="str">
        <f>"001380"</f>
        <v>0</v>
      </c>
      <c r="G7418" t="s">
        <v>21</v>
      </c>
    </row>
    <row r="7419" spans="1:7">
      <c r="A7419">
        <v>7418</v>
      </c>
      <c r="B7419" t="str">
        <f>"016024"</f>
        <v>0</v>
      </c>
      <c r="C7419" t="s">
        <v>409</v>
      </c>
      <c r="D7419" t="s">
        <v>11670</v>
      </c>
      <c r="E7419" t="str">
        <f>"3490500016691"</f>
        <v>0</v>
      </c>
      <c r="F7419" t="str">
        <f>"001380"</f>
        <v>0</v>
      </c>
      <c r="G7419" t="s">
        <v>21</v>
      </c>
    </row>
    <row r="7420" spans="1:7">
      <c r="A7420">
        <v>7419</v>
      </c>
      <c r="B7420" t="str">
        <f>"016590"</f>
        <v>0</v>
      </c>
      <c r="C7420" t="s">
        <v>11045</v>
      </c>
      <c r="D7420" t="s">
        <v>11671</v>
      </c>
      <c r="E7420" t="str">
        <f>"3360101148781"</f>
        <v>0</v>
      </c>
      <c r="F7420" t="str">
        <f>"001380"</f>
        <v>0</v>
      </c>
      <c r="G7420" t="s">
        <v>21</v>
      </c>
    </row>
    <row r="7421" spans="1:7">
      <c r="A7421">
        <v>7420</v>
      </c>
      <c r="B7421" t="str">
        <f>"016592"</f>
        <v>0</v>
      </c>
      <c r="C7421" t="s">
        <v>2622</v>
      </c>
      <c r="D7421" t="s">
        <v>6904</v>
      </c>
      <c r="E7421" t="str">
        <f>"3490500176907"</f>
        <v>0</v>
      </c>
      <c r="F7421" t="str">
        <f>"001380"</f>
        <v>0</v>
      </c>
      <c r="G7421" t="s">
        <v>21</v>
      </c>
    </row>
    <row r="7422" spans="1:7">
      <c r="A7422">
        <v>7421</v>
      </c>
      <c r="B7422" t="str">
        <f>"017245"</f>
        <v>0</v>
      </c>
      <c r="C7422" t="s">
        <v>11672</v>
      </c>
      <c r="D7422" t="s">
        <v>11673</v>
      </c>
      <c r="E7422" t="str">
        <f>"3490500104744"</f>
        <v>0</v>
      </c>
      <c r="F7422" t="str">
        <f>"001380"</f>
        <v>0</v>
      </c>
      <c r="G7422" t="s">
        <v>21</v>
      </c>
    </row>
    <row r="7423" spans="1:7">
      <c r="A7423">
        <v>7422</v>
      </c>
      <c r="B7423" t="str">
        <f>"017283"</f>
        <v>0</v>
      </c>
      <c r="C7423" t="s">
        <v>4967</v>
      </c>
      <c r="D7423" t="s">
        <v>11670</v>
      </c>
      <c r="E7423" t="str">
        <f>"3490500105562"</f>
        <v>0</v>
      </c>
      <c r="F7423" t="str">
        <f>"001380"</f>
        <v>0</v>
      </c>
      <c r="G7423" t="s">
        <v>21</v>
      </c>
    </row>
    <row r="7424" spans="1:7">
      <c r="A7424">
        <v>7423</v>
      </c>
      <c r="B7424" t="str">
        <f>"017589"</f>
        <v>0</v>
      </c>
      <c r="C7424" t="s">
        <v>11674</v>
      </c>
      <c r="D7424" t="s">
        <v>11675</v>
      </c>
      <c r="E7424" t="str">
        <f>"3341600632060"</f>
        <v>0</v>
      </c>
      <c r="F7424" t="str">
        <f>"001380"</f>
        <v>0</v>
      </c>
      <c r="G7424" t="s">
        <v>21</v>
      </c>
    </row>
    <row r="7425" spans="1:7">
      <c r="A7425">
        <v>7424</v>
      </c>
      <c r="B7425" t="str">
        <f>"017783"</f>
        <v>0</v>
      </c>
      <c r="C7425" t="s">
        <v>802</v>
      </c>
      <c r="D7425" t="s">
        <v>11676</v>
      </c>
      <c r="E7425" t="str">
        <f>"3470600421245"</f>
        <v>0</v>
      </c>
      <c r="F7425" t="str">
        <f>"001380"</f>
        <v>0</v>
      </c>
      <c r="G7425" t="s">
        <v>21</v>
      </c>
    </row>
    <row r="7426" spans="1:7">
      <c r="A7426">
        <v>7425</v>
      </c>
      <c r="B7426" t="str">
        <f>"018550"</f>
        <v>0</v>
      </c>
      <c r="C7426" t="s">
        <v>8873</v>
      </c>
      <c r="D7426" t="s">
        <v>11677</v>
      </c>
      <c r="E7426" t="str">
        <f>"3341601221845"</f>
        <v>0</v>
      </c>
      <c r="F7426" t="str">
        <f>"001380"</f>
        <v>0</v>
      </c>
      <c r="G7426" t="s">
        <v>21</v>
      </c>
    </row>
    <row r="7427" spans="1:7">
      <c r="A7427">
        <v>7426</v>
      </c>
      <c r="B7427" t="str">
        <f>"018643"</f>
        <v>0</v>
      </c>
      <c r="C7427" t="s">
        <v>11678</v>
      </c>
      <c r="D7427" t="s">
        <v>11679</v>
      </c>
      <c r="E7427" t="str">
        <f>"3350800867388"</f>
        <v>0</v>
      </c>
      <c r="F7427" t="str">
        <f>"001380"</f>
        <v>0</v>
      </c>
      <c r="G7427" t="s">
        <v>21</v>
      </c>
    </row>
    <row r="7428" spans="1:7">
      <c r="A7428">
        <v>7427</v>
      </c>
      <c r="B7428" t="str">
        <f>"019155"</f>
        <v>0</v>
      </c>
      <c r="C7428" t="s">
        <v>11680</v>
      </c>
      <c r="D7428" t="s">
        <v>11681</v>
      </c>
      <c r="E7428" t="str">
        <f>"3490500127892"</f>
        <v>0</v>
      </c>
      <c r="F7428" t="str">
        <f>"001380"</f>
        <v>0</v>
      </c>
      <c r="G7428" t="s">
        <v>21</v>
      </c>
    </row>
    <row r="7429" spans="1:7">
      <c r="A7429">
        <v>7428</v>
      </c>
      <c r="B7429" t="str">
        <f>"019156"</f>
        <v>0</v>
      </c>
      <c r="C7429" t="s">
        <v>2292</v>
      </c>
      <c r="D7429" t="s">
        <v>11682</v>
      </c>
      <c r="E7429" t="str">
        <f>"3490300014512"</f>
        <v>0</v>
      </c>
      <c r="F7429" t="str">
        <f>"001380"</f>
        <v>0</v>
      </c>
      <c r="G7429" t="s">
        <v>21</v>
      </c>
    </row>
    <row r="7430" spans="1:7">
      <c r="A7430">
        <v>7429</v>
      </c>
      <c r="B7430" t="str">
        <f>"019213"</f>
        <v>0</v>
      </c>
      <c r="C7430" t="s">
        <v>11683</v>
      </c>
      <c r="D7430" t="s">
        <v>4483</v>
      </c>
      <c r="E7430" t="str">
        <f>"3490400127025"</f>
        <v>0</v>
      </c>
      <c r="F7430" t="str">
        <f>"001380"</f>
        <v>0</v>
      </c>
      <c r="G7430" t="s">
        <v>21</v>
      </c>
    </row>
    <row r="7431" spans="1:7">
      <c r="A7431">
        <v>7430</v>
      </c>
      <c r="B7431" t="str">
        <f>"019317"</f>
        <v>0</v>
      </c>
      <c r="C7431" t="s">
        <v>3566</v>
      </c>
      <c r="D7431" t="s">
        <v>11684</v>
      </c>
      <c r="E7431" t="str">
        <f>"3490300040408"</f>
        <v>0</v>
      </c>
      <c r="F7431" t="str">
        <f>"001380"</f>
        <v>0</v>
      </c>
      <c r="G7431" t="s">
        <v>21</v>
      </c>
    </row>
    <row r="7432" spans="1:7">
      <c r="A7432">
        <v>7431</v>
      </c>
      <c r="B7432" t="str">
        <f>"019699"</f>
        <v>0</v>
      </c>
      <c r="C7432" t="s">
        <v>11685</v>
      </c>
      <c r="D7432" t="s">
        <v>11686</v>
      </c>
      <c r="E7432" t="str">
        <f>"3490500003557"</f>
        <v>0</v>
      </c>
      <c r="F7432" t="str">
        <f>"001380"</f>
        <v>0</v>
      </c>
      <c r="G7432" t="s">
        <v>21</v>
      </c>
    </row>
    <row r="7433" spans="1:7">
      <c r="A7433">
        <v>7432</v>
      </c>
      <c r="B7433" t="str">
        <f>"019836"</f>
        <v>0</v>
      </c>
      <c r="C7433" t="s">
        <v>11687</v>
      </c>
      <c r="D7433" t="s">
        <v>11688</v>
      </c>
      <c r="E7433" t="str">
        <f>"3340700972911"</f>
        <v>0</v>
      </c>
      <c r="F7433" t="str">
        <f>"001380"</f>
        <v>0</v>
      </c>
      <c r="G7433" t="s">
        <v>21</v>
      </c>
    </row>
    <row r="7434" spans="1:7">
      <c r="A7434">
        <v>7433</v>
      </c>
      <c r="B7434" t="str">
        <f>"019837"</f>
        <v>0</v>
      </c>
      <c r="C7434" t="s">
        <v>11689</v>
      </c>
      <c r="D7434" t="s">
        <v>11690</v>
      </c>
      <c r="E7434" t="str">
        <f>"3490400149932"</f>
        <v>0</v>
      </c>
      <c r="F7434" t="str">
        <f>"001380"</f>
        <v>0</v>
      </c>
      <c r="G7434" t="s">
        <v>21</v>
      </c>
    </row>
    <row r="7435" spans="1:7">
      <c r="A7435">
        <v>7434</v>
      </c>
      <c r="B7435" t="str">
        <f>"020009"</f>
        <v>0</v>
      </c>
      <c r="C7435" t="s">
        <v>11691</v>
      </c>
      <c r="D7435" t="s">
        <v>11692</v>
      </c>
      <c r="E7435" t="str">
        <f>"3490500253405"</f>
        <v>0</v>
      </c>
      <c r="F7435" t="str">
        <f>"001380"</f>
        <v>0</v>
      </c>
      <c r="G7435" t="s">
        <v>21</v>
      </c>
    </row>
    <row r="7436" spans="1:7">
      <c r="A7436">
        <v>7435</v>
      </c>
      <c r="B7436" t="str">
        <f>"020812"</f>
        <v>0</v>
      </c>
      <c r="C7436" t="s">
        <v>11693</v>
      </c>
      <c r="D7436" t="s">
        <v>11694</v>
      </c>
      <c r="E7436" t="str">
        <f>"5350590006388"</f>
        <v>0</v>
      </c>
      <c r="F7436" t="str">
        <f>"001380"</f>
        <v>0</v>
      </c>
      <c r="G7436" t="s">
        <v>21</v>
      </c>
    </row>
    <row r="7437" spans="1:7">
      <c r="A7437">
        <v>7436</v>
      </c>
      <c r="B7437" t="str">
        <f>"020893"</f>
        <v>0</v>
      </c>
      <c r="C7437" t="s">
        <v>4479</v>
      </c>
      <c r="D7437" t="s">
        <v>11695</v>
      </c>
      <c r="E7437" t="str">
        <f>"3490100130608"</f>
        <v>0</v>
      </c>
      <c r="F7437" t="str">
        <f>"001380"</f>
        <v>0</v>
      </c>
      <c r="G7437" t="s">
        <v>21</v>
      </c>
    </row>
    <row r="7438" spans="1:7">
      <c r="A7438">
        <v>7437</v>
      </c>
      <c r="B7438" t="str">
        <f>"020916"</f>
        <v>0</v>
      </c>
      <c r="C7438" t="s">
        <v>11696</v>
      </c>
      <c r="D7438" t="s">
        <v>11697</v>
      </c>
      <c r="E7438" t="str">
        <f>"3490500205486"</f>
        <v>0</v>
      </c>
      <c r="F7438" t="str">
        <f>"001380"</f>
        <v>0</v>
      </c>
      <c r="G7438" t="s">
        <v>21</v>
      </c>
    </row>
    <row r="7439" spans="1:7">
      <c r="A7439">
        <v>7438</v>
      </c>
      <c r="B7439" t="str">
        <f>"021122"</f>
        <v>0</v>
      </c>
      <c r="C7439" t="s">
        <v>3837</v>
      </c>
      <c r="D7439" t="s">
        <v>11698</v>
      </c>
      <c r="E7439" t="str">
        <f>"3100503839136"</f>
        <v>0</v>
      </c>
      <c r="F7439" t="str">
        <f>"001380"</f>
        <v>0</v>
      </c>
      <c r="G7439" t="s">
        <v>21</v>
      </c>
    </row>
    <row r="7440" spans="1:7">
      <c r="A7440">
        <v>7439</v>
      </c>
      <c r="B7440" t="str">
        <f>"021141"</f>
        <v>0</v>
      </c>
      <c r="C7440" t="s">
        <v>11699</v>
      </c>
      <c r="D7440" t="s">
        <v>11700</v>
      </c>
      <c r="E7440" t="str">
        <f>"3341500321194"</f>
        <v>0</v>
      </c>
      <c r="F7440" t="str">
        <f>"001380"</f>
        <v>0</v>
      </c>
      <c r="G7440" t="s">
        <v>21</v>
      </c>
    </row>
    <row r="7441" spans="1:7">
      <c r="A7441">
        <v>7440</v>
      </c>
      <c r="B7441" t="str">
        <f>"021178"</f>
        <v>0</v>
      </c>
      <c r="C7441" t="s">
        <v>4757</v>
      </c>
      <c r="D7441" t="s">
        <v>11701</v>
      </c>
      <c r="E7441" t="str">
        <f>"5901400005283"</f>
        <v>0</v>
      </c>
      <c r="F7441" t="str">
        <f>"001380"</f>
        <v>0</v>
      </c>
      <c r="G7441" t="s">
        <v>21</v>
      </c>
    </row>
    <row r="7442" spans="1:7">
      <c r="A7442">
        <v>7441</v>
      </c>
      <c r="B7442" t="str">
        <f>"021210"</f>
        <v>0</v>
      </c>
      <c r="C7442" t="s">
        <v>11702</v>
      </c>
      <c r="D7442" t="s">
        <v>11700</v>
      </c>
      <c r="E7442" t="str">
        <f>"3490100505199"</f>
        <v>0</v>
      </c>
      <c r="F7442" t="str">
        <f>"001380"</f>
        <v>0</v>
      </c>
      <c r="G7442" t="s">
        <v>21</v>
      </c>
    </row>
    <row r="7443" spans="1:7">
      <c r="A7443">
        <v>7442</v>
      </c>
      <c r="B7443" t="str">
        <f>"021708"</f>
        <v>0</v>
      </c>
      <c r="C7443" t="s">
        <v>11703</v>
      </c>
      <c r="D7443" t="s">
        <v>978</v>
      </c>
      <c r="E7443" t="str">
        <f>"1102000215847"</f>
        <v>0</v>
      </c>
      <c r="F7443" t="str">
        <f>"001380"</f>
        <v>0</v>
      </c>
      <c r="G7443" t="s">
        <v>21</v>
      </c>
    </row>
    <row r="7444" spans="1:7">
      <c r="A7444">
        <v>7443</v>
      </c>
      <c r="B7444" t="str">
        <f>"021823"</f>
        <v>0</v>
      </c>
      <c r="C7444" t="s">
        <v>6160</v>
      </c>
      <c r="D7444" t="s">
        <v>11704</v>
      </c>
      <c r="E7444" t="str">
        <f>"3490300101202"</f>
        <v>0</v>
      </c>
      <c r="F7444" t="str">
        <f>"001380"</f>
        <v>0</v>
      </c>
      <c r="G7444" t="s">
        <v>21</v>
      </c>
    </row>
    <row r="7445" spans="1:7">
      <c r="A7445">
        <v>7444</v>
      </c>
      <c r="B7445" t="str">
        <f>"022044"</f>
        <v>0</v>
      </c>
      <c r="C7445" t="s">
        <v>11705</v>
      </c>
      <c r="D7445" t="s">
        <v>11706</v>
      </c>
      <c r="E7445" t="str">
        <f>"1499900006334"</f>
        <v>0</v>
      </c>
      <c r="F7445" t="str">
        <f>"001380"</f>
        <v>0</v>
      </c>
      <c r="G7445" t="s">
        <v>21</v>
      </c>
    </row>
    <row r="7446" spans="1:7">
      <c r="A7446">
        <v>7445</v>
      </c>
      <c r="B7446" t="str">
        <f>"022187"</f>
        <v>0</v>
      </c>
      <c r="C7446" t="s">
        <v>1411</v>
      </c>
      <c r="D7446" t="s">
        <v>11707</v>
      </c>
      <c r="E7446" t="str">
        <f>"3431000030025"</f>
        <v>0</v>
      </c>
      <c r="F7446" t="str">
        <f>"001380"</f>
        <v>0</v>
      </c>
      <c r="G7446" t="s">
        <v>21</v>
      </c>
    </row>
    <row r="7447" spans="1:7">
      <c r="A7447">
        <v>7446</v>
      </c>
      <c r="B7447" t="str">
        <f>"022935"</f>
        <v>0</v>
      </c>
      <c r="C7447" t="s">
        <v>11708</v>
      </c>
      <c r="D7447" t="s">
        <v>551</v>
      </c>
      <c r="E7447" t="str">
        <f>"5490500011700"</f>
        <v>0</v>
      </c>
      <c r="F7447" t="str">
        <f>"001380"</f>
        <v>0</v>
      </c>
      <c r="G7447" t="s">
        <v>21</v>
      </c>
    </row>
    <row r="7448" spans="1:7">
      <c r="A7448">
        <v>7447</v>
      </c>
      <c r="B7448" t="str">
        <f>"023381"</f>
        <v>0</v>
      </c>
      <c r="C7448" t="s">
        <v>1771</v>
      </c>
      <c r="D7448" t="s">
        <v>11709</v>
      </c>
      <c r="E7448" t="str">
        <f>"5210300035909"</f>
        <v>0</v>
      </c>
      <c r="F7448" t="str">
        <f>"001380"</f>
        <v>0</v>
      </c>
      <c r="G7448" t="s">
        <v>21</v>
      </c>
    </row>
    <row r="7449" spans="1:7">
      <c r="A7449">
        <v>7448</v>
      </c>
      <c r="B7449" t="str">
        <f>"023641"</f>
        <v>0</v>
      </c>
      <c r="C7449" t="s">
        <v>11710</v>
      </c>
      <c r="D7449" t="s">
        <v>11711</v>
      </c>
      <c r="E7449" t="str">
        <f>"3490500451673"</f>
        <v>0</v>
      </c>
      <c r="F7449" t="str">
        <f>"001380"</f>
        <v>0</v>
      </c>
      <c r="G7449" t="s">
        <v>21</v>
      </c>
    </row>
    <row r="7450" spans="1:7">
      <c r="A7450">
        <v>7449</v>
      </c>
      <c r="B7450" t="str">
        <f>"024039"</f>
        <v>0</v>
      </c>
      <c r="C7450" t="s">
        <v>11712</v>
      </c>
      <c r="D7450" t="s">
        <v>11713</v>
      </c>
      <c r="E7450" t="str">
        <f>"3490100567755"</f>
        <v>0</v>
      </c>
      <c r="F7450" t="str">
        <f>"001380"</f>
        <v>0</v>
      </c>
      <c r="G7450" t="s">
        <v>21</v>
      </c>
    </row>
    <row r="7451" spans="1:7">
      <c r="A7451">
        <v>7450</v>
      </c>
      <c r="B7451" t="str">
        <f>"024262"</f>
        <v>0</v>
      </c>
      <c r="C7451" t="s">
        <v>11714</v>
      </c>
      <c r="D7451" t="s">
        <v>11715</v>
      </c>
      <c r="E7451" t="str">
        <f>"3490500426318"</f>
        <v>0</v>
      </c>
      <c r="F7451" t="str">
        <f>"001380"</f>
        <v>0</v>
      </c>
      <c r="G7451" t="s">
        <v>21</v>
      </c>
    </row>
    <row r="7452" spans="1:7">
      <c r="A7452">
        <v>7451</v>
      </c>
      <c r="B7452" t="str">
        <f>"024756"</f>
        <v>0</v>
      </c>
      <c r="C7452" t="s">
        <v>11716</v>
      </c>
      <c r="D7452" t="s">
        <v>11717</v>
      </c>
      <c r="E7452" t="str">
        <f>"3490100327355"</f>
        <v>0</v>
      </c>
      <c r="F7452" t="str">
        <f>"001380"</f>
        <v>0</v>
      </c>
      <c r="G7452" t="s">
        <v>21</v>
      </c>
    </row>
    <row r="7453" spans="1:7">
      <c r="A7453">
        <v>7452</v>
      </c>
      <c r="B7453" t="str">
        <f>"024768"</f>
        <v>0</v>
      </c>
      <c r="C7453" t="s">
        <v>11718</v>
      </c>
      <c r="D7453" t="s">
        <v>11719</v>
      </c>
      <c r="E7453" t="str">
        <f>"3490500157236"</f>
        <v>0</v>
      </c>
      <c r="F7453" t="str">
        <f>"001380"</f>
        <v>0</v>
      </c>
      <c r="G7453" t="s">
        <v>21</v>
      </c>
    </row>
    <row r="7454" spans="1:7">
      <c r="A7454">
        <v>7453</v>
      </c>
      <c r="B7454" t="str">
        <f>"024770"</f>
        <v>0</v>
      </c>
      <c r="C7454" t="s">
        <v>11720</v>
      </c>
      <c r="D7454" t="s">
        <v>11721</v>
      </c>
      <c r="E7454" t="str">
        <f>"1490100009136"</f>
        <v>0</v>
      </c>
      <c r="F7454" t="str">
        <f>"001380"</f>
        <v>0</v>
      </c>
      <c r="G7454" t="s">
        <v>21</v>
      </c>
    </row>
    <row r="7455" spans="1:7">
      <c r="A7455">
        <v>7454</v>
      </c>
      <c r="B7455" t="str">
        <f>"025356"</f>
        <v>0</v>
      </c>
      <c r="C7455" t="s">
        <v>11722</v>
      </c>
      <c r="D7455" t="s">
        <v>11715</v>
      </c>
      <c r="E7455" t="str">
        <f>"3340701291739"</f>
        <v>0</v>
      </c>
      <c r="F7455" t="str">
        <f>"001380"</f>
        <v>0</v>
      </c>
      <c r="G7455" t="s">
        <v>21</v>
      </c>
    </row>
    <row r="7456" spans="1:7">
      <c r="A7456">
        <v>7455</v>
      </c>
      <c r="B7456" t="str">
        <f>"025890"</f>
        <v>0</v>
      </c>
      <c r="C7456" t="s">
        <v>11723</v>
      </c>
      <c r="D7456" t="s">
        <v>11724</v>
      </c>
      <c r="E7456" t="str">
        <f>"3490200050401"</f>
        <v>0</v>
      </c>
      <c r="F7456" t="str">
        <f>"001380"</f>
        <v>0</v>
      </c>
      <c r="G7456" t="s">
        <v>21</v>
      </c>
    </row>
    <row r="7457" spans="1:7">
      <c r="A7457">
        <v>7456</v>
      </c>
      <c r="B7457" t="str">
        <f>"025937"</f>
        <v>0</v>
      </c>
      <c r="C7457" t="s">
        <v>11725</v>
      </c>
      <c r="D7457" t="s">
        <v>11726</v>
      </c>
      <c r="E7457" t="str">
        <f>"1490100007222"</f>
        <v>0</v>
      </c>
      <c r="F7457" t="str">
        <f>"001380"</f>
        <v>0</v>
      </c>
      <c r="G7457" t="s">
        <v>21</v>
      </c>
    </row>
    <row r="7458" spans="1:7">
      <c r="A7458">
        <v>7457</v>
      </c>
      <c r="B7458" t="str">
        <f>"026188"</f>
        <v>0</v>
      </c>
      <c r="C7458" t="s">
        <v>11727</v>
      </c>
      <c r="D7458" t="s">
        <v>11728</v>
      </c>
      <c r="E7458" t="str">
        <f>"5490300003339"</f>
        <v>0</v>
      </c>
      <c r="F7458" t="str">
        <f>"001380"</f>
        <v>0</v>
      </c>
      <c r="G7458" t="s">
        <v>21</v>
      </c>
    </row>
    <row r="7459" spans="1:7">
      <c r="A7459">
        <v>7458</v>
      </c>
      <c r="B7459" t="str">
        <f>"026189"</f>
        <v>0</v>
      </c>
      <c r="C7459" t="s">
        <v>11467</v>
      </c>
      <c r="D7459" t="s">
        <v>11729</v>
      </c>
      <c r="E7459" t="str">
        <f>"1490100124008"</f>
        <v>0</v>
      </c>
      <c r="F7459" t="str">
        <f>"001380"</f>
        <v>0</v>
      </c>
      <c r="G7459" t="s">
        <v>21</v>
      </c>
    </row>
    <row r="7460" spans="1:7">
      <c r="A7460">
        <v>7459</v>
      </c>
      <c r="B7460" t="str">
        <f>"026386"</f>
        <v>0</v>
      </c>
      <c r="C7460" t="s">
        <v>6979</v>
      </c>
      <c r="D7460" t="s">
        <v>11730</v>
      </c>
      <c r="E7460" t="str">
        <f>"1340500104269"</f>
        <v>0</v>
      </c>
      <c r="F7460" t="str">
        <f>"001380"</f>
        <v>0</v>
      </c>
      <c r="G7460" t="s">
        <v>21</v>
      </c>
    </row>
    <row r="7461" spans="1:7">
      <c r="A7461">
        <v>7460</v>
      </c>
      <c r="B7461" t="str">
        <f>"026766"</f>
        <v>0</v>
      </c>
      <c r="C7461" t="s">
        <v>167</v>
      </c>
      <c r="D7461" t="s">
        <v>11731</v>
      </c>
      <c r="E7461" t="str">
        <f>"1339900029653"</f>
        <v>0</v>
      </c>
      <c r="F7461" t="str">
        <f>"001380"</f>
        <v>0</v>
      </c>
      <c r="G7461" t="s">
        <v>21</v>
      </c>
    </row>
    <row r="7462" spans="1:7">
      <c r="A7462">
        <v>7461</v>
      </c>
      <c r="B7462" t="str">
        <f>"018991"</f>
        <v>0</v>
      </c>
      <c r="C7462" t="s">
        <v>11732</v>
      </c>
      <c r="D7462" t="s">
        <v>11733</v>
      </c>
      <c r="E7462" t="str">
        <f>"3430400071607"</f>
        <v>0</v>
      </c>
      <c r="F7462" t="str">
        <f>"001380"</f>
        <v>0</v>
      </c>
      <c r="G7462" t="s">
        <v>21</v>
      </c>
    </row>
    <row r="7463" spans="1:7">
      <c r="A7463">
        <v>7462</v>
      </c>
      <c r="B7463" t="str">
        <f>"001473"</f>
        <v>0</v>
      </c>
      <c r="C7463" t="s">
        <v>352</v>
      </c>
      <c r="D7463" t="s">
        <v>11734</v>
      </c>
      <c r="E7463" t="str">
        <f>"3960600278812"</f>
        <v>0</v>
      </c>
      <c r="F7463" t="str">
        <f>"001390"</f>
        <v>0</v>
      </c>
      <c r="G7463" t="s">
        <v>21</v>
      </c>
    </row>
    <row r="7464" spans="1:7">
      <c r="A7464">
        <v>7463</v>
      </c>
      <c r="B7464" t="str">
        <f>"001677"</f>
        <v>0</v>
      </c>
      <c r="C7464" t="s">
        <v>11735</v>
      </c>
      <c r="D7464" t="s">
        <v>11736</v>
      </c>
      <c r="E7464" t="str">
        <f>"3959900263240"</f>
        <v>0</v>
      </c>
      <c r="F7464" t="str">
        <f>"001390"</f>
        <v>0</v>
      </c>
      <c r="G7464" t="s">
        <v>21</v>
      </c>
    </row>
    <row r="7465" spans="1:7">
      <c r="A7465">
        <v>7464</v>
      </c>
      <c r="B7465" t="str">
        <f>"004975"</f>
        <v>0</v>
      </c>
      <c r="C7465" t="s">
        <v>140</v>
      </c>
      <c r="D7465" t="s">
        <v>11737</v>
      </c>
      <c r="E7465" t="str">
        <f>"3961100161925"</f>
        <v>0</v>
      </c>
      <c r="F7465" t="str">
        <f>"001390"</f>
        <v>0</v>
      </c>
      <c r="G7465" t="s">
        <v>21</v>
      </c>
    </row>
    <row r="7466" spans="1:7">
      <c r="A7466">
        <v>7465</v>
      </c>
      <c r="B7466" t="str">
        <f>"005111"</f>
        <v>0</v>
      </c>
      <c r="C7466" t="s">
        <v>2607</v>
      </c>
      <c r="D7466" t="s">
        <v>11738</v>
      </c>
      <c r="E7466" t="str">
        <f>"3959900039382"</f>
        <v>0</v>
      </c>
      <c r="F7466" t="str">
        <f>"001390"</f>
        <v>0</v>
      </c>
      <c r="G7466" t="s">
        <v>21</v>
      </c>
    </row>
    <row r="7467" spans="1:7">
      <c r="A7467">
        <v>7466</v>
      </c>
      <c r="B7467" t="str">
        <f>"008296"</f>
        <v>0</v>
      </c>
      <c r="C7467" t="s">
        <v>9327</v>
      </c>
      <c r="D7467" t="s">
        <v>11739</v>
      </c>
      <c r="E7467" t="str">
        <f>"3950600024578"</f>
        <v>0</v>
      </c>
      <c r="F7467" t="str">
        <f>"001390"</f>
        <v>0</v>
      </c>
      <c r="G7467" t="s">
        <v>21</v>
      </c>
    </row>
    <row r="7468" spans="1:7">
      <c r="A7468">
        <v>7467</v>
      </c>
      <c r="B7468" t="str">
        <f>"008882"</f>
        <v>0</v>
      </c>
      <c r="C7468" t="s">
        <v>4577</v>
      </c>
      <c r="D7468" t="s">
        <v>75</v>
      </c>
      <c r="E7468" t="str">
        <f>"3950200070653"</f>
        <v>0</v>
      </c>
      <c r="F7468" t="str">
        <f>"001390"</f>
        <v>0</v>
      </c>
      <c r="G7468" t="s">
        <v>21</v>
      </c>
    </row>
    <row r="7469" spans="1:7">
      <c r="A7469">
        <v>7468</v>
      </c>
      <c r="B7469" t="str">
        <f>"009339"</f>
        <v>0</v>
      </c>
      <c r="C7469" t="s">
        <v>391</v>
      </c>
      <c r="D7469" t="s">
        <v>11740</v>
      </c>
      <c r="E7469" t="str">
        <f>"3950100228999"</f>
        <v>0</v>
      </c>
      <c r="F7469" t="str">
        <f>"001390"</f>
        <v>0</v>
      </c>
      <c r="G7469" t="s">
        <v>21</v>
      </c>
    </row>
    <row r="7470" spans="1:7">
      <c r="A7470">
        <v>7469</v>
      </c>
      <c r="B7470" t="str">
        <f>"009382"</f>
        <v>0</v>
      </c>
      <c r="C7470" t="s">
        <v>11741</v>
      </c>
      <c r="D7470" t="s">
        <v>11742</v>
      </c>
      <c r="E7470" t="str">
        <f>"3840200702685"</f>
        <v>0</v>
      </c>
      <c r="F7470" t="str">
        <f>"001390"</f>
        <v>0</v>
      </c>
      <c r="G7470" t="s">
        <v>21</v>
      </c>
    </row>
    <row r="7471" spans="1:7">
      <c r="A7471">
        <v>7470</v>
      </c>
      <c r="B7471" t="str">
        <f>"010520"</f>
        <v>0</v>
      </c>
      <c r="C7471" t="s">
        <v>70</v>
      </c>
      <c r="D7471" t="s">
        <v>11737</v>
      </c>
      <c r="E7471" t="str">
        <f>"3961100163502"</f>
        <v>0</v>
      </c>
      <c r="F7471" t="str">
        <f>"001390"</f>
        <v>0</v>
      </c>
      <c r="G7471" t="s">
        <v>21</v>
      </c>
    </row>
    <row r="7472" spans="1:7">
      <c r="A7472">
        <v>7471</v>
      </c>
      <c r="B7472" t="str">
        <f>"011935"</f>
        <v>0</v>
      </c>
      <c r="C7472" t="s">
        <v>3844</v>
      </c>
      <c r="D7472" t="s">
        <v>11743</v>
      </c>
      <c r="E7472" t="str">
        <f>"3959900413951"</f>
        <v>0</v>
      </c>
      <c r="F7472" t="str">
        <f>"001390"</f>
        <v>0</v>
      </c>
      <c r="G7472" t="s">
        <v>21</v>
      </c>
    </row>
    <row r="7473" spans="1:7">
      <c r="A7473">
        <v>7472</v>
      </c>
      <c r="B7473" t="str">
        <f>"012056"</f>
        <v>0</v>
      </c>
      <c r="C7473" t="s">
        <v>11744</v>
      </c>
      <c r="D7473" t="s">
        <v>11745</v>
      </c>
      <c r="E7473" t="str">
        <f>"5100599095334"</f>
        <v>0</v>
      </c>
      <c r="F7473" t="str">
        <f>"001390"</f>
        <v>0</v>
      </c>
      <c r="G7473" t="s">
        <v>21</v>
      </c>
    </row>
    <row r="7474" spans="1:7">
      <c r="A7474">
        <v>7473</v>
      </c>
      <c r="B7474" t="str">
        <f>"015908"</f>
        <v>0</v>
      </c>
      <c r="C7474" t="s">
        <v>4913</v>
      </c>
      <c r="D7474" t="s">
        <v>11746</v>
      </c>
      <c r="E7474" t="str">
        <f>"3900600008777"</f>
        <v>0</v>
      </c>
      <c r="F7474" t="str">
        <f>"001390"</f>
        <v>0</v>
      </c>
      <c r="G7474" t="s">
        <v>21</v>
      </c>
    </row>
    <row r="7475" spans="1:7">
      <c r="A7475">
        <v>7474</v>
      </c>
      <c r="B7475" t="str">
        <f>"018229"</f>
        <v>0</v>
      </c>
      <c r="C7475" t="s">
        <v>6748</v>
      </c>
      <c r="D7475" t="s">
        <v>11747</v>
      </c>
      <c r="E7475" t="str">
        <f>"3909800928525"</f>
        <v>0</v>
      </c>
      <c r="F7475" t="str">
        <f>"001390"</f>
        <v>0</v>
      </c>
      <c r="G7475" t="s">
        <v>21</v>
      </c>
    </row>
    <row r="7476" spans="1:7">
      <c r="A7476">
        <v>7475</v>
      </c>
      <c r="B7476" t="str">
        <f>"013967"</f>
        <v>0</v>
      </c>
      <c r="C7476" t="s">
        <v>4712</v>
      </c>
      <c r="D7476" t="s">
        <v>11748</v>
      </c>
      <c r="E7476" t="str">
        <f>"3901100821364"</f>
        <v>0</v>
      </c>
      <c r="F7476" t="str">
        <f>"001390"</f>
        <v>0</v>
      </c>
      <c r="G7476" t="s">
        <v>21</v>
      </c>
    </row>
    <row r="7477" spans="1:7">
      <c r="A7477">
        <v>7476</v>
      </c>
      <c r="B7477" t="str">
        <f>"022564"</f>
        <v>0</v>
      </c>
      <c r="C7477" t="s">
        <v>9619</v>
      </c>
      <c r="D7477" t="s">
        <v>11749</v>
      </c>
      <c r="E7477" t="str">
        <f>"3959900464768"</f>
        <v>0</v>
      </c>
      <c r="F7477" t="str">
        <f>"001390"</f>
        <v>0</v>
      </c>
      <c r="G7477" t="s">
        <v>21</v>
      </c>
    </row>
    <row r="7478" spans="1:7">
      <c r="A7478">
        <v>7477</v>
      </c>
      <c r="B7478" t="str">
        <f>"022924"</f>
        <v>0</v>
      </c>
      <c r="C7478" t="s">
        <v>2495</v>
      </c>
      <c r="D7478" t="s">
        <v>11750</v>
      </c>
      <c r="E7478" t="str">
        <f>"1959800003657"</f>
        <v>0</v>
      </c>
      <c r="F7478" t="str">
        <f>"001390"</f>
        <v>0</v>
      </c>
      <c r="G7478" t="s">
        <v>21</v>
      </c>
    </row>
    <row r="7479" spans="1:7">
      <c r="A7479">
        <v>7478</v>
      </c>
      <c r="B7479" t="str">
        <f>"026191"</f>
        <v>0</v>
      </c>
      <c r="C7479" t="s">
        <v>11751</v>
      </c>
      <c r="D7479" t="s">
        <v>11752</v>
      </c>
      <c r="E7479" t="str">
        <f>"1570500125604"</f>
        <v>0</v>
      </c>
      <c r="F7479" t="str">
        <f>"001390"</f>
        <v>0</v>
      </c>
      <c r="G7479" t="s">
        <v>21</v>
      </c>
    </row>
    <row r="7480" spans="1:7">
      <c r="A7480">
        <v>7479</v>
      </c>
      <c r="B7480" t="str">
        <f>"016815"</f>
        <v>0</v>
      </c>
      <c r="C7480" t="s">
        <v>4455</v>
      </c>
      <c r="D7480" t="s">
        <v>11753</v>
      </c>
      <c r="E7480" t="str">
        <f>"3801100176958"</f>
        <v>0</v>
      </c>
      <c r="F7480" t="str">
        <f>"001390"</f>
        <v>0</v>
      </c>
      <c r="G7480" t="s">
        <v>21</v>
      </c>
    </row>
    <row r="7481" spans="1:7">
      <c r="A7481">
        <v>7480</v>
      </c>
      <c r="B7481" t="str">
        <f>"021499"</f>
        <v>0</v>
      </c>
      <c r="C7481" t="s">
        <v>3331</v>
      </c>
      <c r="D7481" t="s">
        <v>9891</v>
      </c>
      <c r="E7481" t="str">
        <f>"3901101192069"</f>
        <v>0</v>
      </c>
      <c r="F7481" t="str">
        <f>"001390"</f>
        <v>0</v>
      </c>
      <c r="G7481" t="s">
        <v>21</v>
      </c>
    </row>
    <row r="7482" spans="1:7">
      <c r="A7482">
        <v>7481</v>
      </c>
      <c r="B7482" t="str">
        <f>"024081"</f>
        <v>0</v>
      </c>
      <c r="C7482" t="s">
        <v>11754</v>
      </c>
      <c r="D7482" t="s">
        <v>11755</v>
      </c>
      <c r="E7482" t="str">
        <f>"3900300403123"</f>
        <v>0</v>
      </c>
      <c r="F7482" t="str">
        <f>"001390"</f>
        <v>0</v>
      </c>
      <c r="G7482" t="s">
        <v>21</v>
      </c>
    </row>
    <row r="7483" spans="1:7">
      <c r="A7483">
        <v>7482</v>
      </c>
      <c r="B7483" t="str">
        <f>"024523"</f>
        <v>0</v>
      </c>
      <c r="C7483" t="s">
        <v>1438</v>
      </c>
      <c r="D7483" t="s">
        <v>11756</v>
      </c>
      <c r="E7483" t="str">
        <f>"1900700097121"</f>
        <v>0</v>
      </c>
      <c r="F7483" t="str">
        <f>"001390"</f>
        <v>0</v>
      </c>
      <c r="G7483" t="s">
        <v>21</v>
      </c>
    </row>
    <row r="7484" spans="1:7">
      <c r="A7484">
        <v>7483</v>
      </c>
      <c r="B7484" t="str">
        <f>"025637"</f>
        <v>0</v>
      </c>
      <c r="C7484" t="s">
        <v>11757</v>
      </c>
      <c r="D7484" t="s">
        <v>11758</v>
      </c>
      <c r="E7484" t="str">
        <f>"1900300123205"</f>
        <v>0</v>
      </c>
      <c r="F7484" t="str">
        <f>"001390"</f>
        <v>0</v>
      </c>
      <c r="G7484" t="s">
        <v>21</v>
      </c>
    </row>
    <row r="7485" spans="1:7">
      <c r="A7485">
        <v>7484</v>
      </c>
      <c r="B7485" t="str">
        <f>"027184"</f>
        <v>0</v>
      </c>
      <c r="C7485" t="s">
        <v>4560</v>
      </c>
      <c r="D7485" t="s">
        <v>9771</v>
      </c>
      <c r="E7485" t="str">
        <f>"3801600709637"</f>
        <v>0</v>
      </c>
      <c r="F7485" t="str">
        <f>"001390"</f>
        <v>0</v>
      </c>
      <c r="G7485" t="s">
        <v>21</v>
      </c>
    </row>
    <row r="7486" spans="1:7">
      <c r="A7486">
        <v>7485</v>
      </c>
      <c r="B7486" t="str">
        <f>"024521"</f>
        <v>0</v>
      </c>
      <c r="C7486" t="s">
        <v>9132</v>
      </c>
      <c r="D7486" t="s">
        <v>11759</v>
      </c>
      <c r="E7486" t="str">
        <f>"3910100088526"</f>
        <v>0</v>
      </c>
      <c r="F7486" t="str">
        <f>"001390"</f>
        <v>0</v>
      </c>
      <c r="G7486" t="s">
        <v>21</v>
      </c>
    </row>
    <row r="7487" spans="1:7">
      <c r="A7487">
        <v>7486</v>
      </c>
      <c r="B7487" t="str">
        <f>"027187"</f>
        <v>0</v>
      </c>
      <c r="C7487" t="s">
        <v>1190</v>
      </c>
      <c r="D7487" t="s">
        <v>11760</v>
      </c>
      <c r="E7487" t="str">
        <f>"1102001604308"</f>
        <v>0</v>
      </c>
      <c r="F7487" t="str">
        <f>"001390"</f>
        <v>0</v>
      </c>
      <c r="G7487" t="s">
        <v>21</v>
      </c>
    </row>
    <row r="7488" spans="1:7">
      <c r="A7488">
        <v>7487</v>
      </c>
      <c r="B7488" t="str">
        <f>"023006"</f>
        <v>0</v>
      </c>
      <c r="C7488" t="s">
        <v>11761</v>
      </c>
      <c r="D7488" t="s">
        <v>10863</v>
      </c>
      <c r="E7488" t="str">
        <f>"5809990006818"</f>
        <v>0</v>
      </c>
      <c r="F7488" t="str">
        <f>"001390"</f>
        <v>0</v>
      </c>
      <c r="G7488" t="s">
        <v>21</v>
      </c>
    </row>
    <row r="7489" spans="1:7">
      <c r="A7489">
        <v>7488</v>
      </c>
      <c r="B7489" t="str">
        <f>"023075"</f>
        <v>0</v>
      </c>
      <c r="C7489" t="s">
        <v>11762</v>
      </c>
      <c r="D7489" t="s">
        <v>11763</v>
      </c>
      <c r="E7489" t="str">
        <f>"3950100178231"</f>
        <v>0</v>
      </c>
      <c r="F7489" t="str">
        <f>"001390"</f>
        <v>0</v>
      </c>
      <c r="G7489" t="s">
        <v>21</v>
      </c>
    </row>
    <row r="7490" spans="1:7">
      <c r="A7490">
        <v>7489</v>
      </c>
      <c r="B7490" t="str">
        <f>"019064"</f>
        <v>0</v>
      </c>
      <c r="C7490" t="s">
        <v>11764</v>
      </c>
      <c r="D7490" t="s">
        <v>11765</v>
      </c>
      <c r="E7490" t="str">
        <f>"3940200204447"</f>
        <v>0</v>
      </c>
      <c r="F7490" t="str">
        <f>"001390"</f>
        <v>0</v>
      </c>
      <c r="G7490" t="s">
        <v>21</v>
      </c>
    </row>
    <row r="7491" spans="1:7">
      <c r="A7491">
        <v>7490</v>
      </c>
      <c r="B7491" t="str">
        <f>"024086"</f>
        <v>0</v>
      </c>
      <c r="C7491" t="s">
        <v>11766</v>
      </c>
      <c r="D7491" t="s">
        <v>11767</v>
      </c>
      <c r="E7491" t="str">
        <f>"3940200243787"</f>
        <v>0</v>
      </c>
      <c r="F7491" t="str">
        <f>"001390"</f>
        <v>0</v>
      </c>
      <c r="G7491" t="s">
        <v>21</v>
      </c>
    </row>
    <row r="7492" spans="1:7">
      <c r="A7492">
        <v>7491</v>
      </c>
      <c r="B7492" t="str">
        <f>"024520"</f>
        <v>0</v>
      </c>
      <c r="C7492" t="s">
        <v>11768</v>
      </c>
      <c r="D7492" t="s">
        <v>11769</v>
      </c>
      <c r="E7492" t="str">
        <f>"3940400292986"</f>
        <v>0</v>
      </c>
      <c r="F7492" t="str">
        <f>"001390"</f>
        <v>0</v>
      </c>
      <c r="G7492" t="s">
        <v>21</v>
      </c>
    </row>
    <row r="7493" spans="1:7">
      <c r="A7493">
        <v>7492</v>
      </c>
      <c r="B7493" t="str">
        <f>"026388"</f>
        <v>0</v>
      </c>
      <c r="C7493" t="s">
        <v>11770</v>
      </c>
      <c r="D7493" t="s">
        <v>11771</v>
      </c>
      <c r="E7493" t="str">
        <f>"1940100133568"</f>
        <v>0</v>
      </c>
      <c r="F7493" t="str">
        <f>"001390"</f>
        <v>0</v>
      </c>
      <c r="G7493" t="s">
        <v>21</v>
      </c>
    </row>
    <row r="7494" spans="1:7">
      <c r="A7494">
        <v>7493</v>
      </c>
      <c r="B7494" t="str">
        <f>"026389"</f>
        <v>0</v>
      </c>
      <c r="C7494" t="s">
        <v>11772</v>
      </c>
      <c r="D7494" t="s">
        <v>11773</v>
      </c>
      <c r="E7494" t="str">
        <f>"1959900310489"</f>
        <v>0</v>
      </c>
      <c r="F7494" t="str">
        <f>"001390"</f>
        <v>0</v>
      </c>
      <c r="G7494" t="s">
        <v>21</v>
      </c>
    </row>
    <row r="7495" spans="1:7">
      <c r="A7495">
        <v>7494</v>
      </c>
      <c r="B7495" t="str">
        <f>"026519"</f>
        <v>0</v>
      </c>
      <c r="C7495" t="s">
        <v>11774</v>
      </c>
      <c r="D7495" t="s">
        <v>4148</v>
      </c>
      <c r="E7495" t="str">
        <f>"3940200125989"</f>
        <v>0</v>
      </c>
      <c r="F7495" t="str">
        <f>"001390"</f>
        <v>0</v>
      </c>
      <c r="G7495" t="s">
        <v>21</v>
      </c>
    </row>
    <row r="7496" spans="1:7">
      <c r="A7496">
        <v>7495</v>
      </c>
      <c r="B7496" t="str">
        <f>"027186"</f>
        <v>0</v>
      </c>
      <c r="C7496" t="s">
        <v>11775</v>
      </c>
      <c r="D7496" t="s">
        <v>700</v>
      </c>
      <c r="E7496" t="str">
        <f>"1959900443951"</f>
        <v>0</v>
      </c>
      <c r="F7496" t="str">
        <f>"001390"</f>
        <v>0</v>
      </c>
      <c r="G7496" t="s">
        <v>21</v>
      </c>
    </row>
    <row r="7497" spans="1:7">
      <c r="A7497">
        <v>7496</v>
      </c>
      <c r="B7497" t="str">
        <f>"008302"</f>
        <v>0</v>
      </c>
      <c r="C7497" t="s">
        <v>1804</v>
      </c>
      <c r="D7497" t="s">
        <v>11776</v>
      </c>
      <c r="E7497" t="str">
        <f>"3950400092600"</f>
        <v>0</v>
      </c>
      <c r="F7497" t="str">
        <f>"001390"</f>
        <v>0</v>
      </c>
      <c r="G7497" t="s">
        <v>21</v>
      </c>
    </row>
    <row r="7498" spans="1:7">
      <c r="A7498">
        <v>7497</v>
      </c>
      <c r="B7498" t="str">
        <f>"009212"</f>
        <v>0</v>
      </c>
      <c r="C7498" t="s">
        <v>6174</v>
      </c>
      <c r="D7498" t="s">
        <v>11777</v>
      </c>
      <c r="E7498" t="str">
        <f>"3410101902400"</f>
        <v>0</v>
      </c>
      <c r="F7498" t="str">
        <f>"001390"</f>
        <v>0</v>
      </c>
      <c r="G7498" t="s">
        <v>21</v>
      </c>
    </row>
    <row r="7499" spans="1:7">
      <c r="A7499">
        <v>7498</v>
      </c>
      <c r="B7499" t="str">
        <f>"010158"</f>
        <v>0</v>
      </c>
      <c r="C7499" t="s">
        <v>11778</v>
      </c>
      <c r="D7499" t="s">
        <v>11779</v>
      </c>
      <c r="E7499" t="str">
        <f>"3960400070177"</f>
        <v>0</v>
      </c>
      <c r="F7499" t="str">
        <f>"001390"</f>
        <v>0</v>
      </c>
      <c r="G7499" t="s">
        <v>21</v>
      </c>
    </row>
    <row r="7500" spans="1:7">
      <c r="A7500">
        <v>7499</v>
      </c>
      <c r="B7500" t="str">
        <f>"017533"</f>
        <v>0</v>
      </c>
      <c r="C7500" t="s">
        <v>11780</v>
      </c>
      <c r="D7500" t="s">
        <v>11781</v>
      </c>
      <c r="E7500" t="str">
        <f>"3950600181894"</f>
        <v>0</v>
      </c>
      <c r="F7500" t="str">
        <f>"001390"</f>
        <v>0</v>
      </c>
      <c r="G7500" t="s">
        <v>21</v>
      </c>
    </row>
    <row r="7501" spans="1:7">
      <c r="A7501">
        <v>7500</v>
      </c>
      <c r="B7501" t="str">
        <f>"017897"</f>
        <v>0</v>
      </c>
      <c r="C7501" t="s">
        <v>5488</v>
      </c>
      <c r="D7501" t="s">
        <v>11782</v>
      </c>
      <c r="E7501" t="str">
        <f>"3950100218373"</f>
        <v>0</v>
      </c>
      <c r="F7501" t="str">
        <f>"001390"</f>
        <v>0</v>
      </c>
      <c r="G7501" t="s">
        <v>21</v>
      </c>
    </row>
    <row r="7502" spans="1:7">
      <c r="A7502">
        <v>7501</v>
      </c>
      <c r="B7502" t="str">
        <f>"018992"</f>
        <v>0</v>
      </c>
      <c r="C7502" t="s">
        <v>11783</v>
      </c>
      <c r="D7502" t="s">
        <v>11784</v>
      </c>
      <c r="E7502" t="str">
        <f>"4950300001716"</f>
        <v>0</v>
      </c>
      <c r="F7502" t="str">
        <f>"001390"</f>
        <v>0</v>
      </c>
      <c r="G7502" t="s">
        <v>21</v>
      </c>
    </row>
    <row r="7503" spans="1:7">
      <c r="A7503">
        <v>7502</v>
      </c>
      <c r="B7503" t="str">
        <f>"019946"</f>
        <v>0</v>
      </c>
      <c r="C7503" t="s">
        <v>46</v>
      </c>
      <c r="D7503" t="s">
        <v>11785</v>
      </c>
      <c r="E7503" t="str">
        <f>"3809800024694"</f>
        <v>0</v>
      </c>
      <c r="F7503" t="str">
        <f>"001390"</f>
        <v>0</v>
      </c>
      <c r="G7503" t="s">
        <v>21</v>
      </c>
    </row>
    <row r="7504" spans="1:7">
      <c r="A7504">
        <v>7503</v>
      </c>
      <c r="B7504" t="str">
        <f>"020362"</f>
        <v>0</v>
      </c>
      <c r="C7504" t="s">
        <v>11786</v>
      </c>
      <c r="D7504" t="s">
        <v>11787</v>
      </c>
      <c r="E7504" t="str">
        <f>"3950100635179"</f>
        <v>0</v>
      </c>
      <c r="F7504" t="str">
        <f>"001390"</f>
        <v>0</v>
      </c>
      <c r="G7504" t="s">
        <v>21</v>
      </c>
    </row>
    <row r="7505" spans="1:7">
      <c r="A7505">
        <v>7504</v>
      </c>
      <c r="B7505" t="str">
        <f>"020477"</f>
        <v>0</v>
      </c>
      <c r="C7505" t="s">
        <v>11788</v>
      </c>
      <c r="D7505" t="s">
        <v>11789</v>
      </c>
      <c r="E7505" t="str">
        <f>"3950600170116"</f>
        <v>0</v>
      </c>
      <c r="F7505" t="str">
        <f>"001390"</f>
        <v>0</v>
      </c>
      <c r="G7505" t="s">
        <v>21</v>
      </c>
    </row>
    <row r="7506" spans="1:7">
      <c r="A7506">
        <v>7505</v>
      </c>
      <c r="B7506" t="str">
        <f>"020478"</f>
        <v>0</v>
      </c>
      <c r="C7506" t="s">
        <v>11790</v>
      </c>
      <c r="D7506" t="s">
        <v>11791</v>
      </c>
      <c r="E7506" t="str">
        <f>"3950100450624"</f>
        <v>0</v>
      </c>
      <c r="F7506" t="str">
        <f>"001390"</f>
        <v>0</v>
      </c>
      <c r="G7506" t="s">
        <v>21</v>
      </c>
    </row>
    <row r="7507" spans="1:7">
      <c r="A7507">
        <v>7506</v>
      </c>
      <c r="B7507" t="str">
        <f>"020917"</f>
        <v>0</v>
      </c>
      <c r="C7507" t="s">
        <v>11792</v>
      </c>
      <c r="D7507" t="s">
        <v>8066</v>
      </c>
      <c r="E7507" t="str">
        <f>"3950100512379"</f>
        <v>0</v>
      </c>
      <c r="F7507" t="str">
        <f>"001390"</f>
        <v>0</v>
      </c>
      <c r="G7507" t="s">
        <v>21</v>
      </c>
    </row>
    <row r="7508" spans="1:7">
      <c r="A7508">
        <v>7507</v>
      </c>
      <c r="B7508" t="str">
        <f>"021056"</f>
        <v>0</v>
      </c>
      <c r="C7508" t="s">
        <v>5340</v>
      </c>
      <c r="D7508" t="s">
        <v>11793</v>
      </c>
      <c r="E7508" t="str">
        <f>"3949900139115"</f>
        <v>0</v>
      </c>
      <c r="F7508" t="str">
        <f>"001390"</f>
        <v>0</v>
      </c>
      <c r="G7508" t="s">
        <v>21</v>
      </c>
    </row>
    <row r="7509" spans="1:7">
      <c r="A7509">
        <v>7508</v>
      </c>
      <c r="B7509" t="str">
        <f>"021069"</f>
        <v>0</v>
      </c>
      <c r="C7509" t="s">
        <v>11794</v>
      </c>
      <c r="D7509" t="s">
        <v>11795</v>
      </c>
      <c r="E7509" t="str">
        <f>"3961100266433"</f>
        <v>0</v>
      </c>
      <c r="F7509" t="str">
        <f>"001390"</f>
        <v>0</v>
      </c>
      <c r="G7509" t="s">
        <v>21</v>
      </c>
    </row>
    <row r="7510" spans="1:7">
      <c r="A7510">
        <v>7509</v>
      </c>
      <c r="B7510" t="str">
        <f>"021124"</f>
        <v>0</v>
      </c>
      <c r="C7510" t="s">
        <v>11796</v>
      </c>
      <c r="D7510" t="s">
        <v>11797</v>
      </c>
      <c r="E7510" t="str">
        <f>"3959900049621"</f>
        <v>0</v>
      </c>
      <c r="F7510" t="str">
        <f>"001390"</f>
        <v>0</v>
      </c>
      <c r="G7510" t="s">
        <v>21</v>
      </c>
    </row>
    <row r="7511" spans="1:7">
      <c r="A7511">
        <v>7510</v>
      </c>
      <c r="B7511" t="str">
        <f>"021125"</f>
        <v>0</v>
      </c>
      <c r="C7511" t="s">
        <v>11798</v>
      </c>
      <c r="D7511" t="s">
        <v>11799</v>
      </c>
      <c r="E7511" t="str">
        <f>"3960600046377"</f>
        <v>0</v>
      </c>
      <c r="F7511" t="str">
        <f>"001390"</f>
        <v>0</v>
      </c>
      <c r="G7511" t="s">
        <v>21</v>
      </c>
    </row>
    <row r="7512" spans="1:7">
      <c r="A7512">
        <v>7511</v>
      </c>
      <c r="B7512" t="str">
        <f>"021126"</f>
        <v>0</v>
      </c>
      <c r="C7512" t="s">
        <v>11800</v>
      </c>
      <c r="D7512" t="s">
        <v>11801</v>
      </c>
      <c r="E7512" t="str">
        <f>"3950100431018"</f>
        <v>0</v>
      </c>
      <c r="F7512" t="str">
        <f>"001390"</f>
        <v>0</v>
      </c>
      <c r="G7512" t="s">
        <v>21</v>
      </c>
    </row>
    <row r="7513" spans="1:7">
      <c r="A7513">
        <v>7512</v>
      </c>
      <c r="B7513" t="str">
        <f>"021259"</f>
        <v>0</v>
      </c>
      <c r="C7513" t="s">
        <v>11802</v>
      </c>
      <c r="D7513" t="s">
        <v>6363</v>
      </c>
      <c r="E7513" t="str">
        <f>"1960500009864"</f>
        <v>0</v>
      </c>
      <c r="F7513" t="str">
        <f>"001390"</f>
        <v>0</v>
      </c>
      <c r="G7513" t="s">
        <v>21</v>
      </c>
    </row>
    <row r="7514" spans="1:7">
      <c r="A7514">
        <v>7513</v>
      </c>
      <c r="B7514" t="str">
        <f>"021669"</f>
        <v>0</v>
      </c>
      <c r="C7514" t="s">
        <v>1622</v>
      </c>
      <c r="D7514" t="s">
        <v>11803</v>
      </c>
      <c r="E7514" t="str">
        <f>"3820100047847"</f>
        <v>0</v>
      </c>
      <c r="F7514" t="str">
        <f>"001390"</f>
        <v>0</v>
      </c>
      <c r="G7514" t="s">
        <v>21</v>
      </c>
    </row>
    <row r="7515" spans="1:7">
      <c r="A7515">
        <v>7514</v>
      </c>
      <c r="B7515" t="str">
        <f>"022203"</f>
        <v>0</v>
      </c>
      <c r="C7515" t="s">
        <v>11804</v>
      </c>
      <c r="D7515" t="s">
        <v>11805</v>
      </c>
      <c r="E7515" t="str">
        <f>"3900900163255"</f>
        <v>0</v>
      </c>
      <c r="F7515" t="str">
        <f>"001390"</f>
        <v>0</v>
      </c>
      <c r="G7515" t="s">
        <v>21</v>
      </c>
    </row>
    <row r="7516" spans="1:7">
      <c r="A7516">
        <v>7515</v>
      </c>
      <c r="B7516" t="str">
        <f>"022251"</f>
        <v>0</v>
      </c>
      <c r="C7516" t="s">
        <v>11806</v>
      </c>
      <c r="D7516" t="s">
        <v>11807</v>
      </c>
      <c r="E7516" t="str">
        <f>"3930500180136"</f>
        <v>0</v>
      </c>
      <c r="F7516" t="str">
        <f>"001390"</f>
        <v>0</v>
      </c>
      <c r="G7516" t="s">
        <v>21</v>
      </c>
    </row>
    <row r="7517" spans="1:7">
      <c r="A7517">
        <v>7516</v>
      </c>
      <c r="B7517" t="str">
        <f>"022454"</f>
        <v>0</v>
      </c>
      <c r="C7517" t="s">
        <v>5676</v>
      </c>
      <c r="D7517" t="s">
        <v>65</v>
      </c>
      <c r="E7517" t="str">
        <f>"3950200080551"</f>
        <v>0</v>
      </c>
      <c r="F7517" t="str">
        <f>"001390"</f>
        <v>0</v>
      </c>
      <c r="G7517" t="s">
        <v>21</v>
      </c>
    </row>
    <row r="7518" spans="1:7">
      <c r="A7518">
        <v>7517</v>
      </c>
      <c r="B7518" t="str">
        <f>"022555"</f>
        <v>0</v>
      </c>
      <c r="C7518" t="s">
        <v>11808</v>
      </c>
      <c r="D7518" t="s">
        <v>11809</v>
      </c>
      <c r="E7518" t="str">
        <f>"3950400062328"</f>
        <v>0</v>
      </c>
      <c r="F7518" t="str">
        <f>"001390"</f>
        <v>0</v>
      </c>
      <c r="G7518" t="s">
        <v>21</v>
      </c>
    </row>
    <row r="7519" spans="1:7">
      <c r="A7519">
        <v>7518</v>
      </c>
      <c r="B7519" t="str">
        <f>"024083"</f>
        <v>0</v>
      </c>
      <c r="C7519" t="s">
        <v>4857</v>
      </c>
      <c r="D7519" t="s">
        <v>11810</v>
      </c>
      <c r="E7519" t="str">
        <f>"1950600019748"</f>
        <v>0</v>
      </c>
      <c r="F7519" t="str">
        <f>"001390"</f>
        <v>0</v>
      </c>
      <c r="G7519" t="s">
        <v>21</v>
      </c>
    </row>
    <row r="7520" spans="1:7">
      <c r="A7520">
        <v>7519</v>
      </c>
      <c r="B7520" t="str">
        <f>"024085"</f>
        <v>0</v>
      </c>
      <c r="C7520" t="s">
        <v>11811</v>
      </c>
      <c r="D7520" t="s">
        <v>9354</v>
      </c>
      <c r="E7520" t="str">
        <f>"1941000012867"</f>
        <v>0</v>
      </c>
      <c r="F7520" t="str">
        <f>"001390"</f>
        <v>0</v>
      </c>
      <c r="G7520" t="s">
        <v>21</v>
      </c>
    </row>
    <row r="7521" spans="1:7">
      <c r="A7521">
        <v>7520</v>
      </c>
      <c r="B7521" t="str">
        <f>"024578"</f>
        <v>0</v>
      </c>
      <c r="C7521" t="s">
        <v>11812</v>
      </c>
      <c r="D7521" t="s">
        <v>11813</v>
      </c>
      <c r="E7521" t="str">
        <f>"3809900457177"</f>
        <v>0</v>
      </c>
      <c r="F7521" t="str">
        <f>"001390"</f>
        <v>0</v>
      </c>
      <c r="G7521" t="s">
        <v>21</v>
      </c>
    </row>
    <row r="7522" spans="1:7">
      <c r="A7522">
        <v>7521</v>
      </c>
      <c r="B7522" t="str">
        <f>"025501"</f>
        <v>0</v>
      </c>
      <c r="C7522" t="s">
        <v>11814</v>
      </c>
      <c r="D7522" t="s">
        <v>11815</v>
      </c>
      <c r="E7522" t="str">
        <f>"3950100325536"</f>
        <v>0</v>
      </c>
      <c r="F7522" t="str">
        <f>"001390"</f>
        <v>0</v>
      </c>
      <c r="G7522" t="s">
        <v>21</v>
      </c>
    </row>
    <row r="7523" spans="1:7">
      <c r="A7523">
        <v>7522</v>
      </c>
      <c r="B7523" t="str">
        <f>"025746"</f>
        <v>0</v>
      </c>
      <c r="C7523" t="s">
        <v>11816</v>
      </c>
      <c r="D7523" t="s">
        <v>11817</v>
      </c>
      <c r="E7523" t="str">
        <f>"1950500056340"</f>
        <v>0</v>
      </c>
      <c r="F7523" t="str">
        <f>"001390"</f>
        <v>0</v>
      </c>
      <c r="G7523" t="s">
        <v>21</v>
      </c>
    </row>
    <row r="7524" spans="1:7">
      <c r="A7524">
        <v>7523</v>
      </c>
      <c r="B7524" t="str">
        <f>"026190"</f>
        <v>0</v>
      </c>
      <c r="C7524" t="s">
        <v>11818</v>
      </c>
      <c r="D7524" t="s">
        <v>11819</v>
      </c>
      <c r="E7524" t="str">
        <f>"1959900222482"</f>
        <v>0</v>
      </c>
      <c r="F7524" t="str">
        <f>"001390"</f>
        <v>0</v>
      </c>
      <c r="G7524" t="s">
        <v>21</v>
      </c>
    </row>
    <row r="7525" spans="1:7">
      <c r="A7525">
        <v>7524</v>
      </c>
      <c r="B7525" t="str">
        <f>"026390"</f>
        <v>0</v>
      </c>
      <c r="C7525" t="s">
        <v>11820</v>
      </c>
      <c r="D7525" t="s">
        <v>8406</v>
      </c>
      <c r="E7525" t="str">
        <f>"1950600056830"</f>
        <v>0</v>
      </c>
      <c r="F7525" t="str">
        <f>"001390"</f>
        <v>0</v>
      </c>
      <c r="G7525" t="s">
        <v>21</v>
      </c>
    </row>
    <row r="7526" spans="1:7">
      <c r="A7526">
        <v>7525</v>
      </c>
      <c r="B7526" t="str">
        <f>"026391"</f>
        <v>0</v>
      </c>
      <c r="C7526" t="s">
        <v>9879</v>
      </c>
      <c r="D7526" t="s">
        <v>11821</v>
      </c>
      <c r="E7526" t="str">
        <f>"3910300221700"</f>
        <v>0</v>
      </c>
      <c r="F7526" t="str">
        <f>"001390"</f>
        <v>0</v>
      </c>
      <c r="G7526" t="s">
        <v>21</v>
      </c>
    </row>
    <row r="7527" spans="1:7">
      <c r="A7527">
        <v>7526</v>
      </c>
      <c r="B7527" t="str">
        <f>"027001"</f>
        <v>0</v>
      </c>
      <c r="C7527" t="s">
        <v>11822</v>
      </c>
      <c r="D7527" t="s">
        <v>11823</v>
      </c>
      <c r="E7527" t="str">
        <f>"3960200133850"</f>
        <v>0</v>
      </c>
      <c r="F7527" t="str">
        <f>"001390"</f>
        <v>0</v>
      </c>
      <c r="G7527" t="s">
        <v>21</v>
      </c>
    </row>
    <row r="7528" spans="1:7">
      <c r="A7528">
        <v>7527</v>
      </c>
      <c r="B7528" t="str">
        <f>"024088"</f>
        <v>0</v>
      </c>
      <c r="C7528" t="s">
        <v>11824</v>
      </c>
      <c r="D7528" t="s">
        <v>11825</v>
      </c>
      <c r="E7528" t="str">
        <f>"3941000319454"</f>
        <v>0</v>
      </c>
      <c r="F7528" t="str">
        <f>"001390"</f>
        <v>0</v>
      </c>
      <c r="G7528" t="s">
        <v>21</v>
      </c>
    </row>
    <row r="7529" spans="1:7">
      <c r="A7529">
        <v>7528</v>
      </c>
      <c r="B7529" t="str">
        <f>"026478"</f>
        <v>0</v>
      </c>
      <c r="C7529" t="s">
        <v>11826</v>
      </c>
      <c r="D7529" t="s">
        <v>11827</v>
      </c>
      <c r="E7529" t="str">
        <f>"1940500042381"</f>
        <v>0</v>
      </c>
      <c r="F7529" t="str">
        <f>"001390"</f>
        <v>0</v>
      </c>
      <c r="G7529" t="s">
        <v>21</v>
      </c>
    </row>
    <row r="7530" spans="1:7">
      <c r="A7530">
        <v>7529</v>
      </c>
      <c r="B7530" t="str">
        <f>"018413"</f>
        <v>0</v>
      </c>
      <c r="C7530" t="s">
        <v>11828</v>
      </c>
      <c r="D7530" t="s">
        <v>11829</v>
      </c>
      <c r="E7530" t="str">
        <f>"3919900139042"</f>
        <v>0</v>
      </c>
      <c r="F7530" t="str">
        <f>"001390"</f>
        <v>0</v>
      </c>
      <c r="G7530" t="s">
        <v>21</v>
      </c>
    </row>
    <row r="7531" spans="1:7">
      <c r="A7531">
        <v>7530</v>
      </c>
      <c r="B7531" t="str">
        <f>"018653"</f>
        <v>0</v>
      </c>
      <c r="C7531" t="s">
        <v>11830</v>
      </c>
      <c r="D7531" t="s">
        <v>8393</v>
      </c>
      <c r="E7531" t="str">
        <f>"3950100117101"</f>
        <v>0</v>
      </c>
      <c r="F7531" t="str">
        <f>"001390"</f>
        <v>0</v>
      </c>
      <c r="G7531" t="s">
        <v>21</v>
      </c>
    </row>
    <row r="7532" spans="1:7">
      <c r="A7532">
        <v>7531</v>
      </c>
      <c r="B7532" t="str">
        <f>"018851"</f>
        <v>0</v>
      </c>
      <c r="C7532" t="s">
        <v>11831</v>
      </c>
      <c r="D7532" t="s">
        <v>11832</v>
      </c>
      <c r="E7532" t="str">
        <f>"3950100151236"</f>
        <v>0</v>
      </c>
      <c r="F7532" t="str">
        <f>"001390"</f>
        <v>0</v>
      </c>
      <c r="G7532" t="s">
        <v>21</v>
      </c>
    </row>
    <row r="7533" spans="1:7">
      <c r="A7533">
        <v>7532</v>
      </c>
      <c r="B7533" t="str">
        <f>"021007"</f>
        <v>0</v>
      </c>
      <c r="C7533" t="s">
        <v>11833</v>
      </c>
      <c r="D7533" t="s">
        <v>11834</v>
      </c>
      <c r="E7533" t="str">
        <f>"3960100308895"</f>
        <v>0</v>
      </c>
      <c r="F7533" t="str">
        <f>"001390"</f>
        <v>0</v>
      </c>
      <c r="G7533" t="s">
        <v>21</v>
      </c>
    </row>
    <row r="7534" spans="1:7">
      <c r="A7534">
        <v>7533</v>
      </c>
      <c r="B7534" t="str">
        <f>"003004"</f>
        <v>0</v>
      </c>
      <c r="C7534" t="s">
        <v>90</v>
      </c>
      <c r="D7534" t="s">
        <v>11835</v>
      </c>
      <c r="E7534" t="str">
        <f>"3311000274634"</f>
        <v>0</v>
      </c>
      <c r="F7534" t="str">
        <f>"001420"</f>
        <v>0</v>
      </c>
      <c r="G7534" t="s">
        <v>21</v>
      </c>
    </row>
    <row r="7535" spans="1:7">
      <c r="A7535">
        <v>7534</v>
      </c>
      <c r="B7535" t="str">
        <f>"004102"</f>
        <v>0</v>
      </c>
      <c r="C7535" t="s">
        <v>3957</v>
      </c>
      <c r="D7535" t="s">
        <v>11836</v>
      </c>
      <c r="E7535" t="str">
        <f>"3350400660026"</f>
        <v>0</v>
      </c>
      <c r="F7535" t="str">
        <f>"001420"</f>
        <v>0</v>
      </c>
      <c r="G7535" t="s">
        <v>21</v>
      </c>
    </row>
    <row r="7536" spans="1:7">
      <c r="A7536">
        <v>7535</v>
      </c>
      <c r="B7536" t="str">
        <f>"004103"</f>
        <v>0</v>
      </c>
      <c r="C7536" t="s">
        <v>11837</v>
      </c>
      <c r="D7536" t="s">
        <v>11838</v>
      </c>
      <c r="E7536" t="str">
        <f>"3350600020624"</f>
        <v>0</v>
      </c>
      <c r="F7536" t="str">
        <f>"001420"</f>
        <v>0</v>
      </c>
      <c r="G7536" t="s">
        <v>21</v>
      </c>
    </row>
    <row r="7537" spans="1:7">
      <c r="A7537">
        <v>7536</v>
      </c>
      <c r="B7537" t="str">
        <f>"005154"</f>
        <v>0</v>
      </c>
      <c r="C7537" t="s">
        <v>7614</v>
      </c>
      <c r="D7537" t="s">
        <v>2781</v>
      </c>
      <c r="E7537" t="str">
        <f>"3350400642770"</f>
        <v>0</v>
      </c>
      <c r="F7537" t="str">
        <f>"001420"</f>
        <v>0</v>
      </c>
      <c r="G7537" t="s">
        <v>21</v>
      </c>
    </row>
    <row r="7538" spans="1:7">
      <c r="A7538">
        <v>7537</v>
      </c>
      <c r="B7538" t="str">
        <f>"005978"</f>
        <v>0</v>
      </c>
      <c r="C7538" t="s">
        <v>11839</v>
      </c>
      <c r="D7538" t="s">
        <v>11840</v>
      </c>
      <c r="E7538" t="str">
        <f>"5350500002191"</f>
        <v>0</v>
      </c>
      <c r="F7538" t="str">
        <f>"001420"</f>
        <v>0</v>
      </c>
      <c r="G7538" t="s">
        <v>21</v>
      </c>
    </row>
    <row r="7539" spans="1:7">
      <c r="A7539">
        <v>7538</v>
      </c>
      <c r="B7539" t="str">
        <f>"007415"</f>
        <v>0</v>
      </c>
      <c r="C7539" t="s">
        <v>694</v>
      </c>
      <c r="D7539" t="s">
        <v>1556</v>
      </c>
      <c r="E7539" t="str">
        <f>"3350600518088"</f>
        <v>0</v>
      </c>
      <c r="F7539" t="str">
        <f>"001420"</f>
        <v>0</v>
      </c>
      <c r="G7539" t="s">
        <v>21</v>
      </c>
    </row>
    <row r="7540" spans="1:7">
      <c r="A7540">
        <v>7539</v>
      </c>
      <c r="B7540" t="str">
        <f>"009002"</f>
        <v>0</v>
      </c>
      <c r="C7540" t="s">
        <v>9966</v>
      </c>
      <c r="D7540" t="s">
        <v>6331</v>
      </c>
      <c r="E7540" t="str">
        <f>"3350300361183"</f>
        <v>0</v>
      </c>
      <c r="F7540" t="str">
        <f>"001420"</f>
        <v>0</v>
      </c>
      <c r="G7540" t="s">
        <v>21</v>
      </c>
    </row>
    <row r="7541" spans="1:7">
      <c r="A7541">
        <v>7540</v>
      </c>
      <c r="B7541" t="str">
        <f>"009325"</f>
        <v>0</v>
      </c>
      <c r="C7541" t="s">
        <v>11841</v>
      </c>
      <c r="D7541" t="s">
        <v>11842</v>
      </c>
      <c r="E7541" t="str">
        <f>"3340100511718"</f>
        <v>0</v>
      </c>
      <c r="F7541" t="str">
        <f>"001420"</f>
        <v>0</v>
      </c>
      <c r="G7541" t="s">
        <v>21</v>
      </c>
    </row>
    <row r="7542" spans="1:7">
      <c r="A7542">
        <v>7541</v>
      </c>
      <c r="B7542" t="str">
        <f>"009779"</f>
        <v>0</v>
      </c>
      <c r="C7542" t="s">
        <v>11843</v>
      </c>
      <c r="D7542" t="s">
        <v>11844</v>
      </c>
      <c r="E7542" t="str">
        <f>"3400900736551"</f>
        <v>0</v>
      </c>
      <c r="F7542" t="str">
        <f>"001420"</f>
        <v>0</v>
      </c>
      <c r="G7542" t="s">
        <v>21</v>
      </c>
    </row>
    <row r="7543" spans="1:7">
      <c r="A7543">
        <v>7542</v>
      </c>
      <c r="B7543" t="str">
        <f>"010035"</f>
        <v>0</v>
      </c>
      <c r="C7543" t="s">
        <v>36</v>
      </c>
      <c r="D7543" t="s">
        <v>11842</v>
      </c>
      <c r="E7543" t="str">
        <f>"3349900709294"</f>
        <v>0</v>
      </c>
      <c r="F7543" t="str">
        <f>"001420"</f>
        <v>0</v>
      </c>
      <c r="G7543" t="s">
        <v>21</v>
      </c>
    </row>
    <row r="7544" spans="1:7">
      <c r="A7544">
        <v>7543</v>
      </c>
      <c r="B7544" t="str">
        <f>"010122"</f>
        <v>0</v>
      </c>
      <c r="C7544" t="s">
        <v>344</v>
      </c>
      <c r="D7544" t="s">
        <v>2609</v>
      </c>
      <c r="E7544" t="str">
        <f>"3350600519777"</f>
        <v>0</v>
      </c>
      <c r="F7544" t="str">
        <f>"001420"</f>
        <v>0</v>
      </c>
      <c r="G7544" t="s">
        <v>21</v>
      </c>
    </row>
    <row r="7545" spans="1:7">
      <c r="A7545">
        <v>7544</v>
      </c>
      <c r="B7545" t="str">
        <f>"010675"</f>
        <v>0</v>
      </c>
      <c r="C7545" t="s">
        <v>11845</v>
      </c>
      <c r="D7545" t="s">
        <v>11846</v>
      </c>
      <c r="E7545" t="str">
        <f>"3510100997406"</f>
        <v>0</v>
      </c>
      <c r="F7545" t="str">
        <f>"001420"</f>
        <v>0</v>
      </c>
      <c r="G7545" t="s">
        <v>21</v>
      </c>
    </row>
    <row r="7546" spans="1:7">
      <c r="A7546">
        <v>7545</v>
      </c>
      <c r="B7546" t="str">
        <f>"010844"</f>
        <v>0</v>
      </c>
      <c r="C7546" t="s">
        <v>1001</v>
      </c>
      <c r="D7546" t="s">
        <v>11847</v>
      </c>
      <c r="E7546" t="str">
        <f>"3440300274506"</f>
        <v>0</v>
      </c>
      <c r="F7546" t="str">
        <f>"001420"</f>
        <v>0</v>
      </c>
      <c r="G7546" t="s">
        <v>21</v>
      </c>
    </row>
    <row r="7547" spans="1:7">
      <c r="A7547">
        <v>7546</v>
      </c>
      <c r="B7547" t="str">
        <f>"011588"</f>
        <v>0</v>
      </c>
      <c r="C7547" t="s">
        <v>11848</v>
      </c>
      <c r="D7547" t="s">
        <v>11849</v>
      </c>
      <c r="E7547" t="str">
        <f>"3330200205228"</f>
        <v>0</v>
      </c>
      <c r="F7547" t="str">
        <f>"001420"</f>
        <v>0</v>
      </c>
      <c r="G7547" t="s">
        <v>21</v>
      </c>
    </row>
    <row r="7548" spans="1:7">
      <c r="A7548">
        <v>7547</v>
      </c>
      <c r="B7548" t="str">
        <f>"011991"</f>
        <v>0</v>
      </c>
      <c r="C7548" t="s">
        <v>5870</v>
      </c>
      <c r="D7548" t="s">
        <v>11850</v>
      </c>
      <c r="E7548" t="str">
        <f>"5350290000881"</f>
        <v>0</v>
      </c>
      <c r="F7548" t="str">
        <f>"001420"</f>
        <v>0</v>
      </c>
      <c r="G7548" t="s">
        <v>21</v>
      </c>
    </row>
    <row r="7549" spans="1:7">
      <c r="A7549">
        <v>7548</v>
      </c>
      <c r="B7549" t="str">
        <f>"011993"</f>
        <v>0</v>
      </c>
      <c r="C7549" t="s">
        <v>11851</v>
      </c>
      <c r="D7549" t="s">
        <v>11852</v>
      </c>
      <c r="E7549" t="str">
        <f>"3350200066911"</f>
        <v>0</v>
      </c>
      <c r="F7549" t="str">
        <f>"001420"</f>
        <v>0</v>
      </c>
      <c r="G7549" t="s">
        <v>21</v>
      </c>
    </row>
    <row r="7550" spans="1:7">
      <c r="A7550">
        <v>7549</v>
      </c>
      <c r="B7550" t="str">
        <f>"014903"</f>
        <v>0</v>
      </c>
      <c r="C7550" t="s">
        <v>7196</v>
      </c>
      <c r="D7550" t="s">
        <v>11853</v>
      </c>
      <c r="E7550" t="str">
        <f>"3350800277670"</f>
        <v>0</v>
      </c>
      <c r="F7550" t="str">
        <f>"001420"</f>
        <v>0</v>
      </c>
      <c r="G7550" t="s">
        <v>21</v>
      </c>
    </row>
    <row r="7551" spans="1:7">
      <c r="A7551">
        <v>7550</v>
      </c>
      <c r="B7551" t="str">
        <f>"015772"</f>
        <v>0</v>
      </c>
      <c r="C7551" t="s">
        <v>2463</v>
      </c>
      <c r="D7551" t="s">
        <v>11854</v>
      </c>
      <c r="E7551" t="str">
        <f>"3350100354949"</f>
        <v>0</v>
      </c>
      <c r="F7551" t="str">
        <f>"001420"</f>
        <v>0</v>
      </c>
      <c r="G7551" t="s">
        <v>21</v>
      </c>
    </row>
    <row r="7552" spans="1:7">
      <c r="A7552">
        <v>7551</v>
      </c>
      <c r="B7552" t="str">
        <f>"016779"</f>
        <v>0</v>
      </c>
      <c r="C7552" t="s">
        <v>1649</v>
      </c>
      <c r="D7552" t="s">
        <v>11855</v>
      </c>
      <c r="E7552" t="str">
        <f>"3350600021990"</f>
        <v>0</v>
      </c>
      <c r="F7552" t="str">
        <f>"001420"</f>
        <v>0</v>
      </c>
      <c r="G7552" t="s">
        <v>21</v>
      </c>
    </row>
    <row r="7553" spans="1:7">
      <c r="A7553">
        <v>7552</v>
      </c>
      <c r="B7553" t="str">
        <f>"023282"</f>
        <v>0</v>
      </c>
      <c r="C7553" t="s">
        <v>11856</v>
      </c>
      <c r="D7553" t="s">
        <v>11857</v>
      </c>
      <c r="E7553" t="str">
        <f>"3359900071524"</f>
        <v>0</v>
      </c>
      <c r="F7553" t="str">
        <f>"001420"</f>
        <v>0</v>
      </c>
      <c r="G7553" t="s">
        <v>21</v>
      </c>
    </row>
    <row r="7554" spans="1:7">
      <c r="A7554">
        <v>7553</v>
      </c>
      <c r="B7554" t="str">
        <f>"027299"</f>
        <v>0</v>
      </c>
      <c r="C7554" t="s">
        <v>11858</v>
      </c>
      <c r="D7554" t="s">
        <v>2609</v>
      </c>
      <c r="E7554" t="str">
        <f>"3350600519742"</f>
        <v>0</v>
      </c>
      <c r="F7554" t="str">
        <f>"001420"</f>
        <v>0</v>
      </c>
      <c r="G7554" t="s">
        <v>21</v>
      </c>
    </row>
    <row r="7555" spans="1:7">
      <c r="A7555">
        <v>7554</v>
      </c>
      <c r="B7555" t="str">
        <f>"007775"</f>
        <v>0</v>
      </c>
      <c r="C7555" t="s">
        <v>520</v>
      </c>
      <c r="D7555" t="s">
        <v>11859</v>
      </c>
      <c r="E7555" t="str">
        <f>"3350200076568"</f>
        <v>0</v>
      </c>
      <c r="F7555" t="str">
        <f>"001420"</f>
        <v>0</v>
      </c>
      <c r="G7555" t="s">
        <v>21</v>
      </c>
    </row>
    <row r="7556" spans="1:7">
      <c r="A7556">
        <v>7555</v>
      </c>
      <c r="B7556" t="str">
        <f>"009128"</f>
        <v>0</v>
      </c>
      <c r="C7556" t="s">
        <v>11860</v>
      </c>
      <c r="D7556" t="s">
        <v>11861</v>
      </c>
      <c r="E7556" t="str">
        <f>"3341000097449"</f>
        <v>0</v>
      </c>
      <c r="F7556" t="str">
        <f>"001420"</f>
        <v>0</v>
      </c>
      <c r="G7556" t="s">
        <v>21</v>
      </c>
    </row>
    <row r="7557" spans="1:7">
      <c r="A7557">
        <v>7556</v>
      </c>
      <c r="B7557" t="str">
        <f>"010203"</f>
        <v>0</v>
      </c>
      <c r="C7557" t="s">
        <v>1792</v>
      </c>
      <c r="D7557" t="s">
        <v>11862</v>
      </c>
      <c r="E7557" t="str">
        <f>"3350700015100"</f>
        <v>0</v>
      </c>
      <c r="F7557" t="str">
        <f>"001420"</f>
        <v>0</v>
      </c>
      <c r="G7557" t="s">
        <v>21</v>
      </c>
    </row>
    <row r="7558" spans="1:7">
      <c r="A7558">
        <v>7557</v>
      </c>
      <c r="B7558" t="str">
        <f>"011994"</f>
        <v>0</v>
      </c>
      <c r="C7558" t="s">
        <v>7305</v>
      </c>
      <c r="D7558" t="s">
        <v>11863</v>
      </c>
      <c r="E7558" t="str">
        <f>"3350200065124"</f>
        <v>0</v>
      </c>
      <c r="F7558" t="str">
        <f>"001420"</f>
        <v>0</v>
      </c>
      <c r="G7558" t="s">
        <v>21</v>
      </c>
    </row>
    <row r="7559" spans="1:7">
      <c r="A7559">
        <v>7558</v>
      </c>
      <c r="B7559" t="str">
        <f>"014196"</f>
        <v>0</v>
      </c>
      <c r="C7559" t="s">
        <v>878</v>
      </c>
      <c r="D7559" t="s">
        <v>11864</v>
      </c>
      <c r="E7559" t="str">
        <f>"3350100018442"</f>
        <v>0</v>
      </c>
      <c r="F7559" t="str">
        <f>"001420"</f>
        <v>0</v>
      </c>
      <c r="G7559" t="s">
        <v>21</v>
      </c>
    </row>
    <row r="7560" spans="1:7">
      <c r="A7560">
        <v>7559</v>
      </c>
      <c r="B7560" t="str">
        <f>"015087"</f>
        <v>0</v>
      </c>
      <c r="C7560" t="s">
        <v>11865</v>
      </c>
      <c r="D7560" t="s">
        <v>11866</v>
      </c>
      <c r="E7560" t="str">
        <f>"3350800083832"</f>
        <v>0</v>
      </c>
      <c r="F7560" t="str">
        <f>"001420"</f>
        <v>0</v>
      </c>
      <c r="G7560" t="s">
        <v>21</v>
      </c>
    </row>
    <row r="7561" spans="1:7">
      <c r="A7561">
        <v>7560</v>
      </c>
      <c r="B7561" t="str">
        <f>"025404"</f>
        <v>0</v>
      </c>
      <c r="C7561" t="s">
        <v>11867</v>
      </c>
      <c r="D7561" t="s">
        <v>11868</v>
      </c>
      <c r="E7561" t="str">
        <f>"1340400113134"</f>
        <v>0</v>
      </c>
      <c r="F7561" t="str">
        <f>"001420"</f>
        <v>0</v>
      </c>
      <c r="G7561" t="s">
        <v>21</v>
      </c>
    </row>
    <row r="7562" spans="1:7">
      <c r="A7562">
        <v>7561</v>
      </c>
      <c r="B7562" t="str">
        <f>"025135"</f>
        <v>0</v>
      </c>
      <c r="C7562" t="s">
        <v>3012</v>
      </c>
      <c r="D7562" t="s">
        <v>11869</v>
      </c>
      <c r="E7562" t="str">
        <f>"3451300129531"</f>
        <v>0</v>
      </c>
      <c r="F7562" t="str">
        <f>"001420"</f>
        <v>0</v>
      </c>
      <c r="G7562" t="s">
        <v>21</v>
      </c>
    </row>
    <row r="7563" spans="1:7">
      <c r="A7563">
        <v>7562</v>
      </c>
      <c r="B7563" t="str">
        <f>"016782"</f>
        <v>0</v>
      </c>
      <c r="C7563" t="s">
        <v>11870</v>
      </c>
      <c r="D7563" t="s">
        <v>11871</v>
      </c>
      <c r="E7563" t="str">
        <f>"3190200126664"</f>
        <v>0</v>
      </c>
      <c r="F7563" t="str">
        <f>"001420"</f>
        <v>0</v>
      </c>
      <c r="G7563" t="s">
        <v>21</v>
      </c>
    </row>
    <row r="7564" spans="1:7">
      <c r="A7564">
        <v>7563</v>
      </c>
      <c r="B7564" t="str">
        <f>"017669"</f>
        <v>0</v>
      </c>
      <c r="C7564" t="s">
        <v>11872</v>
      </c>
      <c r="D7564" t="s">
        <v>11873</v>
      </c>
      <c r="E7564" t="str">
        <f>"3349800096533"</f>
        <v>0</v>
      </c>
      <c r="F7564" t="str">
        <f>"001420"</f>
        <v>0</v>
      </c>
      <c r="G7564" t="s">
        <v>21</v>
      </c>
    </row>
    <row r="7565" spans="1:7">
      <c r="A7565">
        <v>7564</v>
      </c>
      <c r="B7565" t="str">
        <f>"023745"</f>
        <v>0</v>
      </c>
      <c r="C7565" t="s">
        <v>11874</v>
      </c>
      <c r="D7565" t="s">
        <v>11875</v>
      </c>
      <c r="E7565" t="str">
        <f>"3350100135139"</f>
        <v>0</v>
      </c>
      <c r="F7565" t="str">
        <f>"001420"</f>
        <v>0</v>
      </c>
      <c r="G7565" t="s">
        <v>21</v>
      </c>
    </row>
    <row r="7566" spans="1:7">
      <c r="A7566">
        <v>7565</v>
      </c>
      <c r="B7566" t="str">
        <f>"024428"</f>
        <v>0</v>
      </c>
      <c r="C7566" t="s">
        <v>10450</v>
      </c>
      <c r="D7566" t="s">
        <v>11876</v>
      </c>
      <c r="E7566" t="str">
        <f>"1330400183876"</f>
        <v>0</v>
      </c>
      <c r="F7566" t="str">
        <f>"001420"</f>
        <v>0</v>
      </c>
      <c r="G7566" t="s">
        <v>21</v>
      </c>
    </row>
    <row r="7567" spans="1:7">
      <c r="A7567">
        <v>7566</v>
      </c>
      <c r="B7567" t="str">
        <f>"025559"</f>
        <v>0</v>
      </c>
      <c r="C7567" t="s">
        <v>11877</v>
      </c>
      <c r="D7567" t="s">
        <v>11878</v>
      </c>
      <c r="E7567" t="str">
        <f>"3331000364153"</f>
        <v>0</v>
      </c>
      <c r="F7567" t="str">
        <f>"001420"</f>
        <v>0</v>
      </c>
      <c r="G7567" t="s">
        <v>21</v>
      </c>
    </row>
    <row r="7568" spans="1:7">
      <c r="A7568">
        <v>7567</v>
      </c>
      <c r="B7568" t="str">
        <f>"018994"</f>
        <v>0</v>
      </c>
      <c r="C7568" t="s">
        <v>3253</v>
      </c>
      <c r="D7568" t="s">
        <v>11879</v>
      </c>
      <c r="E7568" t="str">
        <f>"3340100811738"</f>
        <v>0</v>
      </c>
      <c r="F7568" t="str">
        <f>"001420"</f>
        <v>0</v>
      </c>
      <c r="G7568" t="s">
        <v>21</v>
      </c>
    </row>
    <row r="7569" spans="1:7">
      <c r="A7569">
        <v>7568</v>
      </c>
      <c r="B7569" t="str">
        <f>"019423"</f>
        <v>0</v>
      </c>
      <c r="C7569" t="s">
        <v>6206</v>
      </c>
      <c r="D7569" t="s">
        <v>11880</v>
      </c>
      <c r="E7569" t="str">
        <f>"3350400243425"</f>
        <v>0</v>
      </c>
      <c r="F7569" t="str">
        <f>"001420"</f>
        <v>0</v>
      </c>
      <c r="G7569" t="s">
        <v>21</v>
      </c>
    </row>
    <row r="7570" spans="1:7">
      <c r="A7570">
        <v>7569</v>
      </c>
      <c r="B7570" t="str">
        <f>"020920"</f>
        <v>0</v>
      </c>
      <c r="C7570" t="s">
        <v>62</v>
      </c>
      <c r="D7570" t="s">
        <v>11881</v>
      </c>
      <c r="E7570" t="str">
        <f>"3350100687450"</f>
        <v>0</v>
      </c>
      <c r="F7570" t="str">
        <f>"001420"</f>
        <v>0</v>
      </c>
      <c r="G7570" t="s">
        <v>21</v>
      </c>
    </row>
    <row r="7571" spans="1:7">
      <c r="A7571">
        <v>7570</v>
      </c>
      <c r="B7571" t="str">
        <f>"023870"</f>
        <v>0</v>
      </c>
      <c r="C7571" t="s">
        <v>11882</v>
      </c>
      <c r="D7571" t="s">
        <v>11883</v>
      </c>
      <c r="E7571" t="str">
        <f>"1349900055107"</f>
        <v>0</v>
      </c>
      <c r="F7571" t="str">
        <f>"001420"</f>
        <v>0</v>
      </c>
      <c r="G7571" t="s">
        <v>21</v>
      </c>
    </row>
    <row r="7572" spans="1:7">
      <c r="A7572">
        <v>7571</v>
      </c>
      <c r="B7572" t="str">
        <f>"026027"</f>
        <v>0</v>
      </c>
      <c r="C7572" t="s">
        <v>11884</v>
      </c>
      <c r="D7572" t="s">
        <v>11885</v>
      </c>
      <c r="E7572" t="str">
        <f>"1341500027273"</f>
        <v>0</v>
      </c>
      <c r="F7572" t="str">
        <f>"001420"</f>
        <v>0</v>
      </c>
      <c r="G7572" t="s">
        <v>21</v>
      </c>
    </row>
    <row r="7573" spans="1:7">
      <c r="A7573">
        <v>7572</v>
      </c>
      <c r="B7573" t="str">
        <f>"006649"</f>
        <v>0</v>
      </c>
      <c r="C7573" t="s">
        <v>11886</v>
      </c>
      <c r="D7573" t="s">
        <v>11887</v>
      </c>
      <c r="E7573" t="str">
        <f>"3490500178411"</f>
        <v>0</v>
      </c>
      <c r="F7573" t="str">
        <f>"001420"</f>
        <v>0</v>
      </c>
      <c r="G7573" t="s">
        <v>21</v>
      </c>
    </row>
    <row r="7574" spans="1:7">
      <c r="A7574">
        <v>7573</v>
      </c>
      <c r="B7574" t="str">
        <f>"008008"</f>
        <v>0</v>
      </c>
      <c r="C7574" t="s">
        <v>11888</v>
      </c>
      <c r="D7574" t="s">
        <v>2047</v>
      </c>
      <c r="E7574" t="str">
        <f>"3350300369885"</f>
        <v>0</v>
      </c>
      <c r="F7574" t="str">
        <f>"001420"</f>
        <v>0</v>
      </c>
      <c r="G7574" t="s">
        <v>21</v>
      </c>
    </row>
    <row r="7575" spans="1:7">
      <c r="A7575">
        <v>7574</v>
      </c>
      <c r="B7575" t="str">
        <f>"011338"</f>
        <v>0</v>
      </c>
      <c r="C7575" t="s">
        <v>2573</v>
      </c>
      <c r="D7575" t="s">
        <v>11889</v>
      </c>
      <c r="E7575" t="str">
        <f>"3470300312335"</f>
        <v>0</v>
      </c>
      <c r="F7575" t="str">
        <f>"001420"</f>
        <v>0</v>
      </c>
      <c r="G7575" t="s">
        <v>21</v>
      </c>
    </row>
    <row r="7576" spans="1:7">
      <c r="A7576">
        <v>7575</v>
      </c>
      <c r="B7576" t="str">
        <f>"011664"</f>
        <v>0</v>
      </c>
      <c r="C7576" t="s">
        <v>409</v>
      </c>
      <c r="D7576" t="s">
        <v>11890</v>
      </c>
      <c r="E7576" t="str">
        <f>"3450200789679"</f>
        <v>0</v>
      </c>
      <c r="F7576" t="str">
        <f>"001420"</f>
        <v>0</v>
      </c>
      <c r="G7576" t="s">
        <v>21</v>
      </c>
    </row>
    <row r="7577" spans="1:7">
      <c r="A7577">
        <v>7576</v>
      </c>
      <c r="B7577" t="str">
        <f>"012514"</f>
        <v>0</v>
      </c>
      <c r="C7577" t="s">
        <v>5403</v>
      </c>
      <c r="D7577" t="s">
        <v>11891</v>
      </c>
      <c r="E7577" t="str">
        <f>"3350800322314"</f>
        <v>0</v>
      </c>
      <c r="F7577" t="str">
        <f>"001420"</f>
        <v>0</v>
      </c>
      <c r="G7577" t="s">
        <v>21</v>
      </c>
    </row>
    <row r="7578" spans="1:7">
      <c r="A7578">
        <v>7577</v>
      </c>
      <c r="B7578" t="str">
        <f>"013324"</f>
        <v>0</v>
      </c>
      <c r="C7578" t="s">
        <v>11892</v>
      </c>
      <c r="D7578" t="s">
        <v>11893</v>
      </c>
      <c r="E7578" t="str">
        <f>"4760300001360"</f>
        <v>0</v>
      </c>
      <c r="F7578" t="str">
        <f>"001420"</f>
        <v>0</v>
      </c>
      <c r="G7578" t="s">
        <v>21</v>
      </c>
    </row>
    <row r="7579" spans="1:7">
      <c r="A7579">
        <v>7578</v>
      </c>
      <c r="B7579" t="str">
        <f>"013980"</f>
        <v>0</v>
      </c>
      <c r="C7579" t="s">
        <v>3990</v>
      </c>
      <c r="D7579" t="s">
        <v>11894</v>
      </c>
      <c r="E7579" t="str">
        <f>"3450101448598"</f>
        <v>0</v>
      </c>
      <c r="F7579" t="str">
        <f>"001420"</f>
        <v>0</v>
      </c>
      <c r="G7579" t="s">
        <v>21</v>
      </c>
    </row>
    <row r="7580" spans="1:7">
      <c r="A7580">
        <v>7579</v>
      </c>
      <c r="B7580" t="str">
        <f>"014902"</f>
        <v>0</v>
      </c>
      <c r="C7580" t="s">
        <v>2320</v>
      </c>
      <c r="D7580" t="s">
        <v>11895</v>
      </c>
      <c r="E7580" t="str">
        <f>"3451200053207"</f>
        <v>0</v>
      </c>
      <c r="F7580" t="str">
        <f>"001420"</f>
        <v>0</v>
      </c>
      <c r="G7580" t="s">
        <v>21</v>
      </c>
    </row>
    <row r="7581" spans="1:7">
      <c r="A7581">
        <v>7580</v>
      </c>
      <c r="B7581" t="str">
        <f>"014904"</f>
        <v>0</v>
      </c>
      <c r="C7581" t="s">
        <v>1021</v>
      </c>
      <c r="D7581" t="s">
        <v>11896</v>
      </c>
      <c r="E7581" t="str">
        <f>"3350400574189"</f>
        <v>0</v>
      </c>
      <c r="F7581" t="str">
        <f>"001420"</f>
        <v>0</v>
      </c>
      <c r="G7581" t="s">
        <v>21</v>
      </c>
    </row>
    <row r="7582" spans="1:7">
      <c r="A7582">
        <v>7581</v>
      </c>
      <c r="B7582" t="str">
        <f>"015088"</f>
        <v>0</v>
      </c>
      <c r="C7582" t="s">
        <v>11897</v>
      </c>
      <c r="D7582" t="s">
        <v>3238</v>
      </c>
      <c r="E7582" t="str">
        <f>"3520500194718"</f>
        <v>0</v>
      </c>
      <c r="F7582" t="str">
        <f>"001420"</f>
        <v>0</v>
      </c>
      <c r="G7582" t="s">
        <v>21</v>
      </c>
    </row>
    <row r="7583" spans="1:7">
      <c r="A7583">
        <v>7582</v>
      </c>
      <c r="B7583" t="str">
        <f>"015774"</f>
        <v>0</v>
      </c>
      <c r="C7583" t="s">
        <v>1926</v>
      </c>
      <c r="D7583" t="s">
        <v>11898</v>
      </c>
      <c r="E7583" t="str">
        <f>"3350100166808"</f>
        <v>0</v>
      </c>
      <c r="F7583" t="str">
        <f>"001420"</f>
        <v>0</v>
      </c>
      <c r="G7583" t="s">
        <v>21</v>
      </c>
    </row>
    <row r="7584" spans="1:7">
      <c r="A7584">
        <v>7583</v>
      </c>
      <c r="B7584" t="str">
        <f>"015973"</f>
        <v>0</v>
      </c>
      <c r="C7584" t="s">
        <v>11899</v>
      </c>
      <c r="D7584" t="s">
        <v>11900</v>
      </c>
      <c r="E7584" t="str">
        <f>"3210300059682"</f>
        <v>0</v>
      </c>
      <c r="F7584" t="str">
        <f>"001420"</f>
        <v>0</v>
      </c>
      <c r="G7584" t="s">
        <v>21</v>
      </c>
    </row>
    <row r="7585" spans="1:7">
      <c r="A7585">
        <v>7584</v>
      </c>
      <c r="B7585" t="str">
        <f>"016593"</f>
        <v>0</v>
      </c>
      <c r="C7585" t="s">
        <v>8431</v>
      </c>
      <c r="D7585" t="s">
        <v>11901</v>
      </c>
      <c r="E7585" t="str">
        <f>"3359900018607"</f>
        <v>0</v>
      </c>
      <c r="F7585" t="str">
        <f>"001420"</f>
        <v>0</v>
      </c>
      <c r="G7585" t="s">
        <v>21</v>
      </c>
    </row>
    <row r="7586" spans="1:7">
      <c r="A7586">
        <v>7585</v>
      </c>
      <c r="B7586" t="str">
        <f>"016701"</f>
        <v>0</v>
      </c>
      <c r="C7586" t="s">
        <v>3522</v>
      </c>
      <c r="D7586" t="s">
        <v>11902</v>
      </c>
      <c r="E7586" t="str">
        <f>"3350600029079"</f>
        <v>0</v>
      </c>
      <c r="F7586" t="str">
        <f>"001420"</f>
        <v>0</v>
      </c>
      <c r="G7586" t="s">
        <v>21</v>
      </c>
    </row>
    <row r="7587" spans="1:7">
      <c r="A7587">
        <v>7586</v>
      </c>
      <c r="B7587" t="str">
        <f>"017389"</f>
        <v>0</v>
      </c>
      <c r="C7587" t="s">
        <v>8431</v>
      </c>
      <c r="D7587" t="s">
        <v>11903</v>
      </c>
      <c r="E7587" t="str">
        <f>"3441000033318"</f>
        <v>0</v>
      </c>
      <c r="F7587" t="str">
        <f>"001420"</f>
        <v>0</v>
      </c>
      <c r="G7587" t="s">
        <v>21</v>
      </c>
    </row>
    <row r="7588" spans="1:7">
      <c r="A7588">
        <v>7587</v>
      </c>
      <c r="B7588" t="str">
        <f>"017630"</f>
        <v>0</v>
      </c>
      <c r="C7588" t="s">
        <v>11904</v>
      </c>
      <c r="D7588" t="s">
        <v>11905</v>
      </c>
      <c r="E7588" t="str">
        <f>"3350200004478"</f>
        <v>0</v>
      </c>
      <c r="F7588" t="str">
        <f>"001420"</f>
        <v>0</v>
      </c>
      <c r="G7588" t="s">
        <v>21</v>
      </c>
    </row>
    <row r="7589" spans="1:7">
      <c r="A7589">
        <v>7588</v>
      </c>
      <c r="B7589" t="str">
        <f>"018000"</f>
        <v>0</v>
      </c>
      <c r="C7589" t="s">
        <v>2277</v>
      </c>
      <c r="D7589" t="s">
        <v>4434</v>
      </c>
      <c r="E7589" t="str">
        <f>"3360101329026"</f>
        <v>0</v>
      </c>
      <c r="F7589" t="str">
        <f>"001420"</f>
        <v>0</v>
      </c>
      <c r="G7589" t="s">
        <v>21</v>
      </c>
    </row>
    <row r="7590" spans="1:7">
      <c r="A7590">
        <v>7589</v>
      </c>
      <c r="B7590" t="str">
        <f>"018214"</f>
        <v>0</v>
      </c>
      <c r="C7590" t="s">
        <v>4903</v>
      </c>
      <c r="D7590" t="s">
        <v>11906</v>
      </c>
      <c r="E7590" t="str">
        <f>"3350800138424"</f>
        <v>0</v>
      </c>
      <c r="F7590" t="str">
        <f>"001420"</f>
        <v>0</v>
      </c>
      <c r="G7590" t="s">
        <v>21</v>
      </c>
    </row>
    <row r="7591" spans="1:7">
      <c r="A7591">
        <v>7590</v>
      </c>
      <c r="B7591" t="str">
        <f>"018270"</f>
        <v>0</v>
      </c>
      <c r="C7591" t="s">
        <v>793</v>
      </c>
      <c r="D7591" t="s">
        <v>4434</v>
      </c>
      <c r="E7591" t="str">
        <f>"3451001193963"</f>
        <v>0</v>
      </c>
      <c r="F7591" t="str">
        <f>"001420"</f>
        <v>0</v>
      </c>
      <c r="G7591" t="s">
        <v>21</v>
      </c>
    </row>
    <row r="7592" spans="1:7">
      <c r="A7592">
        <v>7591</v>
      </c>
      <c r="B7592" t="str">
        <f>"018545"</f>
        <v>0</v>
      </c>
      <c r="C7592" t="s">
        <v>1792</v>
      </c>
      <c r="D7592" t="s">
        <v>11907</v>
      </c>
      <c r="E7592" t="str">
        <f>"3451100856758"</f>
        <v>0</v>
      </c>
      <c r="F7592" t="str">
        <f>"001420"</f>
        <v>0</v>
      </c>
      <c r="G7592" t="s">
        <v>21</v>
      </c>
    </row>
    <row r="7593" spans="1:7">
      <c r="A7593">
        <v>7592</v>
      </c>
      <c r="B7593" t="str">
        <f>"018554"</f>
        <v>0</v>
      </c>
      <c r="C7593" t="s">
        <v>11908</v>
      </c>
      <c r="D7593" t="s">
        <v>11909</v>
      </c>
      <c r="E7593" t="str">
        <f>"3340400550069"</f>
        <v>0</v>
      </c>
      <c r="F7593" t="str">
        <f>"001420"</f>
        <v>0</v>
      </c>
      <c r="G7593" t="s">
        <v>21</v>
      </c>
    </row>
    <row r="7594" spans="1:7">
      <c r="A7594">
        <v>7593</v>
      </c>
      <c r="B7594" t="str">
        <f>"019079"</f>
        <v>0</v>
      </c>
      <c r="C7594" t="s">
        <v>11910</v>
      </c>
      <c r="D7594" t="s">
        <v>11911</v>
      </c>
      <c r="E7594" t="str">
        <f>"3350100171461"</f>
        <v>0</v>
      </c>
      <c r="F7594" t="str">
        <f>"001420"</f>
        <v>0</v>
      </c>
      <c r="G7594" t="s">
        <v>21</v>
      </c>
    </row>
    <row r="7595" spans="1:7">
      <c r="A7595">
        <v>7594</v>
      </c>
      <c r="B7595" t="str">
        <f>"019203"</f>
        <v>0</v>
      </c>
      <c r="C7595" t="s">
        <v>11912</v>
      </c>
      <c r="D7595" t="s">
        <v>11913</v>
      </c>
      <c r="E7595" t="str">
        <f>"3349900528664"</f>
        <v>0</v>
      </c>
      <c r="F7595" t="str">
        <f>"001420"</f>
        <v>0</v>
      </c>
      <c r="G7595" t="s">
        <v>21</v>
      </c>
    </row>
    <row r="7596" spans="1:7">
      <c r="A7596">
        <v>7595</v>
      </c>
      <c r="B7596" t="str">
        <f>"020507"</f>
        <v>0</v>
      </c>
      <c r="C7596" t="s">
        <v>458</v>
      </c>
      <c r="D7596" t="s">
        <v>10640</v>
      </c>
      <c r="E7596" t="str">
        <f>"3350400463956"</f>
        <v>0</v>
      </c>
      <c r="F7596" t="str">
        <f>"001420"</f>
        <v>0</v>
      </c>
      <c r="G7596" t="s">
        <v>21</v>
      </c>
    </row>
    <row r="7597" spans="1:7">
      <c r="A7597">
        <v>7596</v>
      </c>
      <c r="B7597" t="str">
        <f>"021127"</f>
        <v>0</v>
      </c>
      <c r="C7597" t="s">
        <v>367</v>
      </c>
      <c r="D7597" t="s">
        <v>4704</v>
      </c>
      <c r="E7597" t="str">
        <f>"3350500019284"</f>
        <v>0</v>
      </c>
      <c r="F7597" t="str">
        <f>"001420"</f>
        <v>0</v>
      </c>
      <c r="G7597" t="s">
        <v>21</v>
      </c>
    </row>
    <row r="7598" spans="1:7">
      <c r="A7598">
        <v>7597</v>
      </c>
      <c r="B7598" t="str">
        <f>"021419"</f>
        <v>0</v>
      </c>
      <c r="C7598" t="s">
        <v>10668</v>
      </c>
      <c r="D7598" t="s">
        <v>11914</v>
      </c>
      <c r="E7598" t="str">
        <f>"3470500427331"</f>
        <v>0</v>
      </c>
      <c r="F7598" t="str">
        <f>"001420"</f>
        <v>0</v>
      </c>
      <c r="G7598" t="s">
        <v>21</v>
      </c>
    </row>
    <row r="7599" spans="1:7">
      <c r="A7599">
        <v>7598</v>
      </c>
      <c r="B7599" t="str">
        <f>"021479"</f>
        <v>0</v>
      </c>
      <c r="C7599" t="s">
        <v>857</v>
      </c>
      <c r="D7599" t="s">
        <v>11915</v>
      </c>
      <c r="E7599" t="str">
        <f>"3350800668113"</f>
        <v>0</v>
      </c>
      <c r="F7599" t="str">
        <f>"001420"</f>
        <v>0</v>
      </c>
      <c r="G7599" t="s">
        <v>21</v>
      </c>
    </row>
    <row r="7600" spans="1:7">
      <c r="A7600">
        <v>7599</v>
      </c>
      <c r="B7600" t="str">
        <f>"021705"</f>
        <v>0</v>
      </c>
      <c r="C7600" t="s">
        <v>11916</v>
      </c>
      <c r="D7600" t="s">
        <v>11917</v>
      </c>
      <c r="E7600" t="str">
        <f>"3350100643258"</f>
        <v>0</v>
      </c>
      <c r="F7600" t="str">
        <f>"001420"</f>
        <v>0</v>
      </c>
      <c r="G7600" t="s">
        <v>21</v>
      </c>
    </row>
    <row r="7601" spans="1:7">
      <c r="A7601">
        <v>7600</v>
      </c>
      <c r="B7601" t="str">
        <f>"021712"</f>
        <v>0</v>
      </c>
      <c r="C7601" t="s">
        <v>11918</v>
      </c>
      <c r="D7601" t="s">
        <v>11919</v>
      </c>
      <c r="E7601" t="str">
        <f>"5350390004101"</f>
        <v>0</v>
      </c>
      <c r="F7601" t="str">
        <f>"001420"</f>
        <v>0</v>
      </c>
      <c r="G7601" t="s">
        <v>21</v>
      </c>
    </row>
    <row r="7602" spans="1:7">
      <c r="A7602">
        <v>7601</v>
      </c>
      <c r="B7602" t="str">
        <f>"021755"</f>
        <v>0</v>
      </c>
      <c r="C7602" t="s">
        <v>11920</v>
      </c>
      <c r="D7602" t="s">
        <v>11921</v>
      </c>
      <c r="E7602" t="str">
        <f>"3350100730886"</f>
        <v>0</v>
      </c>
      <c r="F7602" t="str">
        <f>"001420"</f>
        <v>0</v>
      </c>
      <c r="G7602" t="s">
        <v>21</v>
      </c>
    </row>
    <row r="7603" spans="1:7">
      <c r="A7603">
        <v>7602</v>
      </c>
      <c r="B7603" t="str">
        <f>"022679"</f>
        <v>0</v>
      </c>
      <c r="C7603" t="s">
        <v>11922</v>
      </c>
      <c r="D7603" t="s">
        <v>11923</v>
      </c>
      <c r="E7603" t="str">
        <f>"1350400011668"</f>
        <v>0</v>
      </c>
      <c r="F7603" t="str">
        <f>"001420"</f>
        <v>0</v>
      </c>
      <c r="G7603" t="s">
        <v>21</v>
      </c>
    </row>
    <row r="7604" spans="1:7">
      <c r="A7604">
        <v>7603</v>
      </c>
      <c r="B7604" t="str">
        <f>"022962"</f>
        <v>0</v>
      </c>
      <c r="C7604" t="s">
        <v>11924</v>
      </c>
      <c r="D7604" t="s">
        <v>11925</v>
      </c>
      <c r="E7604" t="str">
        <f>"3350400338451"</f>
        <v>0</v>
      </c>
      <c r="F7604" t="str">
        <f>"001420"</f>
        <v>0</v>
      </c>
      <c r="G7604" t="s">
        <v>21</v>
      </c>
    </row>
    <row r="7605" spans="1:7">
      <c r="A7605">
        <v>7604</v>
      </c>
      <c r="B7605" t="str">
        <f>"023150"</f>
        <v>0</v>
      </c>
      <c r="C7605" t="s">
        <v>11926</v>
      </c>
      <c r="D7605" t="s">
        <v>11927</v>
      </c>
      <c r="E7605" t="str">
        <f>"3350100525913"</f>
        <v>0</v>
      </c>
      <c r="F7605" t="str">
        <f>"001420"</f>
        <v>0</v>
      </c>
      <c r="G7605" t="s">
        <v>21</v>
      </c>
    </row>
    <row r="7606" spans="1:7">
      <c r="A7606">
        <v>7605</v>
      </c>
      <c r="B7606" t="str">
        <f>"023151"</f>
        <v>0</v>
      </c>
      <c r="C7606" t="s">
        <v>6064</v>
      </c>
      <c r="D7606" t="s">
        <v>11928</v>
      </c>
      <c r="E7606" t="str">
        <f>"1350800038482"</f>
        <v>0</v>
      </c>
      <c r="F7606" t="str">
        <f>"001420"</f>
        <v>0</v>
      </c>
      <c r="G7606" t="s">
        <v>21</v>
      </c>
    </row>
    <row r="7607" spans="1:7">
      <c r="A7607">
        <v>7606</v>
      </c>
      <c r="B7607" t="str">
        <f>"024091"</f>
        <v>0</v>
      </c>
      <c r="C7607" t="s">
        <v>11929</v>
      </c>
      <c r="D7607" t="s">
        <v>11930</v>
      </c>
      <c r="E7607" t="str">
        <f>"3350700073525"</f>
        <v>0</v>
      </c>
      <c r="F7607" t="str">
        <f>"001420"</f>
        <v>0</v>
      </c>
      <c r="G7607" t="s">
        <v>21</v>
      </c>
    </row>
    <row r="7608" spans="1:7">
      <c r="A7608">
        <v>7607</v>
      </c>
      <c r="B7608" t="str">
        <f>"024114"</f>
        <v>0</v>
      </c>
      <c r="C7608" t="s">
        <v>624</v>
      </c>
      <c r="D7608" t="s">
        <v>11931</v>
      </c>
      <c r="E7608" t="str">
        <f>"3350800538007"</f>
        <v>0</v>
      </c>
      <c r="F7608" t="str">
        <f>"001420"</f>
        <v>0</v>
      </c>
      <c r="G7608" t="s">
        <v>21</v>
      </c>
    </row>
    <row r="7609" spans="1:7">
      <c r="A7609">
        <v>7608</v>
      </c>
      <c r="B7609" t="str">
        <f>"024121"</f>
        <v>0</v>
      </c>
      <c r="C7609" t="s">
        <v>11932</v>
      </c>
      <c r="D7609" t="s">
        <v>3335</v>
      </c>
      <c r="E7609" t="str">
        <f>"3350300272610"</f>
        <v>0</v>
      </c>
      <c r="F7609" t="str">
        <f>"001420"</f>
        <v>0</v>
      </c>
      <c r="G7609" t="s">
        <v>21</v>
      </c>
    </row>
    <row r="7610" spans="1:7">
      <c r="A7610">
        <v>7609</v>
      </c>
      <c r="B7610" t="str">
        <f>"024238"</f>
        <v>0</v>
      </c>
      <c r="C7610" t="s">
        <v>11933</v>
      </c>
      <c r="D7610" t="s">
        <v>11934</v>
      </c>
      <c r="E7610" t="str">
        <f>"1350300010180"</f>
        <v>0</v>
      </c>
      <c r="F7610" t="str">
        <f>"001420"</f>
        <v>0</v>
      </c>
      <c r="G7610" t="s">
        <v>21</v>
      </c>
    </row>
    <row r="7611" spans="1:7">
      <c r="A7611">
        <v>7610</v>
      </c>
      <c r="B7611" t="str">
        <f>"024839"</f>
        <v>0</v>
      </c>
      <c r="C7611" t="s">
        <v>11935</v>
      </c>
      <c r="D7611" t="s">
        <v>11936</v>
      </c>
      <c r="E7611" t="str">
        <f>"5401600034702"</f>
        <v>0</v>
      </c>
      <c r="F7611" t="str">
        <f>"001420"</f>
        <v>0</v>
      </c>
      <c r="G7611" t="s">
        <v>21</v>
      </c>
    </row>
    <row r="7612" spans="1:7">
      <c r="A7612">
        <v>7611</v>
      </c>
      <c r="B7612" t="str">
        <f>"024849"</f>
        <v>0</v>
      </c>
      <c r="C7612" t="s">
        <v>10213</v>
      </c>
      <c r="D7612" t="s">
        <v>11937</v>
      </c>
      <c r="E7612" t="str">
        <f>"3350600500995"</f>
        <v>0</v>
      </c>
      <c r="F7612" t="str">
        <f>"001420"</f>
        <v>0</v>
      </c>
      <c r="G7612" t="s">
        <v>21</v>
      </c>
    </row>
    <row r="7613" spans="1:7">
      <c r="A7613">
        <v>7612</v>
      </c>
      <c r="B7613" t="str">
        <f>"025228"</f>
        <v>0</v>
      </c>
      <c r="C7613" t="s">
        <v>11938</v>
      </c>
      <c r="D7613" t="s">
        <v>8181</v>
      </c>
      <c r="E7613" t="str">
        <f>"1350400060774"</f>
        <v>0</v>
      </c>
      <c r="F7613" t="str">
        <f>"001420"</f>
        <v>0</v>
      </c>
      <c r="G7613" t="s">
        <v>21</v>
      </c>
    </row>
    <row r="7614" spans="1:7">
      <c r="A7614">
        <v>7613</v>
      </c>
      <c r="B7614" t="str">
        <f>"025877"</f>
        <v>0</v>
      </c>
      <c r="C7614" t="s">
        <v>11939</v>
      </c>
      <c r="D7614" t="s">
        <v>11940</v>
      </c>
      <c r="E7614" t="str">
        <f>"1102001302280"</f>
        <v>0</v>
      </c>
      <c r="F7614" t="str">
        <f>"001420"</f>
        <v>0</v>
      </c>
      <c r="G7614" t="s">
        <v>21</v>
      </c>
    </row>
    <row r="7615" spans="1:7">
      <c r="A7615">
        <v>7614</v>
      </c>
      <c r="B7615" t="str">
        <f>"025883"</f>
        <v>0</v>
      </c>
      <c r="C7615" t="s">
        <v>11941</v>
      </c>
      <c r="D7615" t="s">
        <v>11942</v>
      </c>
      <c r="E7615" t="str">
        <f>"1350600002221"</f>
        <v>0</v>
      </c>
      <c r="F7615" t="str">
        <f>"001420"</f>
        <v>0</v>
      </c>
      <c r="G7615" t="s">
        <v>21</v>
      </c>
    </row>
    <row r="7616" spans="1:7">
      <c r="A7616">
        <v>7615</v>
      </c>
      <c r="B7616" t="str">
        <f>"025964"</f>
        <v>0</v>
      </c>
      <c r="C7616" t="s">
        <v>11943</v>
      </c>
      <c r="D7616" t="s">
        <v>11944</v>
      </c>
      <c r="E7616" t="str">
        <f>"3341400120243"</f>
        <v>0</v>
      </c>
      <c r="F7616" t="str">
        <f>"001420"</f>
        <v>0</v>
      </c>
      <c r="G7616" t="s">
        <v>21</v>
      </c>
    </row>
    <row r="7617" spans="1:7">
      <c r="A7617">
        <v>7616</v>
      </c>
      <c r="B7617" t="str">
        <f>"026767"</f>
        <v>0</v>
      </c>
      <c r="C7617" t="s">
        <v>11945</v>
      </c>
      <c r="D7617" t="s">
        <v>11946</v>
      </c>
      <c r="E7617" t="str">
        <f>"1350800106917"</f>
        <v>0</v>
      </c>
      <c r="F7617" t="str">
        <f>"001420"</f>
        <v>0</v>
      </c>
      <c r="G7617" t="s">
        <v>21</v>
      </c>
    </row>
    <row r="7618" spans="1:7">
      <c r="A7618">
        <v>7617</v>
      </c>
      <c r="B7618" t="str">
        <f>"027454"</f>
        <v>0</v>
      </c>
      <c r="C7618" t="s">
        <v>1561</v>
      </c>
      <c r="D7618" t="s">
        <v>2658</v>
      </c>
      <c r="E7618" t="str">
        <f>"3350300346044"</f>
        <v>0</v>
      </c>
      <c r="F7618" t="str">
        <f>"001420"</f>
        <v>0</v>
      </c>
      <c r="G7618" t="s">
        <v>21</v>
      </c>
    </row>
    <row r="7619" spans="1:7">
      <c r="A7619">
        <v>7618</v>
      </c>
      <c r="B7619" t="str">
        <f>"019548"</f>
        <v>0</v>
      </c>
      <c r="C7619" t="s">
        <v>4305</v>
      </c>
      <c r="D7619" t="s">
        <v>11947</v>
      </c>
      <c r="E7619" t="str">
        <f>"3341700209096"</f>
        <v>0</v>
      </c>
      <c r="F7619" t="str">
        <f>"001420"</f>
        <v>0</v>
      </c>
      <c r="G7619" t="s">
        <v>21</v>
      </c>
    </row>
    <row r="7620" spans="1:7">
      <c r="A7620">
        <v>7619</v>
      </c>
      <c r="B7620" t="str">
        <f>"024223"</f>
        <v>0</v>
      </c>
      <c r="C7620" t="s">
        <v>731</v>
      </c>
      <c r="D7620" t="s">
        <v>11948</v>
      </c>
      <c r="E7620" t="str">
        <f>"3300800531398"</f>
        <v>0</v>
      </c>
      <c r="F7620" t="str">
        <f>"001420"</f>
        <v>0</v>
      </c>
      <c r="G7620" t="s">
        <v>21</v>
      </c>
    </row>
    <row r="7621" spans="1:7">
      <c r="A7621">
        <v>7620</v>
      </c>
      <c r="B7621" t="str">
        <f>"026002"</f>
        <v>0</v>
      </c>
      <c r="C7621" t="s">
        <v>1768</v>
      </c>
      <c r="D7621" t="s">
        <v>11949</v>
      </c>
      <c r="E7621" t="str">
        <f>"1341800070301"</f>
        <v>0</v>
      </c>
      <c r="F7621" t="str">
        <f>"001420"</f>
        <v>0</v>
      </c>
      <c r="G7621" t="s">
        <v>21</v>
      </c>
    </row>
    <row r="7622" spans="1:7">
      <c r="A7622">
        <v>7621</v>
      </c>
      <c r="B7622" t="str">
        <f>"026644"</f>
        <v>0</v>
      </c>
      <c r="C7622" t="s">
        <v>9067</v>
      </c>
      <c r="D7622" t="s">
        <v>11950</v>
      </c>
      <c r="E7622" t="str">
        <f>"1411600150718"</f>
        <v>0</v>
      </c>
      <c r="F7622" t="str">
        <f>"001420"</f>
        <v>0</v>
      </c>
      <c r="G7622" t="s">
        <v>21</v>
      </c>
    </row>
    <row r="7623" spans="1:7">
      <c r="A7623">
        <v>7622</v>
      </c>
      <c r="B7623" t="str">
        <f>"026862"</f>
        <v>0</v>
      </c>
      <c r="C7623" t="s">
        <v>11951</v>
      </c>
      <c r="D7623" t="s">
        <v>11952</v>
      </c>
      <c r="E7623" t="str">
        <f>"3440300417421"</f>
        <v>0</v>
      </c>
      <c r="F7623" t="str">
        <f>"001420"</f>
        <v>0</v>
      </c>
      <c r="G7623" t="s">
        <v>21</v>
      </c>
    </row>
    <row r="7624" spans="1:7">
      <c r="A7624">
        <v>7623</v>
      </c>
      <c r="B7624" t="str">
        <f>"021848"</f>
        <v>0</v>
      </c>
      <c r="C7624" t="s">
        <v>778</v>
      </c>
      <c r="D7624" t="s">
        <v>6076</v>
      </c>
      <c r="E7624" t="str">
        <f>"3350500127559"</f>
        <v>0</v>
      </c>
      <c r="F7624" t="str">
        <f>"001420"</f>
        <v>0</v>
      </c>
      <c r="G7624" t="s">
        <v>21</v>
      </c>
    </row>
    <row r="7625" spans="1:7">
      <c r="A7625">
        <v>7624</v>
      </c>
      <c r="B7625" t="str">
        <f>"022753"</f>
        <v>0</v>
      </c>
      <c r="C7625" t="s">
        <v>11953</v>
      </c>
      <c r="D7625" t="s">
        <v>11954</v>
      </c>
      <c r="E7625" t="str">
        <f>"1451000004681"</f>
        <v>0</v>
      </c>
      <c r="F7625" t="str">
        <f>"001420"</f>
        <v>0</v>
      </c>
      <c r="G7625" t="s">
        <v>21</v>
      </c>
    </row>
    <row r="7626" spans="1:7">
      <c r="A7626">
        <v>7625</v>
      </c>
      <c r="B7626" t="str">
        <f>"023117"</f>
        <v>0</v>
      </c>
      <c r="C7626" t="s">
        <v>11955</v>
      </c>
      <c r="D7626" t="s">
        <v>11956</v>
      </c>
      <c r="E7626" t="str">
        <f>"3450101083158"</f>
        <v>0</v>
      </c>
      <c r="F7626" t="str">
        <f>"001420"</f>
        <v>0</v>
      </c>
      <c r="G7626" t="s">
        <v>21</v>
      </c>
    </row>
    <row r="7627" spans="1:7">
      <c r="A7627">
        <v>7626</v>
      </c>
      <c r="B7627" t="str">
        <f>"023871"</f>
        <v>0</v>
      </c>
      <c r="C7627" t="s">
        <v>5745</v>
      </c>
      <c r="D7627" t="s">
        <v>11957</v>
      </c>
      <c r="E7627" t="str">
        <f>"3451001021810"</f>
        <v>0</v>
      </c>
      <c r="F7627" t="str">
        <f>"001420"</f>
        <v>0</v>
      </c>
      <c r="G7627" t="s">
        <v>21</v>
      </c>
    </row>
    <row r="7628" spans="1:7">
      <c r="A7628">
        <v>7627</v>
      </c>
      <c r="B7628" t="str">
        <f>"024080"</f>
        <v>0</v>
      </c>
      <c r="C7628" t="s">
        <v>11958</v>
      </c>
      <c r="D7628" t="s">
        <v>11959</v>
      </c>
      <c r="E7628" t="str">
        <f>"3450700224565"</f>
        <v>0</v>
      </c>
      <c r="F7628" t="str">
        <f>"001420"</f>
        <v>0</v>
      </c>
      <c r="G7628" t="s">
        <v>21</v>
      </c>
    </row>
    <row r="7629" spans="1:7">
      <c r="A7629">
        <v>7628</v>
      </c>
      <c r="B7629" t="str">
        <f>"024377"</f>
        <v>0</v>
      </c>
      <c r="C7629" t="s">
        <v>11960</v>
      </c>
      <c r="D7629" t="s">
        <v>11961</v>
      </c>
      <c r="E7629" t="str">
        <f>"1450100015063"</f>
        <v>0</v>
      </c>
      <c r="F7629" t="str">
        <f>"001420"</f>
        <v>0</v>
      </c>
      <c r="G7629" t="s">
        <v>21</v>
      </c>
    </row>
    <row r="7630" spans="1:7">
      <c r="A7630">
        <v>7629</v>
      </c>
      <c r="B7630" t="str">
        <f>"025452"</f>
        <v>0</v>
      </c>
      <c r="C7630" t="s">
        <v>11962</v>
      </c>
      <c r="D7630" t="s">
        <v>11963</v>
      </c>
      <c r="E7630" t="str">
        <f>"3410600609431"</f>
        <v>0</v>
      </c>
      <c r="F7630" t="str">
        <f>"001420"</f>
        <v>0</v>
      </c>
      <c r="G7630" t="s">
        <v>21</v>
      </c>
    </row>
    <row r="7631" spans="1:7">
      <c r="A7631">
        <v>7630</v>
      </c>
      <c r="B7631" t="str">
        <f>"025654"</f>
        <v>0</v>
      </c>
      <c r="C7631" t="s">
        <v>1229</v>
      </c>
      <c r="D7631" t="s">
        <v>11964</v>
      </c>
      <c r="E7631" t="str">
        <f>"1359900053767"</f>
        <v>0</v>
      </c>
      <c r="F7631" t="str">
        <f>"001420"</f>
        <v>0</v>
      </c>
      <c r="G7631" t="s">
        <v>21</v>
      </c>
    </row>
    <row r="7632" spans="1:7">
      <c r="A7632">
        <v>7631</v>
      </c>
      <c r="B7632" t="str">
        <f>"026192"</f>
        <v>0</v>
      </c>
      <c r="C7632" t="s">
        <v>7975</v>
      </c>
      <c r="D7632" t="s">
        <v>11965</v>
      </c>
      <c r="E7632" t="str">
        <f>"3451000126367"</f>
        <v>0</v>
      </c>
      <c r="F7632" t="str">
        <f>"001420"</f>
        <v>0</v>
      </c>
      <c r="G7632" t="s">
        <v>21</v>
      </c>
    </row>
    <row r="7633" spans="1:7">
      <c r="A7633">
        <v>7632</v>
      </c>
      <c r="B7633" t="str">
        <f>"026768"</f>
        <v>0</v>
      </c>
      <c r="C7633" t="s">
        <v>11966</v>
      </c>
      <c r="D7633" t="s">
        <v>11967</v>
      </c>
      <c r="E7633" t="str">
        <f>"3451500170888"</f>
        <v>0</v>
      </c>
      <c r="F7633" t="str">
        <f>"001420"</f>
        <v>0</v>
      </c>
      <c r="G7633" t="s">
        <v>21</v>
      </c>
    </row>
    <row r="7634" spans="1:7">
      <c r="A7634">
        <v>7633</v>
      </c>
      <c r="B7634" t="str">
        <f>"024840"</f>
        <v>0</v>
      </c>
      <c r="C7634" t="s">
        <v>11968</v>
      </c>
      <c r="D7634" t="s">
        <v>11969</v>
      </c>
      <c r="E7634" t="str">
        <f>"3460600499899"</f>
        <v>0</v>
      </c>
      <c r="F7634" t="str">
        <f>"001420"</f>
        <v>0</v>
      </c>
      <c r="G7634" t="s">
        <v>21</v>
      </c>
    </row>
    <row r="7635" spans="1:7">
      <c r="A7635">
        <v>7634</v>
      </c>
      <c r="B7635" t="str">
        <f>"025658"</f>
        <v>0</v>
      </c>
      <c r="C7635" t="s">
        <v>11970</v>
      </c>
      <c r="D7635" t="s">
        <v>11971</v>
      </c>
      <c r="E7635" t="str">
        <f>"3940500279965"</f>
        <v>0</v>
      </c>
      <c r="F7635" t="str">
        <f>"001420"</f>
        <v>0</v>
      </c>
      <c r="G7635" t="s">
        <v>21</v>
      </c>
    </row>
    <row r="7636" spans="1:7">
      <c r="A7636">
        <v>7635</v>
      </c>
      <c r="B7636" t="str">
        <f>"019896"</f>
        <v>0</v>
      </c>
      <c r="C7636" t="s">
        <v>11972</v>
      </c>
      <c r="D7636" t="s">
        <v>11973</v>
      </c>
      <c r="E7636" t="str">
        <f>"3650500384541"</f>
        <v>0</v>
      </c>
      <c r="F7636" t="str">
        <f>"001420"</f>
        <v>0</v>
      </c>
      <c r="G7636" t="s">
        <v>21</v>
      </c>
    </row>
    <row r="7637" spans="1:7">
      <c r="A7637">
        <v>7636</v>
      </c>
      <c r="B7637" t="str">
        <f>"016336"</f>
        <v>0</v>
      </c>
      <c r="C7637" t="s">
        <v>520</v>
      </c>
      <c r="D7637" t="s">
        <v>11974</v>
      </c>
      <c r="E7637" t="str">
        <f>"3341300212901"</f>
        <v>0</v>
      </c>
      <c r="F7637" t="str">
        <f>"001420"</f>
        <v>0</v>
      </c>
      <c r="G7637" t="s">
        <v>21</v>
      </c>
    </row>
    <row r="7638" spans="1:7">
      <c r="A7638">
        <v>7637</v>
      </c>
      <c r="B7638" t="str">
        <f>"019379"</f>
        <v>0</v>
      </c>
      <c r="C7638" t="s">
        <v>11975</v>
      </c>
      <c r="D7638" t="s">
        <v>11976</v>
      </c>
      <c r="E7638" t="str">
        <f>"3490200091221"</f>
        <v>0</v>
      </c>
      <c r="F7638" t="str">
        <f>"001420"</f>
        <v>0</v>
      </c>
      <c r="G7638" t="s">
        <v>21</v>
      </c>
    </row>
    <row r="7639" spans="1:7">
      <c r="A7639">
        <v>7638</v>
      </c>
      <c r="B7639" t="str">
        <f>"023012"</f>
        <v>0</v>
      </c>
      <c r="C7639" t="s">
        <v>11977</v>
      </c>
      <c r="D7639" t="s">
        <v>11978</v>
      </c>
      <c r="E7639" t="str">
        <f>"3759900257217"</f>
        <v>0</v>
      </c>
      <c r="F7639" t="str">
        <f>"001420"</f>
        <v>0</v>
      </c>
      <c r="G7639" t="s">
        <v>21</v>
      </c>
    </row>
    <row r="7640" spans="1:7">
      <c r="A7640">
        <v>7639</v>
      </c>
      <c r="B7640" t="str">
        <f>"021940"</f>
        <v>0</v>
      </c>
      <c r="C7640" t="s">
        <v>10469</v>
      </c>
      <c r="D7640" t="s">
        <v>11979</v>
      </c>
      <c r="E7640" t="str">
        <f>"1959900007441"</f>
        <v>0</v>
      </c>
      <c r="F7640" t="str">
        <f>"001420"</f>
        <v>0</v>
      </c>
      <c r="G7640" t="s">
        <v>21</v>
      </c>
    </row>
    <row r="7641" spans="1:7">
      <c r="A7641">
        <v>7640</v>
      </c>
      <c r="B7641" t="str">
        <f>"013697"</f>
        <v>0</v>
      </c>
      <c r="C7641" t="s">
        <v>311</v>
      </c>
      <c r="D7641" t="s">
        <v>11980</v>
      </c>
      <c r="E7641" t="str">
        <f>"3460300039370"</f>
        <v>0</v>
      </c>
      <c r="F7641" t="str">
        <f>"001420"</f>
        <v>0</v>
      </c>
      <c r="G7641" t="s">
        <v>21</v>
      </c>
    </row>
    <row r="7642" spans="1:7">
      <c r="A7642">
        <v>7641</v>
      </c>
      <c r="B7642" t="str">
        <f>"013542"</f>
        <v>0</v>
      </c>
      <c r="C7642" t="s">
        <v>11981</v>
      </c>
      <c r="D7642" t="s">
        <v>3238</v>
      </c>
      <c r="E7642" t="str">
        <f>"5451190014456"</f>
        <v>0</v>
      </c>
      <c r="F7642" t="str">
        <f>"001420"</f>
        <v>0</v>
      </c>
      <c r="G7642" t="s">
        <v>21</v>
      </c>
    </row>
    <row r="7643" spans="1:7">
      <c r="A7643">
        <v>7642</v>
      </c>
      <c r="B7643" t="str">
        <f>"014194"</f>
        <v>0</v>
      </c>
      <c r="C7643" t="s">
        <v>574</v>
      </c>
      <c r="D7643" t="s">
        <v>11982</v>
      </c>
      <c r="E7643" t="str">
        <f>"3359900030569"</f>
        <v>0</v>
      </c>
      <c r="F7643" t="str">
        <f>"001420"</f>
        <v>0</v>
      </c>
      <c r="G7643" t="s">
        <v>21</v>
      </c>
    </row>
    <row r="7644" spans="1:7">
      <c r="A7644">
        <v>7643</v>
      </c>
      <c r="B7644" t="str">
        <f>"015378"</f>
        <v>0</v>
      </c>
      <c r="C7644" t="s">
        <v>2777</v>
      </c>
      <c r="D7644" t="s">
        <v>11983</v>
      </c>
      <c r="E7644" t="str">
        <f>"3350100019147"</f>
        <v>0</v>
      </c>
      <c r="F7644" t="str">
        <f>"001420"</f>
        <v>0</v>
      </c>
      <c r="G7644" t="s">
        <v>21</v>
      </c>
    </row>
    <row r="7645" spans="1:7">
      <c r="A7645">
        <v>7644</v>
      </c>
      <c r="B7645" t="str">
        <f>"017390"</f>
        <v>0</v>
      </c>
      <c r="C7645" t="s">
        <v>678</v>
      </c>
      <c r="D7645" t="s">
        <v>11905</v>
      </c>
      <c r="E7645" t="str">
        <f>"3340100577808"</f>
        <v>0</v>
      </c>
      <c r="F7645" t="str">
        <f>"001420"</f>
        <v>0</v>
      </c>
      <c r="G7645" t="s">
        <v>21</v>
      </c>
    </row>
    <row r="7646" spans="1:7">
      <c r="A7646">
        <v>7645</v>
      </c>
      <c r="B7646" t="str">
        <f>"019047"</f>
        <v>0</v>
      </c>
      <c r="C7646" t="s">
        <v>86</v>
      </c>
      <c r="D7646" t="s">
        <v>11984</v>
      </c>
      <c r="E7646" t="str">
        <f>"5350500020700"</f>
        <v>0</v>
      </c>
      <c r="F7646" t="str">
        <f>"001420"</f>
        <v>0</v>
      </c>
      <c r="G7646" t="s">
        <v>21</v>
      </c>
    </row>
    <row r="7647" spans="1:7">
      <c r="A7647">
        <v>7646</v>
      </c>
      <c r="B7647" t="str">
        <f>"019436"</f>
        <v>0</v>
      </c>
      <c r="C7647" t="s">
        <v>4903</v>
      </c>
      <c r="D7647" t="s">
        <v>11985</v>
      </c>
      <c r="E7647" t="str">
        <f>"3460700493591"</f>
        <v>0</v>
      </c>
      <c r="F7647" t="str">
        <f>"001420"</f>
        <v>0</v>
      </c>
      <c r="G7647" t="s">
        <v>21</v>
      </c>
    </row>
    <row r="7648" spans="1:7">
      <c r="A7648">
        <v>7647</v>
      </c>
      <c r="B7648" t="str">
        <f>"020743"</f>
        <v>0</v>
      </c>
      <c r="C7648" t="s">
        <v>11986</v>
      </c>
      <c r="D7648" t="s">
        <v>11376</v>
      </c>
      <c r="E7648" t="str">
        <f>"3350200119356"</f>
        <v>0</v>
      </c>
      <c r="F7648" t="str">
        <f>"001420"</f>
        <v>0</v>
      </c>
      <c r="G7648" t="s">
        <v>21</v>
      </c>
    </row>
    <row r="7649" spans="1:7">
      <c r="A7649">
        <v>7648</v>
      </c>
      <c r="B7649" t="str">
        <f>"001652"</f>
        <v>0</v>
      </c>
      <c r="C7649" t="s">
        <v>2107</v>
      </c>
      <c r="D7649" t="s">
        <v>11987</v>
      </c>
      <c r="E7649" t="str">
        <f>"3859900131484"</f>
        <v>0</v>
      </c>
      <c r="F7649" t="str">
        <f>"001440"</f>
        <v>0</v>
      </c>
      <c r="G7649" t="s">
        <v>21</v>
      </c>
    </row>
    <row r="7650" spans="1:7">
      <c r="A7650">
        <v>7649</v>
      </c>
      <c r="B7650" t="str">
        <f>"003733"</f>
        <v>0</v>
      </c>
      <c r="C7650" t="s">
        <v>405</v>
      </c>
      <c r="D7650" t="s">
        <v>4429</v>
      </c>
      <c r="E7650" t="str">
        <f>"3850100089671"</f>
        <v>0</v>
      </c>
      <c r="F7650" t="str">
        <f>"001440"</f>
        <v>0</v>
      </c>
      <c r="G7650" t="s">
        <v>21</v>
      </c>
    </row>
    <row r="7651" spans="1:7">
      <c r="A7651">
        <v>7650</v>
      </c>
      <c r="B7651" t="str">
        <f>"006248"</f>
        <v>0</v>
      </c>
      <c r="C7651" t="s">
        <v>11051</v>
      </c>
      <c r="D7651" t="s">
        <v>11988</v>
      </c>
      <c r="E7651" t="str">
        <f>"3859900135960"</f>
        <v>0</v>
      </c>
      <c r="F7651" t="str">
        <f>"001440"</f>
        <v>0</v>
      </c>
      <c r="G7651" t="s">
        <v>21</v>
      </c>
    </row>
    <row r="7652" spans="1:7">
      <c r="A7652">
        <v>7651</v>
      </c>
      <c r="B7652" t="str">
        <f>"009301"</f>
        <v>0</v>
      </c>
      <c r="C7652" t="s">
        <v>173</v>
      </c>
      <c r="D7652" t="s">
        <v>11989</v>
      </c>
      <c r="E7652" t="str">
        <f>"3860800043208"</f>
        <v>0</v>
      </c>
      <c r="F7652" t="str">
        <f>"001440"</f>
        <v>0</v>
      </c>
      <c r="G7652" t="s">
        <v>21</v>
      </c>
    </row>
    <row r="7653" spans="1:7">
      <c r="A7653">
        <v>7652</v>
      </c>
      <c r="B7653" t="str">
        <f>"009410"</f>
        <v>0</v>
      </c>
      <c r="C7653" t="s">
        <v>46</v>
      </c>
      <c r="D7653" t="s">
        <v>11990</v>
      </c>
      <c r="E7653" t="str">
        <f>"3120100371951"</f>
        <v>0</v>
      </c>
      <c r="F7653" t="str">
        <f>"001440"</f>
        <v>0</v>
      </c>
      <c r="G7653" t="s">
        <v>21</v>
      </c>
    </row>
    <row r="7654" spans="1:7">
      <c r="A7654">
        <v>7653</v>
      </c>
      <c r="B7654" t="str">
        <f>"011186"</f>
        <v>0</v>
      </c>
      <c r="C7654" t="s">
        <v>11991</v>
      </c>
      <c r="D7654" t="s">
        <v>11992</v>
      </c>
      <c r="E7654" t="str">
        <f>"3801600049572"</f>
        <v>0</v>
      </c>
      <c r="F7654" t="str">
        <f>"001440"</f>
        <v>0</v>
      </c>
      <c r="G7654" t="s">
        <v>21</v>
      </c>
    </row>
    <row r="7655" spans="1:7">
      <c r="A7655">
        <v>7654</v>
      </c>
      <c r="B7655" t="str">
        <f>"012170"</f>
        <v>0</v>
      </c>
      <c r="C7655" t="s">
        <v>1849</v>
      </c>
      <c r="D7655" t="s">
        <v>11993</v>
      </c>
      <c r="E7655" t="str">
        <f>"3920600601052"</f>
        <v>0</v>
      </c>
      <c r="F7655" t="str">
        <f>"001440"</f>
        <v>0</v>
      </c>
      <c r="G7655" t="s">
        <v>21</v>
      </c>
    </row>
    <row r="7656" spans="1:7">
      <c r="A7656">
        <v>7655</v>
      </c>
      <c r="B7656" t="str">
        <f>"012762"</f>
        <v>0</v>
      </c>
      <c r="C7656" t="s">
        <v>3354</v>
      </c>
      <c r="D7656" t="s">
        <v>10940</v>
      </c>
      <c r="E7656" t="str">
        <f>"3501200556194"</f>
        <v>0</v>
      </c>
      <c r="F7656" t="str">
        <f>"001440"</f>
        <v>0</v>
      </c>
      <c r="G7656" t="s">
        <v>21</v>
      </c>
    </row>
    <row r="7657" spans="1:7">
      <c r="A7657">
        <v>7656</v>
      </c>
      <c r="B7657" t="str">
        <f>"013757"</f>
        <v>0</v>
      </c>
      <c r="C7657" t="s">
        <v>2758</v>
      </c>
      <c r="D7657" t="s">
        <v>11994</v>
      </c>
      <c r="E7657" t="str">
        <f>"3850100274762"</f>
        <v>0</v>
      </c>
      <c r="F7657" t="str">
        <f>"001440"</f>
        <v>0</v>
      </c>
      <c r="G7657" t="s">
        <v>21</v>
      </c>
    </row>
    <row r="7658" spans="1:7">
      <c r="A7658">
        <v>7657</v>
      </c>
      <c r="B7658" t="str">
        <f>"014689"</f>
        <v>0</v>
      </c>
      <c r="C7658" t="s">
        <v>48</v>
      </c>
      <c r="D7658" t="s">
        <v>8478</v>
      </c>
      <c r="E7658" t="str">
        <f>"3860100216720"</f>
        <v>0</v>
      </c>
      <c r="F7658" t="str">
        <f>"001440"</f>
        <v>0</v>
      </c>
      <c r="G7658" t="s">
        <v>21</v>
      </c>
    </row>
    <row r="7659" spans="1:7">
      <c r="A7659">
        <v>7658</v>
      </c>
      <c r="B7659" t="str">
        <f>"016164"</f>
        <v>0</v>
      </c>
      <c r="C7659" t="s">
        <v>514</v>
      </c>
      <c r="D7659" t="s">
        <v>3647</v>
      </c>
      <c r="E7659" t="str">
        <f>"3841500181673"</f>
        <v>0</v>
      </c>
      <c r="F7659" t="str">
        <f>"001440"</f>
        <v>0</v>
      </c>
      <c r="G7659" t="s">
        <v>21</v>
      </c>
    </row>
    <row r="7660" spans="1:7">
      <c r="A7660">
        <v>7659</v>
      </c>
      <c r="B7660" t="str">
        <f>"018028"</f>
        <v>0</v>
      </c>
      <c r="C7660" t="s">
        <v>44</v>
      </c>
      <c r="D7660" t="s">
        <v>11995</v>
      </c>
      <c r="E7660" t="str">
        <f>"3859900082793"</f>
        <v>0</v>
      </c>
      <c r="F7660" t="str">
        <f>"001440"</f>
        <v>0</v>
      </c>
      <c r="G7660" t="s">
        <v>21</v>
      </c>
    </row>
    <row r="7661" spans="1:7">
      <c r="A7661">
        <v>7660</v>
      </c>
      <c r="B7661" t="str">
        <f>"020894"</f>
        <v>0</v>
      </c>
      <c r="C7661" t="s">
        <v>3537</v>
      </c>
      <c r="D7661" t="s">
        <v>11996</v>
      </c>
      <c r="E7661" t="str">
        <f>"3850100073601"</f>
        <v>0</v>
      </c>
      <c r="F7661" t="str">
        <f>"001440"</f>
        <v>0</v>
      </c>
      <c r="G7661" t="s">
        <v>21</v>
      </c>
    </row>
    <row r="7662" spans="1:7">
      <c r="A7662">
        <v>7661</v>
      </c>
      <c r="B7662" t="str">
        <f>"006250"</f>
        <v>0</v>
      </c>
      <c r="C7662" t="s">
        <v>2894</v>
      </c>
      <c r="D7662" t="s">
        <v>11997</v>
      </c>
      <c r="E7662" t="str">
        <f>"3850100180156"</f>
        <v>0</v>
      </c>
      <c r="F7662" t="str">
        <f>"001440"</f>
        <v>0</v>
      </c>
      <c r="G7662" t="s">
        <v>21</v>
      </c>
    </row>
    <row r="7663" spans="1:7">
      <c r="A7663">
        <v>7662</v>
      </c>
      <c r="B7663" t="str">
        <f>"002165"</f>
        <v>0</v>
      </c>
      <c r="C7663" t="s">
        <v>1341</v>
      </c>
      <c r="D7663" t="s">
        <v>11998</v>
      </c>
      <c r="E7663" t="str">
        <f>"3850400023421"</f>
        <v>0</v>
      </c>
      <c r="F7663" t="str">
        <f>"001440"</f>
        <v>0</v>
      </c>
      <c r="G7663" t="s">
        <v>21</v>
      </c>
    </row>
    <row r="7664" spans="1:7">
      <c r="A7664">
        <v>7663</v>
      </c>
      <c r="B7664" t="str">
        <f>"025461"</f>
        <v>0</v>
      </c>
      <c r="C7664" t="s">
        <v>2149</v>
      </c>
      <c r="D7664" t="s">
        <v>11999</v>
      </c>
      <c r="E7664" t="str">
        <f>"1450700040506"</f>
        <v>0</v>
      </c>
      <c r="F7664" t="str">
        <f>"001440"</f>
        <v>0</v>
      </c>
      <c r="G7664" t="s">
        <v>21</v>
      </c>
    </row>
    <row r="7665" spans="1:7">
      <c r="A7665">
        <v>7664</v>
      </c>
      <c r="B7665" t="str">
        <f>"025938"</f>
        <v>0</v>
      </c>
      <c r="C7665" t="s">
        <v>12000</v>
      </c>
      <c r="D7665" t="s">
        <v>12001</v>
      </c>
      <c r="E7665" t="str">
        <f>"3720100948578"</f>
        <v>0</v>
      </c>
      <c r="F7665" t="str">
        <f>"001440"</f>
        <v>0</v>
      </c>
      <c r="G7665" t="s">
        <v>21</v>
      </c>
    </row>
    <row r="7666" spans="1:7">
      <c r="A7666">
        <v>7665</v>
      </c>
      <c r="B7666" t="str">
        <f>"026194"</f>
        <v>0</v>
      </c>
      <c r="C7666" t="s">
        <v>4488</v>
      </c>
      <c r="D7666" t="s">
        <v>12002</v>
      </c>
      <c r="E7666" t="str">
        <f>"1840200156692"</f>
        <v>0</v>
      </c>
      <c r="F7666" t="str">
        <f>"001440"</f>
        <v>0</v>
      </c>
      <c r="G7666" t="s">
        <v>21</v>
      </c>
    </row>
    <row r="7667" spans="1:7">
      <c r="A7667">
        <v>7666</v>
      </c>
      <c r="B7667" t="str">
        <f>"010715"</f>
        <v>0</v>
      </c>
      <c r="C7667" t="s">
        <v>8201</v>
      </c>
      <c r="D7667" t="s">
        <v>12003</v>
      </c>
      <c r="E7667" t="str">
        <f>"3489900163037"</f>
        <v>0</v>
      </c>
      <c r="F7667" t="str">
        <f>"001440"</f>
        <v>0</v>
      </c>
      <c r="G7667" t="s">
        <v>21</v>
      </c>
    </row>
    <row r="7668" spans="1:7">
      <c r="A7668">
        <v>7667</v>
      </c>
      <c r="B7668" t="str">
        <f>"016012"</f>
        <v>0</v>
      </c>
      <c r="C7668" t="s">
        <v>7140</v>
      </c>
      <c r="D7668" t="s">
        <v>9400</v>
      </c>
      <c r="E7668" t="str">
        <f>"3800100229325"</f>
        <v>0</v>
      </c>
      <c r="F7668" t="str">
        <f>"001440"</f>
        <v>0</v>
      </c>
      <c r="G7668" t="s">
        <v>21</v>
      </c>
    </row>
    <row r="7669" spans="1:7">
      <c r="A7669">
        <v>7668</v>
      </c>
      <c r="B7669" t="str">
        <f>"017772"</f>
        <v>0</v>
      </c>
      <c r="C7669" t="s">
        <v>32</v>
      </c>
      <c r="D7669" t="s">
        <v>12004</v>
      </c>
      <c r="E7669" t="str">
        <f>"3850100172749"</f>
        <v>0</v>
      </c>
      <c r="F7669" t="str">
        <f>"001440"</f>
        <v>0</v>
      </c>
      <c r="G7669" t="s">
        <v>21</v>
      </c>
    </row>
    <row r="7670" spans="1:7">
      <c r="A7670">
        <v>7669</v>
      </c>
      <c r="B7670" t="str">
        <f>"018287"</f>
        <v>0</v>
      </c>
      <c r="C7670" t="s">
        <v>12005</v>
      </c>
      <c r="D7670" t="s">
        <v>12006</v>
      </c>
      <c r="E7670" t="str">
        <f>"5930590012994"</f>
        <v>0</v>
      </c>
      <c r="F7670" t="str">
        <f>"001440"</f>
        <v>0</v>
      </c>
      <c r="G7670" t="s">
        <v>21</v>
      </c>
    </row>
    <row r="7671" spans="1:7">
      <c r="A7671">
        <v>7670</v>
      </c>
      <c r="B7671" t="str">
        <f>"018864"</f>
        <v>0</v>
      </c>
      <c r="C7671" t="s">
        <v>12007</v>
      </c>
      <c r="D7671" t="s">
        <v>12008</v>
      </c>
      <c r="E7671" t="str">
        <f>"3860200185150"</f>
        <v>0</v>
      </c>
      <c r="F7671" t="str">
        <f>"001440"</f>
        <v>0</v>
      </c>
      <c r="G7671" t="s">
        <v>21</v>
      </c>
    </row>
    <row r="7672" spans="1:7">
      <c r="A7672">
        <v>7671</v>
      </c>
      <c r="B7672" t="str">
        <f>"019397"</f>
        <v>0</v>
      </c>
      <c r="C7672" t="s">
        <v>12009</v>
      </c>
      <c r="D7672" t="s">
        <v>12010</v>
      </c>
      <c r="E7672" t="str">
        <f>"3930500490721"</f>
        <v>0</v>
      </c>
      <c r="F7672" t="str">
        <f>"001440"</f>
        <v>0</v>
      </c>
      <c r="G7672" t="s">
        <v>21</v>
      </c>
    </row>
    <row r="7673" spans="1:7">
      <c r="A7673">
        <v>7672</v>
      </c>
      <c r="B7673" t="str">
        <f>"019398"</f>
        <v>0</v>
      </c>
      <c r="C7673" t="s">
        <v>12011</v>
      </c>
      <c r="D7673" t="s">
        <v>5266</v>
      </c>
      <c r="E7673" t="str">
        <f>"3939900241823"</f>
        <v>0</v>
      </c>
      <c r="F7673" t="str">
        <f>"001440"</f>
        <v>0</v>
      </c>
      <c r="G7673" t="s">
        <v>21</v>
      </c>
    </row>
    <row r="7674" spans="1:7">
      <c r="A7674">
        <v>7673</v>
      </c>
      <c r="B7674" t="str">
        <f>"021244"</f>
        <v>0</v>
      </c>
      <c r="C7674" t="s">
        <v>525</v>
      </c>
      <c r="D7674" t="s">
        <v>12012</v>
      </c>
      <c r="E7674" t="str">
        <f>"3859900067069"</f>
        <v>0</v>
      </c>
      <c r="F7674" t="str">
        <f>"001440"</f>
        <v>0</v>
      </c>
      <c r="G7674" t="s">
        <v>21</v>
      </c>
    </row>
    <row r="7675" spans="1:7">
      <c r="A7675">
        <v>7674</v>
      </c>
      <c r="B7675" t="str">
        <f>"022190"</f>
        <v>0</v>
      </c>
      <c r="C7675" t="s">
        <v>12013</v>
      </c>
      <c r="D7675" t="s">
        <v>12014</v>
      </c>
      <c r="E7675" t="str">
        <f>"3859900012451"</f>
        <v>0</v>
      </c>
      <c r="F7675" t="str">
        <f>"001440"</f>
        <v>0</v>
      </c>
      <c r="G7675" t="s">
        <v>21</v>
      </c>
    </row>
    <row r="7676" spans="1:7">
      <c r="A7676">
        <v>7675</v>
      </c>
      <c r="B7676" t="str">
        <f>"022191"</f>
        <v>0</v>
      </c>
      <c r="C7676" t="s">
        <v>12015</v>
      </c>
      <c r="D7676" t="s">
        <v>12016</v>
      </c>
      <c r="E7676" t="str">
        <f>"3860100106134"</f>
        <v>0</v>
      </c>
      <c r="F7676" t="str">
        <f>"001440"</f>
        <v>0</v>
      </c>
      <c r="G7676" t="s">
        <v>21</v>
      </c>
    </row>
    <row r="7677" spans="1:7">
      <c r="A7677">
        <v>7676</v>
      </c>
      <c r="B7677" t="str">
        <f>"022567"</f>
        <v>0</v>
      </c>
      <c r="C7677" t="s">
        <v>12017</v>
      </c>
      <c r="D7677" t="s">
        <v>12018</v>
      </c>
      <c r="E7677" t="str">
        <f>"3850100050279"</f>
        <v>0</v>
      </c>
      <c r="F7677" t="str">
        <f>"001440"</f>
        <v>0</v>
      </c>
      <c r="G7677" t="s">
        <v>21</v>
      </c>
    </row>
    <row r="7678" spans="1:7">
      <c r="A7678">
        <v>7677</v>
      </c>
      <c r="B7678" t="str">
        <f>"023201"</f>
        <v>0</v>
      </c>
      <c r="C7678" t="s">
        <v>12019</v>
      </c>
      <c r="D7678" t="s">
        <v>12020</v>
      </c>
      <c r="E7678" t="str">
        <f>"4850100001951"</f>
        <v>0</v>
      </c>
      <c r="F7678" t="str">
        <f>"001440"</f>
        <v>0</v>
      </c>
      <c r="G7678" t="s">
        <v>21</v>
      </c>
    </row>
    <row r="7679" spans="1:7">
      <c r="A7679">
        <v>7678</v>
      </c>
      <c r="B7679" t="str">
        <f>"023739"</f>
        <v>0</v>
      </c>
      <c r="C7679" t="s">
        <v>12021</v>
      </c>
      <c r="D7679" t="s">
        <v>9770</v>
      </c>
      <c r="E7679" t="str">
        <f>"1860400014328"</f>
        <v>0</v>
      </c>
      <c r="F7679" t="str">
        <f>"001440"</f>
        <v>0</v>
      </c>
      <c r="G7679" t="s">
        <v>21</v>
      </c>
    </row>
    <row r="7680" spans="1:7">
      <c r="A7680">
        <v>7679</v>
      </c>
      <c r="B7680" t="str">
        <f>"024092"</f>
        <v>0</v>
      </c>
      <c r="C7680" t="s">
        <v>1857</v>
      </c>
      <c r="D7680" t="s">
        <v>4176</v>
      </c>
      <c r="E7680" t="str">
        <f>"3850100113793"</f>
        <v>0</v>
      </c>
      <c r="F7680" t="str">
        <f>"001440"</f>
        <v>0</v>
      </c>
      <c r="G7680" t="s">
        <v>21</v>
      </c>
    </row>
    <row r="7681" spans="1:7">
      <c r="A7681">
        <v>7680</v>
      </c>
      <c r="B7681" t="str">
        <f>"024445"</f>
        <v>0</v>
      </c>
      <c r="C7681" t="s">
        <v>12022</v>
      </c>
      <c r="D7681" t="s">
        <v>12023</v>
      </c>
      <c r="E7681" t="str">
        <f>"3801301089530"</f>
        <v>0</v>
      </c>
      <c r="F7681" t="str">
        <f>"001440"</f>
        <v>0</v>
      </c>
      <c r="G7681" t="s">
        <v>21</v>
      </c>
    </row>
    <row r="7682" spans="1:7">
      <c r="A7682">
        <v>7681</v>
      </c>
      <c r="B7682" t="str">
        <f>"025638"</f>
        <v>0</v>
      </c>
      <c r="C7682" t="s">
        <v>12024</v>
      </c>
      <c r="D7682" t="s">
        <v>12025</v>
      </c>
      <c r="E7682" t="str">
        <f>"1779900097655"</f>
        <v>0</v>
      </c>
      <c r="F7682" t="str">
        <f>"001440"</f>
        <v>0</v>
      </c>
      <c r="G7682" t="s">
        <v>21</v>
      </c>
    </row>
    <row r="7683" spans="1:7">
      <c r="A7683">
        <v>7682</v>
      </c>
      <c r="B7683" t="str">
        <f>"027491"</f>
        <v>0</v>
      </c>
      <c r="C7683" t="s">
        <v>12026</v>
      </c>
      <c r="D7683" t="s">
        <v>12027</v>
      </c>
      <c r="E7683" t="str">
        <f>"1859900110600"</f>
        <v>0</v>
      </c>
      <c r="F7683" t="str">
        <f>"001440"</f>
        <v>0</v>
      </c>
      <c r="G7683" t="s">
        <v>21</v>
      </c>
    </row>
    <row r="7684" spans="1:7">
      <c r="A7684">
        <v>7683</v>
      </c>
      <c r="B7684" t="str">
        <f>"013778"</f>
        <v>0</v>
      </c>
      <c r="C7684" t="s">
        <v>12028</v>
      </c>
      <c r="D7684" t="s">
        <v>12029</v>
      </c>
      <c r="E7684" t="str">
        <f>"3869800053571"</f>
        <v>0</v>
      </c>
      <c r="F7684" t="str">
        <f>"001440"</f>
        <v>0</v>
      </c>
      <c r="G7684" t="s">
        <v>21</v>
      </c>
    </row>
    <row r="7685" spans="1:7">
      <c r="A7685">
        <v>7684</v>
      </c>
      <c r="B7685" t="str">
        <f>"020464"</f>
        <v>0</v>
      </c>
      <c r="C7685" t="s">
        <v>12030</v>
      </c>
      <c r="D7685" t="s">
        <v>12031</v>
      </c>
      <c r="E7685" t="str">
        <f>"3860800100295"</f>
        <v>0</v>
      </c>
      <c r="F7685" t="str">
        <f>"001440"</f>
        <v>0</v>
      </c>
      <c r="G7685" t="s">
        <v>21</v>
      </c>
    </row>
    <row r="7686" spans="1:7">
      <c r="A7686">
        <v>7685</v>
      </c>
      <c r="B7686" t="str">
        <f>"025246"</f>
        <v>0</v>
      </c>
      <c r="C7686" t="s">
        <v>12032</v>
      </c>
      <c r="D7686" t="s">
        <v>12033</v>
      </c>
      <c r="E7686" t="str">
        <f>"3920600748193"</f>
        <v>0</v>
      </c>
      <c r="F7686" t="str">
        <f>"001440"</f>
        <v>0</v>
      </c>
      <c r="G7686" t="s">
        <v>21</v>
      </c>
    </row>
    <row r="7687" spans="1:7">
      <c r="A7687">
        <v>7686</v>
      </c>
      <c r="B7687" t="str">
        <f>"021756"</f>
        <v>0</v>
      </c>
      <c r="C7687" t="s">
        <v>2531</v>
      </c>
      <c r="D7687" t="s">
        <v>12034</v>
      </c>
      <c r="E7687" t="str">
        <f>"3900100029007"</f>
        <v>0</v>
      </c>
      <c r="F7687" t="str">
        <f>"001440"</f>
        <v>0</v>
      </c>
      <c r="G7687" t="s">
        <v>21</v>
      </c>
    </row>
    <row r="7688" spans="1:7">
      <c r="A7688">
        <v>7687</v>
      </c>
      <c r="B7688" t="str">
        <f>"026393"</f>
        <v>0</v>
      </c>
      <c r="C7688" t="s">
        <v>12035</v>
      </c>
      <c r="D7688" t="s">
        <v>12036</v>
      </c>
      <c r="E7688" t="str">
        <f>"1809800073117"</f>
        <v>0</v>
      </c>
      <c r="F7688" t="str">
        <f>"001440"</f>
        <v>0</v>
      </c>
      <c r="G7688" t="s">
        <v>21</v>
      </c>
    </row>
    <row r="7689" spans="1:7">
      <c r="A7689">
        <v>7688</v>
      </c>
      <c r="B7689" t="str">
        <f>"026521"</f>
        <v>0</v>
      </c>
      <c r="C7689" t="s">
        <v>4238</v>
      </c>
      <c r="D7689" t="s">
        <v>12037</v>
      </c>
      <c r="E7689" t="str">
        <f>"1909800216600"</f>
        <v>0</v>
      </c>
      <c r="F7689" t="str">
        <f>"001440"</f>
        <v>0</v>
      </c>
      <c r="G7689" t="s">
        <v>21</v>
      </c>
    </row>
    <row r="7690" spans="1:7">
      <c r="A7690">
        <v>7689</v>
      </c>
      <c r="B7690" t="str">
        <f>"027190"</f>
        <v>0</v>
      </c>
      <c r="C7690" t="s">
        <v>12038</v>
      </c>
      <c r="D7690" t="s">
        <v>12039</v>
      </c>
      <c r="E7690" t="str">
        <f>"1909800484230"</f>
        <v>0</v>
      </c>
      <c r="F7690" t="str">
        <f>"001440"</f>
        <v>0</v>
      </c>
      <c r="G7690" t="s">
        <v>21</v>
      </c>
    </row>
    <row r="7691" spans="1:7">
      <c r="A7691">
        <v>7690</v>
      </c>
      <c r="B7691" t="str">
        <f>"027462"</f>
        <v>0</v>
      </c>
      <c r="C7691" t="s">
        <v>12040</v>
      </c>
      <c r="D7691" t="s">
        <v>12041</v>
      </c>
      <c r="E7691" t="str">
        <f>"1949900085281"</f>
        <v>0</v>
      </c>
      <c r="F7691" t="str">
        <f>"001440"</f>
        <v>0</v>
      </c>
      <c r="G7691" t="s">
        <v>21</v>
      </c>
    </row>
    <row r="7692" spans="1:7">
      <c r="A7692">
        <v>7691</v>
      </c>
      <c r="B7692" t="str">
        <f>"026770"</f>
        <v>0</v>
      </c>
      <c r="C7692" t="s">
        <v>12042</v>
      </c>
      <c r="D7692" t="s">
        <v>12043</v>
      </c>
      <c r="E7692" t="str">
        <f>"1939900170270"</f>
        <v>0</v>
      </c>
      <c r="F7692" t="str">
        <f>"001440"</f>
        <v>0</v>
      </c>
      <c r="G7692" t="s">
        <v>21</v>
      </c>
    </row>
    <row r="7693" spans="1:7">
      <c r="A7693">
        <v>7692</v>
      </c>
      <c r="B7693" t="str">
        <f>"026769"</f>
        <v>0</v>
      </c>
      <c r="C7693" t="s">
        <v>12044</v>
      </c>
      <c r="D7693" t="s">
        <v>12045</v>
      </c>
      <c r="E7693" t="str">
        <f>"1949800060278"</f>
        <v>0</v>
      </c>
      <c r="F7693" t="str">
        <f>"001440"</f>
        <v>0</v>
      </c>
      <c r="G7693" t="s">
        <v>21</v>
      </c>
    </row>
    <row r="7694" spans="1:7">
      <c r="A7694">
        <v>7693</v>
      </c>
      <c r="B7694" t="str">
        <f>"001285"</f>
        <v>0</v>
      </c>
      <c r="C7694" t="s">
        <v>4249</v>
      </c>
      <c r="D7694" t="s">
        <v>12046</v>
      </c>
      <c r="E7694" t="str">
        <f>"4210600001157"</f>
        <v>0</v>
      </c>
      <c r="F7694" t="str">
        <f>"001450"</f>
        <v>0</v>
      </c>
      <c r="G7694" t="s">
        <v>21</v>
      </c>
    </row>
    <row r="7695" spans="1:7">
      <c r="A7695">
        <v>7694</v>
      </c>
      <c r="B7695" t="str">
        <f>"001541"</f>
        <v>0</v>
      </c>
      <c r="C7695" t="s">
        <v>12047</v>
      </c>
      <c r="D7695" t="s">
        <v>12048</v>
      </c>
      <c r="E7695" t="str">
        <f>"3219900300087"</f>
        <v>0</v>
      </c>
      <c r="F7695" t="str">
        <f>"001450"</f>
        <v>0</v>
      </c>
      <c r="G7695" t="s">
        <v>21</v>
      </c>
    </row>
    <row r="7696" spans="1:7">
      <c r="A7696">
        <v>7695</v>
      </c>
      <c r="B7696" t="str">
        <f>"002178"</f>
        <v>0</v>
      </c>
      <c r="C7696" t="s">
        <v>449</v>
      </c>
      <c r="D7696" t="s">
        <v>12049</v>
      </c>
      <c r="E7696" t="str">
        <f>"3229900097877"</f>
        <v>0</v>
      </c>
      <c r="F7696" t="str">
        <f>"001450"</f>
        <v>0</v>
      </c>
      <c r="G7696" t="s">
        <v>21</v>
      </c>
    </row>
    <row r="7697" spans="1:7">
      <c r="A7697">
        <v>7696</v>
      </c>
      <c r="B7697" t="str">
        <f>"002727"</f>
        <v>0</v>
      </c>
      <c r="C7697" t="s">
        <v>832</v>
      </c>
      <c r="D7697" t="s">
        <v>12046</v>
      </c>
      <c r="E7697" t="str">
        <f>"4210600001165"</f>
        <v>0</v>
      </c>
      <c r="F7697" t="str">
        <f>"001450"</f>
        <v>0</v>
      </c>
      <c r="G7697" t="s">
        <v>21</v>
      </c>
    </row>
    <row r="7698" spans="1:7">
      <c r="A7698">
        <v>7697</v>
      </c>
      <c r="B7698" t="str">
        <f>"002931"</f>
        <v>0</v>
      </c>
      <c r="C7698" t="s">
        <v>5104</v>
      </c>
      <c r="D7698" t="s">
        <v>12050</v>
      </c>
      <c r="E7698" t="str">
        <f>"3210300098114"</f>
        <v>0</v>
      </c>
      <c r="F7698" t="str">
        <f>"001450"</f>
        <v>0</v>
      </c>
      <c r="G7698" t="s">
        <v>21</v>
      </c>
    </row>
    <row r="7699" spans="1:7">
      <c r="A7699">
        <v>7698</v>
      </c>
      <c r="B7699" t="str">
        <f>"003043"</f>
        <v>0</v>
      </c>
      <c r="C7699" t="s">
        <v>12051</v>
      </c>
      <c r="D7699" t="s">
        <v>9084</v>
      </c>
      <c r="E7699" t="str">
        <f>"3219900324458"</f>
        <v>0</v>
      </c>
      <c r="F7699" t="str">
        <f>"001450"</f>
        <v>0</v>
      </c>
      <c r="G7699" t="s">
        <v>21</v>
      </c>
    </row>
    <row r="7700" spans="1:7">
      <c r="A7700">
        <v>7699</v>
      </c>
      <c r="B7700" t="str">
        <f>"005822"</f>
        <v>0</v>
      </c>
      <c r="C7700" t="s">
        <v>36</v>
      </c>
      <c r="D7700" t="s">
        <v>7563</v>
      </c>
      <c r="E7700" t="str">
        <f>"3210300059615"</f>
        <v>0</v>
      </c>
      <c r="F7700" t="str">
        <f>"001450"</f>
        <v>0</v>
      </c>
      <c r="G7700" t="s">
        <v>21</v>
      </c>
    </row>
    <row r="7701" spans="1:7">
      <c r="A7701">
        <v>7700</v>
      </c>
      <c r="B7701" t="str">
        <f>"006203"</f>
        <v>0</v>
      </c>
      <c r="C7701" t="s">
        <v>12052</v>
      </c>
      <c r="D7701" t="s">
        <v>12053</v>
      </c>
      <c r="E7701" t="str">
        <f>"3489900075405"</f>
        <v>0</v>
      </c>
      <c r="F7701" t="str">
        <f>"001450"</f>
        <v>0</v>
      </c>
      <c r="G7701" t="s">
        <v>21</v>
      </c>
    </row>
    <row r="7702" spans="1:7">
      <c r="A7702">
        <v>7701</v>
      </c>
      <c r="B7702" t="str">
        <f>"007578"</f>
        <v>0</v>
      </c>
      <c r="C7702" t="s">
        <v>12054</v>
      </c>
      <c r="D7702" t="s">
        <v>12055</v>
      </c>
      <c r="E7702" t="str">
        <f>"3210100165195"</f>
        <v>0</v>
      </c>
      <c r="F7702" t="str">
        <f>"001450"</f>
        <v>0</v>
      </c>
      <c r="G7702" t="s">
        <v>21</v>
      </c>
    </row>
    <row r="7703" spans="1:7">
      <c r="A7703">
        <v>7702</v>
      </c>
      <c r="B7703" t="str">
        <f>"007725"</f>
        <v>0</v>
      </c>
      <c r="C7703" t="s">
        <v>6546</v>
      </c>
      <c r="D7703" t="s">
        <v>12056</v>
      </c>
      <c r="E7703" t="str">
        <f>"3920600571617"</f>
        <v>0</v>
      </c>
      <c r="F7703" t="str">
        <f>"001450"</f>
        <v>0</v>
      </c>
      <c r="G7703" t="s">
        <v>21</v>
      </c>
    </row>
    <row r="7704" spans="1:7">
      <c r="A7704">
        <v>7703</v>
      </c>
      <c r="B7704" t="str">
        <f>"008539"</f>
        <v>0</v>
      </c>
      <c r="C7704" t="s">
        <v>1794</v>
      </c>
      <c r="D7704" t="s">
        <v>12057</v>
      </c>
      <c r="E7704" t="str">
        <f>"4210600001319"</f>
        <v>0</v>
      </c>
      <c r="F7704" t="str">
        <f>"001450"</f>
        <v>0</v>
      </c>
      <c r="G7704" t="s">
        <v>21</v>
      </c>
    </row>
    <row r="7705" spans="1:7">
      <c r="A7705">
        <v>7704</v>
      </c>
      <c r="B7705" t="str">
        <f>"008688"</f>
        <v>0</v>
      </c>
      <c r="C7705" t="s">
        <v>3020</v>
      </c>
      <c r="D7705" t="s">
        <v>9567</v>
      </c>
      <c r="E7705" t="str">
        <f>"3930300274269"</f>
        <v>0</v>
      </c>
      <c r="F7705" t="str">
        <f>"001450"</f>
        <v>0</v>
      </c>
      <c r="G7705" t="s">
        <v>21</v>
      </c>
    </row>
    <row r="7706" spans="1:7">
      <c r="A7706">
        <v>7705</v>
      </c>
      <c r="B7706" t="str">
        <f>"008732"</f>
        <v>0</v>
      </c>
      <c r="C7706" t="s">
        <v>12058</v>
      </c>
      <c r="D7706" t="s">
        <v>12059</v>
      </c>
      <c r="E7706" t="str">
        <f>"3510100362044"</f>
        <v>0</v>
      </c>
      <c r="F7706" t="str">
        <f>"001450"</f>
        <v>0</v>
      </c>
      <c r="G7706" t="s">
        <v>21</v>
      </c>
    </row>
    <row r="7707" spans="1:7">
      <c r="A7707">
        <v>7706</v>
      </c>
      <c r="B7707" t="str">
        <f>"008859"</f>
        <v>0</v>
      </c>
      <c r="C7707" t="s">
        <v>12060</v>
      </c>
      <c r="D7707" t="s">
        <v>12061</v>
      </c>
      <c r="E7707" t="str">
        <f>"3239900082471"</f>
        <v>0</v>
      </c>
      <c r="F7707" t="str">
        <f>"001450"</f>
        <v>0</v>
      </c>
      <c r="G7707" t="s">
        <v>21</v>
      </c>
    </row>
    <row r="7708" spans="1:7">
      <c r="A7708">
        <v>7707</v>
      </c>
      <c r="B7708" t="str">
        <f>"009387"</f>
        <v>0</v>
      </c>
      <c r="C7708" t="s">
        <v>12062</v>
      </c>
      <c r="D7708" t="s">
        <v>12063</v>
      </c>
      <c r="E7708" t="str">
        <f>"3210100338626"</f>
        <v>0</v>
      </c>
      <c r="F7708" t="str">
        <f>"001450"</f>
        <v>0</v>
      </c>
      <c r="G7708" t="s">
        <v>21</v>
      </c>
    </row>
    <row r="7709" spans="1:7">
      <c r="A7709">
        <v>7708</v>
      </c>
      <c r="B7709" t="str">
        <f>"010259"</f>
        <v>0</v>
      </c>
      <c r="C7709" t="s">
        <v>4575</v>
      </c>
      <c r="D7709" t="s">
        <v>12064</v>
      </c>
      <c r="E7709" t="str">
        <f>"3120101254176"</f>
        <v>0</v>
      </c>
      <c r="F7709" t="str">
        <f>"001450"</f>
        <v>0</v>
      </c>
      <c r="G7709" t="s">
        <v>21</v>
      </c>
    </row>
    <row r="7710" spans="1:7">
      <c r="A7710">
        <v>7709</v>
      </c>
      <c r="B7710" t="str">
        <f>"010317"</f>
        <v>0</v>
      </c>
      <c r="C7710" t="s">
        <v>570</v>
      </c>
      <c r="D7710" t="s">
        <v>12065</v>
      </c>
      <c r="E7710" t="str">
        <f>"3200900308870"</f>
        <v>0</v>
      </c>
      <c r="F7710" t="str">
        <f>"001450"</f>
        <v>0</v>
      </c>
      <c r="G7710" t="s">
        <v>21</v>
      </c>
    </row>
    <row r="7711" spans="1:7">
      <c r="A7711">
        <v>7710</v>
      </c>
      <c r="B7711" t="str">
        <f>"010410"</f>
        <v>0</v>
      </c>
      <c r="C7711" t="s">
        <v>1837</v>
      </c>
      <c r="D7711" t="s">
        <v>12066</v>
      </c>
      <c r="E7711" t="str">
        <f>"3210600152955"</f>
        <v>0</v>
      </c>
      <c r="F7711" t="str">
        <f>"001450"</f>
        <v>0</v>
      </c>
      <c r="G7711" t="s">
        <v>21</v>
      </c>
    </row>
    <row r="7712" spans="1:7">
      <c r="A7712">
        <v>7711</v>
      </c>
      <c r="B7712" t="str">
        <f>"010619"</f>
        <v>0</v>
      </c>
      <c r="C7712" t="s">
        <v>12067</v>
      </c>
      <c r="D7712" t="s">
        <v>3872</v>
      </c>
      <c r="E7712" t="str">
        <f>"3210500163815"</f>
        <v>0</v>
      </c>
      <c r="F7712" t="str">
        <f>"001450"</f>
        <v>0</v>
      </c>
      <c r="G7712" t="s">
        <v>21</v>
      </c>
    </row>
    <row r="7713" spans="1:7">
      <c r="A7713">
        <v>7712</v>
      </c>
      <c r="B7713" t="str">
        <f>"010912"</f>
        <v>0</v>
      </c>
      <c r="C7713" t="s">
        <v>1128</v>
      </c>
      <c r="D7713" t="s">
        <v>12068</v>
      </c>
      <c r="E7713" t="str">
        <f>"3200900855153"</f>
        <v>0</v>
      </c>
      <c r="F7713" t="str">
        <f>"001450"</f>
        <v>0</v>
      </c>
      <c r="G7713" t="s">
        <v>21</v>
      </c>
    </row>
    <row r="7714" spans="1:7">
      <c r="A7714">
        <v>7713</v>
      </c>
      <c r="B7714" t="str">
        <f>"010951"</f>
        <v>0</v>
      </c>
      <c r="C7714" t="s">
        <v>104</v>
      </c>
      <c r="D7714" t="s">
        <v>12069</v>
      </c>
      <c r="E7714" t="str">
        <f>"3210600079867"</f>
        <v>0</v>
      </c>
      <c r="F7714" t="str">
        <f>"001450"</f>
        <v>0</v>
      </c>
      <c r="G7714" t="s">
        <v>21</v>
      </c>
    </row>
    <row r="7715" spans="1:7">
      <c r="A7715">
        <v>7714</v>
      </c>
      <c r="B7715" t="str">
        <f>"011014"</f>
        <v>0</v>
      </c>
      <c r="C7715" t="s">
        <v>2315</v>
      </c>
      <c r="D7715" t="s">
        <v>12070</v>
      </c>
      <c r="E7715" t="str">
        <f>"3210100669185"</f>
        <v>0</v>
      </c>
      <c r="F7715" t="str">
        <f>"001450"</f>
        <v>0</v>
      </c>
      <c r="G7715" t="s">
        <v>21</v>
      </c>
    </row>
    <row r="7716" spans="1:7">
      <c r="A7716">
        <v>7715</v>
      </c>
      <c r="B7716" t="str">
        <f>"011195"</f>
        <v>0</v>
      </c>
      <c r="C7716" t="s">
        <v>12071</v>
      </c>
      <c r="D7716" t="s">
        <v>7512</v>
      </c>
      <c r="E7716" t="str">
        <f>"3210300098131"</f>
        <v>0</v>
      </c>
      <c r="F7716" t="str">
        <f>"001450"</f>
        <v>0</v>
      </c>
      <c r="G7716" t="s">
        <v>21</v>
      </c>
    </row>
    <row r="7717" spans="1:7">
      <c r="A7717">
        <v>7716</v>
      </c>
      <c r="B7717" t="str">
        <f>"011413"</f>
        <v>0</v>
      </c>
      <c r="C7717" t="s">
        <v>587</v>
      </c>
      <c r="D7717" t="s">
        <v>12072</v>
      </c>
      <c r="E7717" t="str">
        <f>"3130500088369"</f>
        <v>0</v>
      </c>
      <c r="F7717" t="str">
        <f>"001450"</f>
        <v>0</v>
      </c>
      <c r="G7717" t="s">
        <v>21</v>
      </c>
    </row>
    <row r="7718" spans="1:7">
      <c r="A7718">
        <v>7717</v>
      </c>
      <c r="B7718" t="str">
        <f>"011793"</f>
        <v>0</v>
      </c>
      <c r="C7718" t="s">
        <v>7541</v>
      </c>
      <c r="D7718" t="s">
        <v>12073</v>
      </c>
      <c r="E7718" t="str">
        <f>"5140200001078"</f>
        <v>0</v>
      </c>
      <c r="F7718" t="str">
        <f>"001450"</f>
        <v>0</v>
      </c>
      <c r="G7718" t="s">
        <v>21</v>
      </c>
    </row>
    <row r="7719" spans="1:7">
      <c r="A7719">
        <v>7718</v>
      </c>
      <c r="B7719" t="str">
        <f>"012171"</f>
        <v>0</v>
      </c>
      <c r="C7719" t="s">
        <v>12074</v>
      </c>
      <c r="D7719" t="s">
        <v>12075</v>
      </c>
      <c r="E7719" t="str">
        <f>"3101500136071"</f>
        <v>0</v>
      </c>
      <c r="F7719" t="str">
        <f>"001450"</f>
        <v>0</v>
      </c>
      <c r="G7719" t="s">
        <v>21</v>
      </c>
    </row>
    <row r="7720" spans="1:7">
      <c r="A7720">
        <v>7719</v>
      </c>
      <c r="B7720" t="str">
        <f>"012594"</f>
        <v>0</v>
      </c>
      <c r="C7720" t="s">
        <v>12076</v>
      </c>
      <c r="D7720" t="s">
        <v>12077</v>
      </c>
      <c r="E7720" t="str">
        <f>"3200500276865"</f>
        <v>0</v>
      </c>
      <c r="F7720" t="str">
        <f>"001450"</f>
        <v>0</v>
      </c>
      <c r="G7720" t="s">
        <v>21</v>
      </c>
    </row>
    <row r="7721" spans="1:7">
      <c r="A7721">
        <v>7720</v>
      </c>
      <c r="B7721" t="str">
        <f>"012961"</f>
        <v>0</v>
      </c>
      <c r="C7721" t="s">
        <v>2596</v>
      </c>
      <c r="D7721" t="s">
        <v>12078</v>
      </c>
      <c r="E7721" t="str">
        <f>"5210100045145"</f>
        <v>0</v>
      </c>
      <c r="F7721" t="str">
        <f>"001450"</f>
        <v>0</v>
      </c>
      <c r="G7721" t="s">
        <v>21</v>
      </c>
    </row>
    <row r="7722" spans="1:7">
      <c r="A7722">
        <v>7721</v>
      </c>
      <c r="B7722" t="str">
        <f>"013510"</f>
        <v>0</v>
      </c>
      <c r="C7722" t="s">
        <v>12079</v>
      </c>
      <c r="D7722" t="s">
        <v>12070</v>
      </c>
      <c r="E7722" t="str">
        <f>"3210500549306"</f>
        <v>0</v>
      </c>
      <c r="F7722" t="str">
        <f>"001450"</f>
        <v>0</v>
      </c>
      <c r="G7722" t="s">
        <v>21</v>
      </c>
    </row>
    <row r="7723" spans="1:7">
      <c r="A7723">
        <v>7722</v>
      </c>
      <c r="B7723" t="str">
        <f>"013988"</f>
        <v>0</v>
      </c>
      <c r="C7723" t="s">
        <v>264</v>
      </c>
      <c r="D7723" t="s">
        <v>12080</v>
      </c>
      <c r="E7723" t="str">
        <f>"3411700913850"</f>
        <v>0</v>
      </c>
      <c r="F7723" t="str">
        <f>"001450"</f>
        <v>0</v>
      </c>
      <c r="G7723" t="s">
        <v>21</v>
      </c>
    </row>
    <row r="7724" spans="1:7">
      <c r="A7724">
        <v>7723</v>
      </c>
      <c r="B7724" t="str">
        <f>"018279"</f>
        <v>0</v>
      </c>
      <c r="C7724" t="s">
        <v>12081</v>
      </c>
      <c r="D7724" t="s">
        <v>12082</v>
      </c>
      <c r="E7724" t="str">
        <f>"3100700179040"</f>
        <v>0</v>
      </c>
      <c r="F7724" t="str">
        <f>"001450"</f>
        <v>0</v>
      </c>
      <c r="G7724" t="s">
        <v>21</v>
      </c>
    </row>
    <row r="7725" spans="1:7">
      <c r="A7725">
        <v>7724</v>
      </c>
      <c r="B7725" t="str">
        <f>"019733"</f>
        <v>0</v>
      </c>
      <c r="C7725" t="s">
        <v>12083</v>
      </c>
      <c r="D7725" t="s">
        <v>12084</v>
      </c>
      <c r="E7725" t="str">
        <f>"3209900248565"</f>
        <v>0</v>
      </c>
      <c r="F7725" t="str">
        <f>"001450"</f>
        <v>0</v>
      </c>
      <c r="G7725" t="s">
        <v>21</v>
      </c>
    </row>
    <row r="7726" spans="1:7">
      <c r="A7726">
        <v>7725</v>
      </c>
      <c r="B7726" t="str">
        <f>"005815"</f>
        <v>0</v>
      </c>
      <c r="C7726" t="s">
        <v>12085</v>
      </c>
      <c r="D7726" t="s">
        <v>12086</v>
      </c>
      <c r="E7726" t="str">
        <f>"3100203172861"</f>
        <v>0</v>
      </c>
      <c r="F7726" t="str">
        <f>"001450"</f>
        <v>0</v>
      </c>
      <c r="G7726" t="s">
        <v>21</v>
      </c>
    </row>
    <row r="7727" spans="1:7">
      <c r="A7727">
        <v>7726</v>
      </c>
      <c r="B7727" t="str">
        <f>"012965"</f>
        <v>0</v>
      </c>
      <c r="C7727" t="s">
        <v>12087</v>
      </c>
      <c r="D7727" t="s">
        <v>12057</v>
      </c>
      <c r="E7727" t="str">
        <f>"3210600309099"</f>
        <v>0</v>
      </c>
      <c r="F7727" t="str">
        <f>"001450"</f>
        <v>0</v>
      </c>
      <c r="G7727" t="s">
        <v>21</v>
      </c>
    </row>
    <row r="7728" spans="1:7">
      <c r="A7728">
        <v>7727</v>
      </c>
      <c r="B7728" t="str">
        <f>"012968"</f>
        <v>0</v>
      </c>
      <c r="C7728" t="s">
        <v>12088</v>
      </c>
      <c r="D7728" t="s">
        <v>3149</v>
      </c>
      <c r="E7728" t="str">
        <f>"3210600308785"</f>
        <v>0</v>
      </c>
      <c r="F7728" t="str">
        <f>"001450"</f>
        <v>0</v>
      </c>
      <c r="G7728" t="s">
        <v>21</v>
      </c>
    </row>
    <row r="7729" spans="1:7">
      <c r="A7729">
        <v>7728</v>
      </c>
      <c r="B7729" t="str">
        <f>"015438"</f>
        <v>0</v>
      </c>
      <c r="C7729" t="s">
        <v>104</v>
      </c>
      <c r="D7729" t="s">
        <v>12089</v>
      </c>
      <c r="E7729" t="str">
        <f>"3210600162454"</f>
        <v>0</v>
      </c>
      <c r="F7729" t="str">
        <f>"001450"</f>
        <v>0</v>
      </c>
      <c r="G7729" t="s">
        <v>21</v>
      </c>
    </row>
    <row r="7730" spans="1:7">
      <c r="A7730">
        <v>7729</v>
      </c>
      <c r="B7730" t="str">
        <f>"015442"</f>
        <v>0</v>
      </c>
      <c r="C7730" t="s">
        <v>12090</v>
      </c>
      <c r="D7730" t="s">
        <v>12091</v>
      </c>
      <c r="E7730" t="str">
        <f>"4200900009463"</f>
        <v>0</v>
      </c>
      <c r="F7730" t="str">
        <f>"001450"</f>
        <v>0</v>
      </c>
      <c r="G7730" t="s">
        <v>21</v>
      </c>
    </row>
    <row r="7731" spans="1:7">
      <c r="A7731">
        <v>7730</v>
      </c>
      <c r="B7731" t="str">
        <f>"015930"</f>
        <v>0</v>
      </c>
      <c r="C7731" t="s">
        <v>12092</v>
      </c>
      <c r="D7731" t="s">
        <v>12093</v>
      </c>
      <c r="E7731" t="str">
        <f>"2320300001006"</f>
        <v>0</v>
      </c>
      <c r="F7731" t="str">
        <f>"001450"</f>
        <v>0</v>
      </c>
      <c r="G7731" t="s">
        <v>21</v>
      </c>
    </row>
    <row r="7732" spans="1:7">
      <c r="A7732">
        <v>7731</v>
      </c>
      <c r="B7732" t="str">
        <f>"017061"</f>
        <v>0</v>
      </c>
      <c r="C7732" t="s">
        <v>12094</v>
      </c>
      <c r="D7732" t="s">
        <v>12095</v>
      </c>
      <c r="E7732" t="str">
        <f>"3210100412991"</f>
        <v>0</v>
      </c>
      <c r="F7732" t="str">
        <f>"001450"</f>
        <v>0</v>
      </c>
      <c r="G7732" t="s">
        <v>21</v>
      </c>
    </row>
    <row r="7733" spans="1:7">
      <c r="A7733">
        <v>7732</v>
      </c>
      <c r="B7733" t="str">
        <f>"006972"</f>
        <v>0</v>
      </c>
      <c r="C7733" t="s">
        <v>307</v>
      </c>
      <c r="D7733" t="s">
        <v>12096</v>
      </c>
      <c r="E7733" t="str">
        <f>"3210100645456"</f>
        <v>0</v>
      </c>
      <c r="F7733" t="str">
        <f>"001450"</f>
        <v>0</v>
      </c>
      <c r="G7733" t="s">
        <v>21</v>
      </c>
    </row>
    <row r="7734" spans="1:7">
      <c r="A7734">
        <v>7733</v>
      </c>
      <c r="B7734" t="str">
        <f>"018156"</f>
        <v>0</v>
      </c>
      <c r="C7734" t="s">
        <v>4875</v>
      </c>
      <c r="D7734" t="s">
        <v>12097</v>
      </c>
      <c r="E7734" t="str">
        <f>"3210600308912"</f>
        <v>0</v>
      </c>
      <c r="F7734" t="str">
        <f>"001450"</f>
        <v>0</v>
      </c>
      <c r="G7734" t="s">
        <v>21</v>
      </c>
    </row>
    <row r="7735" spans="1:7">
      <c r="A7735">
        <v>7734</v>
      </c>
      <c r="B7735" t="str">
        <f>"024094"</f>
        <v>0</v>
      </c>
      <c r="C7735" t="s">
        <v>12098</v>
      </c>
      <c r="D7735" t="s">
        <v>12099</v>
      </c>
      <c r="E7735" t="str">
        <f>"1100800334431"</f>
        <v>0</v>
      </c>
      <c r="F7735" t="str">
        <f>"001450"</f>
        <v>0</v>
      </c>
      <c r="G7735" t="s">
        <v>21</v>
      </c>
    </row>
    <row r="7736" spans="1:7">
      <c r="A7736">
        <v>7735</v>
      </c>
      <c r="B7736" t="str">
        <f>"026906"</f>
        <v>0</v>
      </c>
      <c r="C7736" t="s">
        <v>12100</v>
      </c>
      <c r="D7736" t="s">
        <v>12101</v>
      </c>
      <c r="E7736" t="str">
        <f>"3101202715455"</f>
        <v>0</v>
      </c>
      <c r="F7736" t="str">
        <f>"001450"</f>
        <v>0</v>
      </c>
      <c r="G7736" t="s">
        <v>21</v>
      </c>
    </row>
    <row r="7737" spans="1:7">
      <c r="A7737">
        <v>7736</v>
      </c>
      <c r="B7737" t="str">
        <f>"021022"</f>
        <v>0</v>
      </c>
      <c r="C7737" t="s">
        <v>12102</v>
      </c>
      <c r="D7737" t="s">
        <v>12103</v>
      </c>
      <c r="E7737" t="str">
        <f>"3160300877343"</f>
        <v>0</v>
      </c>
      <c r="F7737" t="str">
        <f>"001450"</f>
        <v>0</v>
      </c>
      <c r="G7737" t="s">
        <v>21</v>
      </c>
    </row>
    <row r="7738" spans="1:7">
      <c r="A7738">
        <v>7737</v>
      </c>
      <c r="B7738" t="str">
        <f>"010622"</f>
        <v>0</v>
      </c>
      <c r="C7738" t="s">
        <v>12104</v>
      </c>
      <c r="D7738" t="s">
        <v>12105</v>
      </c>
      <c r="E7738" t="str">
        <f>"3210300085977"</f>
        <v>0</v>
      </c>
      <c r="F7738" t="str">
        <f>"001450"</f>
        <v>0</v>
      </c>
      <c r="G7738" t="s">
        <v>21</v>
      </c>
    </row>
    <row r="7739" spans="1:7">
      <c r="A7739">
        <v>7738</v>
      </c>
      <c r="B7739" t="str">
        <f>"011060"</f>
        <v>0</v>
      </c>
      <c r="C7739" t="s">
        <v>12106</v>
      </c>
      <c r="D7739" t="s">
        <v>12077</v>
      </c>
      <c r="E7739" t="str">
        <f>"3930500931441"</f>
        <v>0</v>
      </c>
      <c r="F7739" t="str">
        <f>"001450"</f>
        <v>0</v>
      </c>
      <c r="G7739" t="s">
        <v>21</v>
      </c>
    </row>
    <row r="7740" spans="1:7">
      <c r="A7740">
        <v>7739</v>
      </c>
      <c r="B7740" t="str">
        <f>"011705"</f>
        <v>0</v>
      </c>
      <c r="C7740" t="s">
        <v>338</v>
      </c>
      <c r="D7740" t="s">
        <v>9264</v>
      </c>
      <c r="E7740" t="str">
        <f>"3269900032660"</f>
        <v>0</v>
      </c>
      <c r="F7740" t="str">
        <f>"001450"</f>
        <v>0</v>
      </c>
      <c r="G7740" t="s">
        <v>21</v>
      </c>
    </row>
    <row r="7741" spans="1:7">
      <c r="A7741">
        <v>7740</v>
      </c>
      <c r="B7741" t="str">
        <f>"012081"</f>
        <v>0</v>
      </c>
      <c r="C7741" t="s">
        <v>12107</v>
      </c>
      <c r="D7741" t="s">
        <v>12108</v>
      </c>
      <c r="E7741" t="str">
        <f>"3210100226381"</f>
        <v>0</v>
      </c>
      <c r="F7741" t="str">
        <f>"001450"</f>
        <v>0</v>
      </c>
      <c r="G7741" t="s">
        <v>21</v>
      </c>
    </row>
    <row r="7742" spans="1:7">
      <c r="A7742">
        <v>7741</v>
      </c>
      <c r="B7742" t="str">
        <f>"012357"</f>
        <v>0</v>
      </c>
      <c r="C7742" t="s">
        <v>8081</v>
      </c>
      <c r="D7742" t="s">
        <v>12109</v>
      </c>
      <c r="E7742" t="str">
        <f>"3219900232278"</f>
        <v>0</v>
      </c>
      <c r="F7742" t="str">
        <f>"001450"</f>
        <v>0</v>
      </c>
      <c r="G7742" t="s">
        <v>21</v>
      </c>
    </row>
    <row r="7743" spans="1:7">
      <c r="A7743">
        <v>7742</v>
      </c>
      <c r="B7743" t="str">
        <f>"012641"</f>
        <v>0</v>
      </c>
      <c r="C7743" t="s">
        <v>3655</v>
      </c>
      <c r="D7743" t="s">
        <v>12110</v>
      </c>
      <c r="E7743" t="str">
        <f>"3210100385713"</f>
        <v>0</v>
      </c>
      <c r="F7743" t="str">
        <f>"001450"</f>
        <v>0</v>
      </c>
      <c r="G7743" t="s">
        <v>21</v>
      </c>
    </row>
    <row r="7744" spans="1:7">
      <c r="A7744">
        <v>7743</v>
      </c>
      <c r="B7744" t="str">
        <f>"014995"</f>
        <v>0</v>
      </c>
      <c r="C7744" t="s">
        <v>8877</v>
      </c>
      <c r="D7744" t="s">
        <v>12111</v>
      </c>
      <c r="E7744" t="str">
        <f>"3210500686583"</f>
        <v>0</v>
      </c>
      <c r="F7744" t="str">
        <f>"001450"</f>
        <v>0</v>
      </c>
      <c r="G7744" t="s">
        <v>21</v>
      </c>
    </row>
    <row r="7745" spans="1:7">
      <c r="A7745">
        <v>7744</v>
      </c>
      <c r="B7745" t="str">
        <f>"015986"</f>
        <v>0</v>
      </c>
      <c r="C7745" t="s">
        <v>694</v>
      </c>
      <c r="D7745" t="s">
        <v>12112</v>
      </c>
      <c r="E7745" t="str">
        <f>"3219900275007"</f>
        <v>0</v>
      </c>
      <c r="F7745" t="str">
        <f>"001450"</f>
        <v>0</v>
      </c>
      <c r="G7745" t="s">
        <v>21</v>
      </c>
    </row>
    <row r="7746" spans="1:7">
      <c r="A7746">
        <v>7745</v>
      </c>
      <c r="B7746" t="str">
        <f>"016004"</f>
        <v>0</v>
      </c>
      <c r="C7746" t="s">
        <v>6010</v>
      </c>
      <c r="D7746" t="s">
        <v>10814</v>
      </c>
      <c r="E7746" t="str">
        <f>"3210500226281"</f>
        <v>0</v>
      </c>
      <c r="F7746" t="str">
        <f>"001450"</f>
        <v>0</v>
      </c>
      <c r="G7746" t="s">
        <v>21</v>
      </c>
    </row>
    <row r="7747" spans="1:7">
      <c r="A7747">
        <v>7746</v>
      </c>
      <c r="B7747" t="str">
        <f>"016420"</f>
        <v>0</v>
      </c>
      <c r="C7747" t="s">
        <v>12113</v>
      </c>
      <c r="D7747" t="s">
        <v>12114</v>
      </c>
      <c r="E7747" t="str">
        <f>"3230100089731"</f>
        <v>0</v>
      </c>
      <c r="F7747" t="str">
        <f>"001450"</f>
        <v>0</v>
      </c>
      <c r="G7747" t="s">
        <v>21</v>
      </c>
    </row>
    <row r="7748" spans="1:7">
      <c r="A7748">
        <v>7747</v>
      </c>
      <c r="B7748" t="str">
        <f>"017571"</f>
        <v>0</v>
      </c>
      <c r="C7748" t="s">
        <v>12115</v>
      </c>
      <c r="D7748" t="s">
        <v>12116</v>
      </c>
      <c r="E7748" t="str">
        <f>"3200400254053"</f>
        <v>0</v>
      </c>
      <c r="F7748" t="str">
        <f>"001450"</f>
        <v>0</v>
      </c>
      <c r="G7748" t="s">
        <v>21</v>
      </c>
    </row>
    <row r="7749" spans="1:7">
      <c r="A7749">
        <v>7748</v>
      </c>
      <c r="B7749" t="str">
        <f>"018073"</f>
        <v>0</v>
      </c>
      <c r="C7749" t="s">
        <v>12117</v>
      </c>
      <c r="D7749" t="s">
        <v>12118</v>
      </c>
      <c r="E7749" t="str">
        <f>"3210400034851"</f>
        <v>0</v>
      </c>
      <c r="F7749" t="str">
        <f>"001450"</f>
        <v>0</v>
      </c>
      <c r="G7749" t="s">
        <v>21</v>
      </c>
    </row>
    <row r="7750" spans="1:7">
      <c r="A7750">
        <v>7749</v>
      </c>
      <c r="B7750" t="str">
        <f>"019318"</f>
        <v>0</v>
      </c>
      <c r="C7750" t="s">
        <v>260</v>
      </c>
      <c r="D7750" t="s">
        <v>10559</v>
      </c>
      <c r="E7750" t="str">
        <f>"3120101775621"</f>
        <v>0</v>
      </c>
      <c r="F7750" t="str">
        <f>"001450"</f>
        <v>0</v>
      </c>
      <c r="G7750" t="s">
        <v>21</v>
      </c>
    </row>
    <row r="7751" spans="1:7">
      <c r="A7751">
        <v>7750</v>
      </c>
      <c r="B7751" t="str">
        <f>"020644"</f>
        <v>0</v>
      </c>
      <c r="C7751" t="s">
        <v>7541</v>
      </c>
      <c r="D7751" t="s">
        <v>12119</v>
      </c>
      <c r="E7751" t="str">
        <f>"3210100060164"</f>
        <v>0</v>
      </c>
      <c r="F7751" t="str">
        <f>"001450"</f>
        <v>0</v>
      </c>
      <c r="G7751" t="s">
        <v>21</v>
      </c>
    </row>
    <row r="7752" spans="1:7">
      <c r="A7752">
        <v>7751</v>
      </c>
      <c r="B7752" t="str">
        <f>"020729"</f>
        <v>0</v>
      </c>
      <c r="C7752" t="s">
        <v>12120</v>
      </c>
      <c r="D7752" t="s">
        <v>12121</v>
      </c>
      <c r="E7752" t="str">
        <f>"3460500010081"</f>
        <v>0</v>
      </c>
      <c r="F7752" t="str">
        <f>"001450"</f>
        <v>0</v>
      </c>
      <c r="G7752" t="s">
        <v>21</v>
      </c>
    </row>
    <row r="7753" spans="1:7">
      <c r="A7753">
        <v>7752</v>
      </c>
      <c r="B7753" t="str">
        <f>"021088"</f>
        <v>0</v>
      </c>
      <c r="C7753" t="s">
        <v>2283</v>
      </c>
      <c r="D7753" t="s">
        <v>12122</v>
      </c>
      <c r="E7753" t="str">
        <f>"3100600150872"</f>
        <v>0</v>
      </c>
      <c r="F7753" t="str">
        <f>"001450"</f>
        <v>0</v>
      </c>
      <c r="G7753" t="s">
        <v>21</v>
      </c>
    </row>
    <row r="7754" spans="1:7">
      <c r="A7754">
        <v>7753</v>
      </c>
      <c r="B7754" t="str">
        <f>"021528"</f>
        <v>0</v>
      </c>
      <c r="C7754" t="s">
        <v>12123</v>
      </c>
      <c r="D7754" t="s">
        <v>12124</v>
      </c>
      <c r="E7754" t="str">
        <f>"3220600008811"</f>
        <v>0</v>
      </c>
      <c r="F7754" t="str">
        <f>"001450"</f>
        <v>0</v>
      </c>
      <c r="G7754" t="s">
        <v>21</v>
      </c>
    </row>
    <row r="7755" spans="1:7">
      <c r="A7755">
        <v>7754</v>
      </c>
      <c r="B7755" t="str">
        <f>"021678"</f>
        <v>0</v>
      </c>
      <c r="C7755" t="s">
        <v>12125</v>
      </c>
      <c r="D7755" t="s">
        <v>12126</v>
      </c>
      <c r="E7755" t="str">
        <f>"3210300612977"</f>
        <v>0</v>
      </c>
      <c r="F7755" t="str">
        <f>"001450"</f>
        <v>0</v>
      </c>
      <c r="G7755" t="s">
        <v>21</v>
      </c>
    </row>
    <row r="7756" spans="1:7">
      <c r="A7756">
        <v>7755</v>
      </c>
      <c r="B7756" t="str">
        <f>"022842"</f>
        <v>0</v>
      </c>
      <c r="C7756" t="s">
        <v>12127</v>
      </c>
      <c r="D7756" t="s">
        <v>12128</v>
      </c>
      <c r="E7756" t="str">
        <f>"3210100372603"</f>
        <v>0</v>
      </c>
      <c r="F7756" t="str">
        <f>"001450"</f>
        <v>0</v>
      </c>
      <c r="G7756" t="s">
        <v>21</v>
      </c>
    </row>
    <row r="7757" spans="1:7">
      <c r="A7757">
        <v>7756</v>
      </c>
      <c r="B7757" t="str">
        <f>"023177"</f>
        <v>0</v>
      </c>
      <c r="C7757" t="s">
        <v>12129</v>
      </c>
      <c r="D7757" t="s">
        <v>12130</v>
      </c>
      <c r="E7757" t="str">
        <f>"3210300288258"</f>
        <v>0</v>
      </c>
      <c r="F7757" t="str">
        <f>"001450"</f>
        <v>0</v>
      </c>
      <c r="G7757" t="s">
        <v>21</v>
      </c>
    </row>
    <row r="7758" spans="1:7">
      <c r="A7758">
        <v>7757</v>
      </c>
      <c r="B7758" t="str">
        <f>"023712"</f>
        <v>0</v>
      </c>
      <c r="C7758" t="s">
        <v>3595</v>
      </c>
      <c r="D7758" t="s">
        <v>12131</v>
      </c>
      <c r="E7758" t="str">
        <f>"1311000025808"</f>
        <v>0</v>
      </c>
      <c r="F7758" t="str">
        <f>"001450"</f>
        <v>0</v>
      </c>
      <c r="G7758" t="s">
        <v>21</v>
      </c>
    </row>
    <row r="7759" spans="1:7">
      <c r="A7759">
        <v>7758</v>
      </c>
      <c r="B7759" t="str">
        <f>"024266"</f>
        <v>0</v>
      </c>
      <c r="C7759" t="s">
        <v>12132</v>
      </c>
      <c r="D7759" t="s">
        <v>3806</v>
      </c>
      <c r="E7759" t="str">
        <f>"3219900295491"</f>
        <v>0</v>
      </c>
      <c r="F7759" t="str">
        <f>"001450"</f>
        <v>0</v>
      </c>
      <c r="G7759" t="s">
        <v>21</v>
      </c>
    </row>
    <row r="7760" spans="1:7">
      <c r="A7760">
        <v>7759</v>
      </c>
      <c r="B7760" t="str">
        <f>"024762"</f>
        <v>0</v>
      </c>
      <c r="C7760" t="s">
        <v>8353</v>
      </c>
      <c r="D7760" t="s">
        <v>12133</v>
      </c>
      <c r="E7760" t="str">
        <f>"3210300727341"</f>
        <v>0</v>
      </c>
      <c r="F7760" t="str">
        <f>"001450"</f>
        <v>0</v>
      </c>
      <c r="G7760" t="s">
        <v>21</v>
      </c>
    </row>
    <row r="7761" spans="1:7">
      <c r="A7761">
        <v>7760</v>
      </c>
      <c r="B7761" t="str">
        <f>"024843"</f>
        <v>0</v>
      </c>
      <c r="C7761" t="s">
        <v>12134</v>
      </c>
      <c r="D7761" t="s">
        <v>12135</v>
      </c>
      <c r="E7761" t="str">
        <f>"1219900121089"</f>
        <v>0</v>
      </c>
      <c r="F7761" t="str">
        <f>"001450"</f>
        <v>0</v>
      </c>
      <c r="G7761" t="s">
        <v>21</v>
      </c>
    </row>
    <row r="7762" spans="1:7">
      <c r="A7762">
        <v>7761</v>
      </c>
      <c r="B7762" t="str">
        <f>"025193"</f>
        <v>0</v>
      </c>
      <c r="C7762" t="s">
        <v>12136</v>
      </c>
      <c r="D7762" t="s">
        <v>12137</v>
      </c>
      <c r="E7762" t="str">
        <f>"3219900163454"</f>
        <v>0</v>
      </c>
      <c r="F7762" t="str">
        <f>"001450"</f>
        <v>0</v>
      </c>
      <c r="G7762" t="s">
        <v>21</v>
      </c>
    </row>
    <row r="7763" spans="1:7">
      <c r="A7763">
        <v>7762</v>
      </c>
      <c r="B7763" t="str">
        <f>"025194"</f>
        <v>0</v>
      </c>
      <c r="C7763" t="s">
        <v>12138</v>
      </c>
      <c r="D7763" t="s">
        <v>12137</v>
      </c>
      <c r="E7763" t="str">
        <f>"3341601215501"</f>
        <v>0</v>
      </c>
      <c r="F7763" t="str">
        <f>"001450"</f>
        <v>0</v>
      </c>
      <c r="G7763" t="s">
        <v>21</v>
      </c>
    </row>
    <row r="7764" spans="1:7">
      <c r="A7764">
        <v>7763</v>
      </c>
      <c r="B7764" t="str">
        <f>"025721"</f>
        <v>0</v>
      </c>
      <c r="C7764" t="s">
        <v>12139</v>
      </c>
      <c r="D7764" t="s">
        <v>12140</v>
      </c>
      <c r="E7764" t="str">
        <f>"1219900391418"</f>
        <v>0</v>
      </c>
      <c r="F7764" t="str">
        <f>"001450"</f>
        <v>0</v>
      </c>
      <c r="G7764" t="s">
        <v>21</v>
      </c>
    </row>
    <row r="7765" spans="1:7">
      <c r="A7765">
        <v>7764</v>
      </c>
      <c r="B7765" t="str">
        <f>"025941"</f>
        <v>0</v>
      </c>
      <c r="C7765" t="s">
        <v>12141</v>
      </c>
      <c r="D7765" t="s">
        <v>12142</v>
      </c>
      <c r="E7765" t="str">
        <f>"3210300853168"</f>
        <v>0</v>
      </c>
      <c r="F7765" t="str">
        <f>"001450"</f>
        <v>0</v>
      </c>
      <c r="G7765" t="s">
        <v>21</v>
      </c>
    </row>
    <row r="7766" spans="1:7">
      <c r="A7766">
        <v>7765</v>
      </c>
      <c r="B7766" t="str">
        <f>"026683"</f>
        <v>0</v>
      </c>
      <c r="C7766" t="s">
        <v>12143</v>
      </c>
      <c r="D7766" t="s">
        <v>5928</v>
      </c>
      <c r="E7766" t="str">
        <f>"3210300976014"</f>
        <v>0</v>
      </c>
      <c r="F7766" t="str">
        <f>"001450"</f>
        <v>0</v>
      </c>
      <c r="G7766" t="s">
        <v>21</v>
      </c>
    </row>
    <row r="7767" spans="1:7">
      <c r="A7767">
        <v>7766</v>
      </c>
      <c r="B7767" t="str">
        <f>"027307"</f>
        <v>0</v>
      </c>
      <c r="C7767" t="s">
        <v>12144</v>
      </c>
      <c r="D7767" t="s">
        <v>12145</v>
      </c>
      <c r="E7767" t="str">
        <f>"3210100466047"</f>
        <v>0</v>
      </c>
      <c r="F7767" t="str">
        <f>"001450"</f>
        <v>0</v>
      </c>
      <c r="G7767" t="s">
        <v>21</v>
      </c>
    </row>
    <row r="7768" spans="1:7">
      <c r="A7768">
        <v>7767</v>
      </c>
      <c r="B7768" t="str">
        <f>"027485"</f>
        <v>0</v>
      </c>
      <c r="C7768" t="s">
        <v>3415</v>
      </c>
      <c r="D7768" t="s">
        <v>12146</v>
      </c>
      <c r="E7768" t="str">
        <f>"1219900376605"</f>
        <v>0</v>
      </c>
      <c r="F7768" t="str">
        <f>"001450"</f>
        <v>0</v>
      </c>
      <c r="G7768" t="s">
        <v>21</v>
      </c>
    </row>
    <row r="7769" spans="1:7">
      <c r="A7769">
        <v>7768</v>
      </c>
      <c r="B7769" t="str">
        <f>"010664"</f>
        <v>0</v>
      </c>
      <c r="C7769" t="s">
        <v>828</v>
      </c>
      <c r="D7769" t="s">
        <v>12147</v>
      </c>
      <c r="E7769" t="str">
        <f>"3210100326555"</f>
        <v>0</v>
      </c>
      <c r="F7769" t="str">
        <f>"001450"</f>
        <v>0</v>
      </c>
      <c r="G7769" t="s">
        <v>21</v>
      </c>
    </row>
    <row r="7770" spans="1:7">
      <c r="A7770">
        <v>7769</v>
      </c>
      <c r="B7770" t="str">
        <f>"021873"</f>
        <v>0</v>
      </c>
      <c r="C7770" t="s">
        <v>4225</v>
      </c>
      <c r="D7770" t="s">
        <v>12148</v>
      </c>
      <c r="E7770" t="str">
        <f>"3220300049679"</f>
        <v>0</v>
      </c>
      <c r="F7770" t="str">
        <f>"001450"</f>
        <v>0</v>
      </c>
      <c r="G7770" t="s">
        <v>21</v>
      </c>
    </row>
    <row r="7771" spans="1:7">
      <c r="A7771">
        <v>7770</v>
      </c>
      <c r="B7771" t="str">
        <f>"025195"</f>
        <v>0</v>
      </c>
      <c r="C7771" t="s">
        <v>12149</v>
      </c>
      <c r="D7771" t="s">
        <v>12150</v>
      </c>
      <c r="E7771" t="str">
        <f>"3220300765030"</f>
        <v>0</v>
      </c>
      <c r="F7771" t="str">
        <f>"001450"</f>
        <v>0</v>
      </c>
      <c r="G7771" t="s">
        <v>21</v>
      </c>
    </row>
    <row r="7772" spans="1:7">
      <c r="A7772">
        <v>7771</v>
      </c>
      <c r="B7772" t="str">
        <f>"026908"</f>
        <v>0</v>
      </c>
      <c r="C7772" t="s">
        <v>12151</v>
      </c>
      <c r="D7772" t="s">
        <v>12152</v>
      </c>
      <c r="E7772" t="str">
        <f>"1220400096371"</f>
        <v>0</v>
      </c>
      <c r="F7772" t="str">
        <f>"001450"</f>
        <v>0</v>
      </c>
      <c r="G7772" t="s">
        <v>21</v>
      </c>
    </row>
    <row r="7773" spans="1:7">
      <c r="A7773">
        <v>7772</v>
      </c>
      <c r="B7773" t="str">
        <f>"007410"</f>
        <v>0</v>
      </c>
      <c r="C7773" t="s">
        <v>1356</v>
      </c>
      <c r="D7773" t="s">
        <v>12153</v>
      </c>
      <c r="E7773" t="str">
        <f>"3260100572181"</f>
        <v>0</v>
      </c>
      <c r="F7773" t="str">
        <f>"001450"</f>
        <v>0</v>
      </c>
      <c r="G7773" t="s">
        <v>21</v>
      </c>
    </row>
    <row r="7774" spans="1:7">
      <c r="A7774">
        <v>7773</v>
      </c>
      <c r="B7774" t="str">
        <f>"027191"</f>
        <v>0</v>
      </c>
      <c r="C7774" t="s">
        <v>12154</v>
      </c>
      <c r="D7774" t="s">
        <v>12155</v>
      </c>
      <c r="E7774" t="str">
        <f>"1250100151155"</f>
        <v>0</v>
      </c>
      <c r="F7774" t="str">
        <f>"001450"</f>
        <v>0</v>
      </c>
      <c r="G7774" t="s">
        <v>21</v>
      </c>
    </row>
    <row r="7775" spans="1:7">
      <c r="A7775">
        <v>7774</v>
      </c>
      <c r="B7775" t="str">
        <f>"018294"</f>
        <v>0</v>
      </c>
      <c r="C7775" t="s">
        <v>12156</v>
      </c>
      <c r="D7775" t="s">
        <v>12157</v>
      </c>
      <c r="E7775" t="str">
        <f>"3321200023660"</f>
        <v>0</v>
      </c>
      <c r="F7775" t="str">
        <f>"001450"</f>
        <v>0</v>
      </c>
      <c r="G7775" t="s">
        <v>21</v>
      </c>
    </row>
    <row r="7776" spans="1:7">
      <c r="A7776">
        <v>7775</v>
      </c>
      <c r="B7776" t="str">
        <f>"019777"</f>
        <v>0</v>
      </c>
      <c r="C7776" t="s">
        <v>12158</v>
      </c>
      <c r="D7776" t="s">
        <v>12159</v>
      </c>
      <c r="E7776" t="str">
        <f>"3330300487403"</f>
        <v>0</v>
      </c>
      <c r="F7776" t="str">
        <f>"001450"</f>
        <v>0</v>
      </c>
      <c r="G7776" t="s">
        <v>21</v>
      </c>
    </row>
    <row r="7777" spans="1:7">
      <c r="A7777">
        <v>7776</v>
      </c>
      <c r="B7777" t="str">
        <f>"025310"</f>
        <v>0</v>
      </c>
      <c r="C7777" t="s">
        <v>12160</v>
      </c>
      <c r="D7777" t="s">
        <v>12161</v>
      </c>
      <c r="E7777" t="str">
        <f>"1331000047968"</f>
        <v>0</v>
      </c>
      <c r="F7777" t="str">
        <f>"001450"</f>
        <v>0</v>
      </c>
      <c r="G7777" t="s">
        <v>21</v>
      </c>
    </row>
    <row r="7778" spans="1:7">
      <c r="A7778">
        <v>7777</v>
      </c>
      <c r="B7778" t="str">
        <f>"026520"</f>
        <v>0</v>
      </c>
      <c r="C7778" t="s">
        <v>12162</v>
      </c>
      <c r="D7778" t="s">
        <v>12163</v>
      </c>
      <c r="E7778" t="str">
        <f>"1359900001309"</f>
        <v>0</v>
      </c>
      <c r="F7778" t="str">
        <f>"001450"</f>
        <v>0</v>
      </c>
      <c r="G7778" t="s">
        <v>21</v>
      </c>
    </row>
    <row r="7779" spans="1:7">
      <c r="A7779">
        <v>7778</v>
      </c>
      <c r="B7779" t="str">
        <f>"022807"</f>
        <v>0</v>
      </c>
      <c r="C7779" t="s">
        <v>12164</v>
      </c>
      <c r="D7779" t="s">
        <v>12165</v>
      </c>
      <c r="E7779" t="str">
        <f>"1509900063612"</f>
        <v>0</v>
      </c>
      <c r="F7779" t="str">
        <f>"001450"</f>
        <v>0</v>
      </c>
      <c r="G7779" t="s">
        <v>21</v>
      </c>
    </row>
    <row r="7780" spans="1:7">
      <c r="A7780">
        <v>7779</v>
      </c>
      <c r="B7780" t="str">
        <f>"025722"</f>
        <v>0</v>
      </c>
      <c r="C7780" t="s">
        <v>1114</v>
      </c>
      <c r="D7780" t="s">
        <v>12166</v>
      </c>
      <c r="E7780" t="str">
        <f>"1509901149057"</f>
        <v>0</v>
      </c>
      <c r="F7780" t="str">
        <f>"001450"</f>
        <v>0</v>
      </c>
      <c r="G7780" t="s">
        <v>21</v>
      </c>
    </row>
    <row r="7781" spans="1:7">
      <c r="A7781">
        <v>7780</v>
      </c>
      <c r="B7781" t="str">
        <f>"026771"</f>
        <v>0</v>
      </c>
      <c r="C7781" t="s">
        <v>12167</v>
      </c>
      <c r="D7781" t="s">
        <v>12168</v>
      </c>
      <c r="E7781" t="str">
        <f>"1510100006543"</f>
        <v>0</v>
      </c>
      <c r="F7781" t="str">
        <f>"001450"</f>
        <v>0</v>
      </c>
      <c r="G7781" t="s">
        <v>21</v>
      </c>
    </row>
    <row r="7782" spans="1:7">
      <c r="A7782">
        <v>7781</v>
      </c>
      <c r="B7782" t="str">
        <f>"026907"</f>
        <v>0</v>
      </c>
      <c r="C7782" t="s">
        <v>3461</v>
      </c>
      <c r="D7782" t="s">
        <v>12169</v>
      </c>
      <c r="E7782" t="str">
        <f>"1510100215193"</f>
        <v>0</v>
      </c>
      <c r="F7782" t="str">
        <f>"001450"</f>
        <v>0</v>
      </c>
      <c r="G7782" t="s">
        <v>21</v>
      </c>
    </row>
    <row r="7783" spans="1:7">
      <c r="A7783">
        <v>7782</v>
      </c>
      <c r="B7783" t="str">
        <f>"026773"</f>
        <v>0</v>
      </c>
      <c r="C7783" t="s">
        <v>12170</v>
      </c>
      <c r="D7783" t="s">
        <v>12171</v>
      </c>
      <c r="E7783" t="str">
        <f>"1549900109990"</f>
        <v>0</v>
      </c>
      <c r="F7783" t="str">
        <f>"001450"</f>
        <v>0</v>
      </c>
      <c r="G7783" t="s">
        <v>21</v>
      </c>
    </row>
    <row r="7784" spans="1:7">
      <c r="A7784">
        <v>7783</v>
      </c>
      <c r="B7784" t="str">
        <f>"022870"</f>
        <v>0</v>
      </c>
      <c r="C7784" t="s">
        <v>12172</v>
      </c>
      <c r="D7784" t="s">
        <v>12173</v>
      </c>
      <c r="E7784" t="str">
        <f>"3110100195761"</f>
        <v>0</v>
      </c>
      <c r="F7784" t="str">
        <f>"001450"</f>
        <v>0</v>
      </c>
      <c r="G7784" t="s">
        <v>21</v>
      </c>
    </row>
    <row r="7785" spans="1:7">
      <c r="A7785">
        <v>7784</v>
      </c>
      <c r="B7785" t="str">
        <f>"024096"</f>
        <v>0</v>
      </c>
      <c r="C7785" t="s">
        <v>5162</v>
      </c>
      <c r="D7785" t="s">
        <v>12174</v>
      </c>
      <c r="E7785" t="str">
        <f>"1840100198466"</f>
        <v>0</v>
      </c>
      <c r="F7785" t="str">
        <f>"001450"</f>
        <v>0</v>
      </c>
      <c r="G7785" t="s">
        <v>21</v>
      </c>
    </row>
    <row r="7786" spans="1:7">
      <c r="A7786">
        <v>7785</v>
      </c>
      <c r="B7786" t="str">
        <f>"020307"</f>
        <v>0</v>
      </c>
      <c r="C7786" t="s">
        <v>160</v>
      </c>
      <c r="D7786" t="s">
        <v>9357</v>
      </c>
      <c r="E7786" t="str">
        <f>"3960200094340"</f>
        <v>0</v>
      </c>
      <c r="F7786" t="str">
        <f>"001450"</f>
        <v>0</v>
      </c>
      <c r="G7786" t="s">
        <v>21</v>
      </c>
    </row>
    <row r="7787" spans="1:7">
      <c r="A7787">
        <v>7786</v>
      </c>
      <c r="B7787" t="str">
        <f>"023017"</f>
        <v>0</v>
      </c>
      <c r="C7787" t="s">
        <v>2476</v>
      </c>
      <c r="D7787" t="s">
        <v>4778</v>
      </c>
      <c r="E7787" t="str">
        <f>"5530100022231"</f>
        <v>0</v>
      </c>
      <c r="F7787" t="str">
        <f>"001450"</f>
        <v>0</v>
      </c>
      <c r="G7787" t="s">
        <v>21</v>
      </c>
    </row>
    <row r="7788" spans="1:7">
      <c r="A7788">
        <v>7787</v>
      </c>
      <c r="B7788" t="str">
        <f>"021588"</f>
        <v>0</v>
      </c>
      <c r="C7788" t="s">
        <v>12175</v>
      </c>
      <c r="D7788" t="s">
        <v>33</v>
      </c>
      <c r="E7788" t="str">
        <f>"3200900218501"</f>
        <v>0</v>
      </c>
      <c r="F7788" t="str">
        <f>"001450"</f>
        <v>0</v>
      </c>
      <c r="G7788" t="s">
        <v>21</v>
      </c>
    </row>
    <row r="7789" spans="1:7">
      <c r="A7789">
        <v>7788</v>
      </c>
      <c r="B7789" t="str">
        <f>"023936"</f>
        <v>0</v>
      </c>
      <c r="C7789" t="s">
        <v>12176</v>
      </c>
      <c r="D7789" t="s">
        <v>2322</v>
      </c>
      <c r="E7789" t="str">
        <f>"3209900314207"</f>
        <v>0</v>
      </c>
      <c r="F7789" t="str">
        <f>"001450"</f>
        <v>0</v>
      </c>
      <c r="G7789" t="s">
        <v>21</v>
      </c>
    </row>
    <row r="7790" spans="1:7">
      <c r="A7790">
        <v>7789</v>
      </c>
      <c r="B7790" t="str">
        <f>"024743"</f>
        <v>0</v>
      </c>
      <c r="C7790" t="s">
        <v>12177</v>
      </c>
      <c r="D7790" t="s">
        <v>12178</v>
      </c>
      <c r="E7790" t="str">
        <f>"1201000035502"</f>
        <v>0</v>
      </c>
      <c r="F7790" t="str">
        <f>"001450"</f>
        <v>0</v>
      </c>
      <c r="G7790" t="s">
        <v>21</v>
      </c>
    </row>
    <row r="7791" spans="1:7">
      <c r="A7791">
        <v>7790</v>
      </c>
      <c r="B7791" t="str">
        <f>"010576"</f>
        <v>0</v>
      </c>
      <c r="C7791" t="s">
        <v>12179</v>
      </c>
      <c r="D7791" t="s">
        <v>3872</v>
      </c>
      <c r="E7791" t="str">
        <f>"3210500011667"</f>
        <v>0</v>
      </c>
      <c r="F7791" t="str">
        <f>"001450"</f>
        <v>0</v>
      </c>
      <c r="G7791" t="s">
        <v>21</v>
      </c>
    </row>
    <row r="7792" spans="1:7">
      <c r="A7792">
        <v>7791</v>
      </c>
      <c r="B7792" t="str">
        <f>"011741"</f>
        <v>0</v>
      </c>
      <c r="C7792" t="s">
        <v>7600</v>
      </c>
      <c r="D7792" t="s">
        <v>294</v>
      </c>
      <c r="E7792" t="str">
        <f>"3210100338651"</f>
        <v>0</v>
      </c>
      <c r="F7792" t="str">
        <f>"001450"</f>
        <v>0</v>
      </c>
      <c r="G7792" t="s">
        <v>21</v>
      </c>
    </row>
    <row r="7793" spans="1:7">
      <c r="A7793">
        <v>7792</v>
      </c>
      <c r="B7793" t="str">
        <f>"012298"</f>
        <v>0</v>
      </c>
      <c r="C7793" t="s">
        <v>1682</v>
      </c>
      <c r="D7793" t="s">
        <v>12180</v>
      </c>
      <c r="E7793" t="str">
        <f>"3150400528235"</f>
        <v>0</v>
      </c>
      <c r="F7793" t="str">
        <f>"001450"</f>
        <v>0</v>
      </c>
      <c r="G7793" t="s">
        <v>21</v>
      </c>
    </row>
    <row r="7794" spans="1:7">
      <c r="A7794">
        <v>7793</v>
      </c>
      <c r="B7794" t="str">
        <f>"014403"</f>
        <v>0</v>
      </c>
      <c r="C7794" t="s">
        <v>955</v>
      </c>
      <c r="D7794" t="s">
        <v>12181</v>
      </c>
      <c r="E7794" t="str">
        <f>"3210100434463"</f>
        <v>0</v>
      </c>
      <c r="F7794" t="str">
        <f>"001450"</f>
        <v>0</v>
      </c>
      <c r="G7794" t="s">
        <v>21</v>
      </c>
    </row>
    <row r="7795" spans="1:7">
      <c r="A7795">
        <v>7794</v>
      </c>
      <c r="B7795" t="str">
        <f>"016324"</f>
        <v>0</v>
      </c>
      <c r="C7795" t="s">
        <v>12182</v>
      </c>
      <c r="D7795" t="s">
        <v>4057</v>
      </c>
      <c r="E7795" t="str">
        <f>"3219900272407"</f>
        <v>0</v>
      </c>
      <c r="F7795" t="str">
        <f>"001450"</f>
        <v>0</v>
      </c>
      <c r="G7795" t="s">
        <v>21</v>
      </c>
    </row>
    <row r="7796" spans="1:7">
      <c r="A7796">
        <v>7795</v>
      </c>
      <c r="B7796" t="str">
        <f>"017447"</f>
        <v>0</v>
      </c>
      <c r="C7796" t="s">
        <v>12183</v>
      </c>
      <c r="D7796" t="s">
        <v>12184</v>
      </c>
      <c r="E7796" t="str">
        <f>"3210500140246"</f>
        <v>0</v>
      </c>
      <c r="F7796" t="str">
        <f>"001450"</f>
        <v>0</v>
      </c>
      <c r="G7796" t="s">
        <v>21</v>
      </c>
    </row>
    <row r="7797" spans="1:7">
      <c r="A7797">
        <v>7796</v>
      </c>
      <c r="B7797" t="str">
        <f>"018418"</f>
        <v>0</v>
      </c>
      <c r="C7797" t="s">
        <v>9994</v>
      </c>
      <c r="D7797" t="s">
        <v>521</v>
      </c>
      <c r="E7797" t="str">
        <f>"3200900608849"</f>
        <v>0</v>
      </c>
      <c r="F7797" t="str">
        <f>"001450"</f>
        <v>0</v>
      </c>
      <c r="G7797" t="s">
        <v>21</v>
      </c>
    </row>
    <row r="7798" spans="1:7">
      <c r="A7798">
        <v>7797</v>
      </c>
      <c r="B7798" t="str">
        <f>"020786"</f>
        <v>0</v>
      </c>
      <c r="C7798" t="s">
        <v>12185</v>
      </c>
      <c r="D7798" t="s">
        <v>12186</v>
      </c>
      <c r="E7798" t="str">
        <f>"3670300428129"</f>
        <v>0</v>
      </c>
      <c r="F7798" t="str">
        <f>"001450"</f>
        <v>0</v>
      </c>
      <c r="G7798" t="s">
        <v>21</v>
      </c>
    </row>
    <row r="7799" spans="1:7">
      <c r="A7799">
        <v>7798</v>
      </c>
      <c r="B7799" t="str">
        <f>"020969"</f>
        <v>0</v>
      </c>
      <c r="C7799" t="s">
        <v>12187</v>
      </c>
      <c r="D7799" t="s">
        <v>12188</v>
      </c>
      <c r="E7799" t="str">
        <f>"3300400523690"</f>
        <v>0</v>
      </c>
      <c r="F7799" t="str">
        <f>"001450"</f>
        <v>0</v>
      </c>
      <c r="G7799" t="s">
        <v>21</v>
      </c>
    </row>
    <row r="7800" spans="1:7">
      <c r="A7800">
        <v>7799</v>
      </c>
      <c r="B7800" t="str">
        <f>"022421"</f>
        <v>0</v>
      </c>
      <c r="C7800" t="s">
        <v>1108</v>
      </c>
      <c r="D7800" t="s">
        <v>12189</v>
      </c>
      <c r="E7800" t="str">
        <f>"3219900049732"</f>
        <v>0</v>
      </c>
      <c r="F7800" t="str">
        <f>"001450"</f>
        <v>0</v>
      </c>
      <c r="G7800" t="s">
        <v>21</v>
      </c>
    </row>
    <row r="7801" spans="1:7">
      <c r="A7801">
        <v>7800</v>
      </c>
      <c r="B7801" t="str">
        <f>"024899"</f>
        <v>0</v>
      </c>
      <c r="C7801" t="s">
        <v>12190</v>
      </c>
      <c r="D7801" t="s">
        <v>12191</v>
      </c>
      <c r="E7801" t="str">
        <f>"1219900075125"</f>
        <v>0</v>
      </c>
      <c r="F7801" t="str">
        <f>"001450"</f>
        <v>0</v>
      </c>
      <c r="G7801" t="s">
        <v>21</v>
      </c>
    </row>
    <row r="7802" spans="1:7">
      <c r="A7802">
        <v>7801</v>
      </c>
      <c r="B7802" t="str">
        <f>"026776"</f>
        <v>0</v>
      </c>
      <c r="C7802" t="s">
        <v>12192</v>
      </c>
      <c r="D7802" t="s">
        <v>12193</v>
      </c>
      <c r="E7802" t="str">
        <f>"1440900141888"</f>
        <v>0</v>
      </c>
      <c r="F7802" t="str">
        <f>"001450"</f>
        <v>0</v>
      </c>
      <c r="G7802" t="s">
        <v>21</v>
      </c>
    </row>
    <row r="7803" spans="1:7">
      <c r="A7803">
        <v>7802</v>
      </c>
      <c r="B7803" t="str">
        <f>"022892"</f>
        <v>0</v>
      </c>
      <c r="C7803" t="s">
        <v>12194</v>
      </c>
      <c r="D7803" t="s">
        <v>12195</v>
      </c>
      <c r="E7803" t="str">
        <f>"3229900149303"</f>
        <v>0</v>
      </c>
      <c r="F7803" t="str">
        <f>"001450"</f>
        <v>0</v>
      </c>
      <c r="G7803" t="s">
        <v>21</v>
      </c>
    </row>
    <row r="7804" spans="1:7">
      <c r="A7804">
        <v>7803</v>
      </c>
      <c r="B7804" t="str">
        <f>"026775"</f>
        <v>0</v>
      </c>
      <c r="C7804" t="s">
        <v>12196</v>
      </c>
      <c r="D7804" t="s">
        <v>12197</v>
      </c>
      <c r="E7804" t="str">
        <f>"1229900302148"</f>
        <v>0</v>
      </c>
      <c r="F7804" t="str">
        <f>"001450"</f>
        <v>0</v>
      </c>
      <c r="G7804" t="s">
        <v>21</v>
      </c>
    </row>
    <row r="7805" spans="1:7">
      <c r="A7805">
        <v>7804</v>
      </c>
      <c r="B7805" t="str">
        <f>"026590"</f>
        <v>0</v>
      </c>
      <c r="C7805" t="s">
        <v>12198</v>
      </c>
      <c r="D7805" t="s">
        <v>12199</v>
      </c>
      <c r="E7805" t="str">
        <f>"3240100056205"</f>
        <v>0</v>
      </c>
      <c r="F7805" t="str">
        <f>"001450"</f>
        <v>0</v>
      </c>
      <c r="G7805" t="s">
        <v>21</v>
      </c>
    </row>
    <row r="7806" spans="1:7">
      <c r="A7806">
        <v>7805</v>
      </c>
      <c r="B7806" t="str">
        <f>"018475"</f>
        <v>0</v>
      </c>
      <c r="C7806" t="s">
        <v>4026</v>
      </c>
      <c r="D7806" t="s">
        <v>12200</v>
      </c>
      <c r="E7806" t="str">
        <f>"3250800094703"</f>
        <v>0</v>
      </c>
      <c r="F7806" t="str">
        <f>"001450"</f>
        <v>0</v>
      </c>
      <c r="G7806" t="s">
        <v>21</v>
      </c>
    </row>
    <row r="7807" spans="1:7">
      <c r="A7807">
        <v>7806</v>
      </c>
      <c r="B7807" t="str">
        <f>"025462"</f>
        <v>0</v>
      </c>
      <c r="C7807" t="s">
        <v>6321</v>
      </c>
      <c r="D7807" t="s">
        <v>12201</v>
      </c>
      <c r="E7807" t="str">
        <f>"1259700003163"</f>
        <v>0</v>
      </c>
      <c r="F7807" t="str">
        <f>"001450"</f>
        <v>0</v>
      </c>
      <c r="G7807" t="s">
        <v>21</v>
      </c>
    </row>
    <row r="7808" spans="1:7">
      <c r="A7808">
        <v>7807</v>
      </c>
      <c r="B7808" t="str">
        <f>"021530"</f>
        <v>0</v>
      </c>
      <c r="C7808" t="s">
        <v>2121</v>
      </c>
      <c r="D7808" t="s">
        <v>12202</v>
      </c>
      <c r="E7808" t="str">
        <f>"3330400887004"</f>
        <v>0</v>
      </c>
      <c r="F7808" t="str">
        <f>"001450"</f>
        <v>0</v>
      </c>
      <c r="G7808" t="s">
        <v>21</v>
      </c>
    </row>
    <row r="7809" spans="1:7">
      <c r="A7809">
        <v>7808</v>
      </c>
      <c r="B7809" t="str">
        <f>"024974"</f>
        <v>0</v>
      </c>
      <c r="C7809" t="s">
        <v>1058</v>
      </c>
      <c r="D7809" t="s">
        <v>12203</v>
      </c>
      <c r="E7809" t="str">
        <f>"1340700177308"</f>
        <v>0</v>
      </c>
      <c r="F7809" t="str">
        <f>"001450"</f>
        <v>0</v>
      </c>
      <c r="G7809" t="s">
        <v>21</v>
      </c>
    </row>
    <row r="7810" spans="1:7">
      <c r="A7810">
        <v>7809</v>
      </c>
      <c r="B7810" t="str">
        <f>"011447"</f>
        <v>0</v>
      </c>
      <c r="C7810" t="s">
        <v>12204</v>
      </c>
      <c r="D7810" t="s">
        <v>12205</v>
      </c>
      <c r="E7810" t="str">
        <f>"3411500247287"</f>
        <v>0</v>
      </c>
      <c r="F7810" t="str">
        <f>"001450"</f>
        <v>0</v>
      </c>
      <c r="G7810" t="s">
        <v>21</v>
      </c>
    </row>
    <row r="7811" spans="1:7">
      <c r="A7811">
        <v>7810</v>
      </c>
      <c r="B7811" t="str">
        <f>"026645"</f>
        <v>0</v>
      </c>
      <c r="C7811" t="s">
        <v>12206</v>
      </c>
      <c r="D7811" t="s">
        <v>12207</v>
      </c>
      <c r="E7811" t="str">
        <f>"1460700081521"</f>
        <v>0</v>
      </c>
      <c r="F7811" t="str">
        <f>"001450"</f>
        <v>0</v>
      </c>
      <c r="G7811" t="s">
        <v>21</v>
      </c>
    </row>
    <row r="7812" spans="1:7">
      <c r="A7812">
        <v>7811</v>
      </c>
      <c r="B7812" t="str">
        <f>"015092"</f>
        <v>0</v>
      </c>
      <c r="C7812" t="s">
        <v>12208</v>
      </c>
      <c r="D7812" t="s">
        <v>12209</v>
      </c>
      <c r="E7812" t="str">
        <f>"3801301083337"</f>
        <v>0</v>
      </c>
      <c r="F7812" t="str">
        <f>"001450"</f>
        <v>0</v>
      </c>
      <c r="G7812" t="s">
        <v>21</v>
      </c>
    </row>
    <row r="7813" spans="1:7">
      <c r="A7813">
        <v>7812</v>
      </c>
      <c r="B7813" t="str">
        <f>"012966"</f>
        <v>0</v>
      </c>
      <c r="C7813" t="s">
        <v>12210</v>
      </c>
      <c r="D7813" t="s">
        <v>12066</v>
      </c>
      <c r="E7813" t="str">
        <f>"3210600254219"</f>
        <v>0</v>
      </c>
      <c r="F7813" t="str">
        <f>"001450"</f>
        <v>0</v>
      </c>
      <c r="G7813" t="s">
        <v>21</v>
      </c>
    </row>
    <row r="7814" spans="1:7">
      <c r="A7814">
        <v>7813</v>
      </c>
      <c r="B7814" t="str">
        <f>"012969"</f>
        <v>0</v>
      </c>
      <c r="C7814" t="s">
        <v>12211</v>
      </c>
      <c r="D7814" t="s">
        <v>12212</v>
      </c>
      <c r="E7814" t="str">
        <f>"3301000150391"</f>
        <v>0</v>
      </c>
      <c r="F7814" t="str">
        <f>"001450"</f>
        <v>0</v>
      </c>
      <c r="G7814" t="s">
        <v>21</v>
      </c>
    </row>
    <row r="7815" spans="1:7">
      <c r="A7815">
        <v>7814</v>
      </c>
      <c r="B7815" t="str">
        <f>"013864"</f>
        <v>0</v>
      </c>
      <c r="C7815" t="s">
        <v>352</v>
      </c>
      <c r="D7815" t="s">
        <v>12213</v>
      </c>
      <c r="E7815" t="str">
        <f>"3190500040692"</f>
        <v>0</v>
      </c>
      <c r="F7815" t="str">
        <f>"001450"</f>
        <v>0</v>
      </c>
      <c r="G7815" t="s">
        <v>21</v>
      </c>
    </row>
    <row r="7816" spans="1:7">
      <c r="A7816">
        <v>7815</v>
      </c>
      <c r="B7816" t="str">
        <f>"014950"</f>
        <v>0</v>
      </c>
      <c r="C7816" t="s">
        <v>5340</v>
      </c>
      <c r="D7816" t="s">
        <v>12214</v>
      </c>
      <c r="E7816" t="str">
        <f>"3200400221058"</f>
        <v>0</v>
      </c>
      <c r="F7816" t="str">
        <f>"001450"</f>
        <v>0</v>
      </c>
      <c r="G7816" t="s">
        <v>21</v>
      </c>
    </row>
    <row r="7817" spans="1:7">
      <c r="A7817">
        <v>7816</v>
      </c>
      <c r="B7817" t="str">
        <f>"015433"</f>
        <v>0</v>
      </c>
      <c r="C7817" t="s">
        <v>4579</v>
      </c>
      <c r="D7817" t="s">
        <v>12215</v>
      </c>
      <c r="E7817" t="str">
        <f>"3210600150618"</f>
        <v>0</v>
      </c>
      <c r="F7817" t="str">
        <f>"001450"</f>
        <v>0</v>
      </c>
      <c r="G7817" t="s">
        <v>21</v>
      </c>
    </row>
    <row r="7818" spans="1:7">
      <c r="A7818">
        <v>7817</v>
      </c>
      <c r="B7818" t="str">
        <f>"015436"</f>
        <v>0</v>
      </c>
      <c r="C7818" t="s">
        <v>12216</v>
      </c>
      <c r="D7818" t="s">
        <v>12217</v>
      </c>
      <c r="E7818" t="str">
        <f>"5301000013217"</f>
        <v>0</v>
      </c>
      <c r="F7818" t="str">
        <f>"001450"</f>
        <v>0</v>
      </c>
      <c r="G7818" t="s">
        <v>21</v>
      </c>
    </row>
    <row r="7819" spans="1:7">
      <c r="A7819">
        <v>7818</v>
      </c>
      <c r="B7819" t="str">
        <f>"015439"</f>
        <v>0</v>
      </c>
      <c r="C7819" t="s">
        <v>12218</v>
      </c>
      <c r="D7819" t="s">
        <v>12219</v>
      </c>
      <c r="E7819" t="str">
        <f>"3210500118585"</f>
        <v>0</v>
      </c>
      <c r="F7819" t="str">
        <f>"001450"</f>
        <v>0</v>
      </c>
      <c r="G7819" t="s">
        <v>21</v>
      </c>
    </row>
    <row r="7820" spans="1:7">
      <c r="A7820">
        <v>7819</v>
      </c>
      <c r="B7820" t="str">
        <f>"015441"</f>
        <v>0</v>
      </c>
      <c r="C7820" t="s">
        <v>12220</v>
      </c>
      <c r="D7820" t="s">
        <v>12221</v>
      </c>
      <c r="E7820" t="str">
        <f>"3100201298990"</f>
        <v>0</v>
      </c>
      <c r="F7820" t="str">
        <f>"001450"</f>
        <v>0</v>
      </c>
      <c r="G7820" t="s">
        <v>21</v>
      </c>
    </row>
    <row r="7821" spans="1:7">
      <c r="A7821">
        <v>7820</v>
      </c>
      <c r="B7821" t="str">
        <f>"015445"</f>
        <v>0</v>
      </c>
      <c r="C7821" t="s">
        <v>409</v>
      </c>
      <c r="D7821" t="s">
        <v>12222</v>
      </c>
      <c r="E7821" t="str">
        <f>"3210600160737"</f>
        <v>0</v>
      </c>
      <c r="F7821" t="str">
        <f>"001450"</f>
        <v>0</v>
      </c>
      <c r="G7821" t="s">
        <v>21</v>
      </c>
    </row>
    <row r="7822" spans="1:7">
      <c r="A7822">
        <v>7821</v>
      </c>
      <c r="B7822" t="str">
        <f>"018155"</f>
        <v>0</v>
      </c>
      <c r="C7822" t="s">
        <v>379</v>
      </c>
      <c r="D7822" t="s">
        <v>12223</v>
      </c>
      <c r="E7822" t="str">
        <f>"3210500686273"</f>
        <v>0</v>
      </c>
      <c r="F7822" t="str">
        <f>"001450"</f>
        <v>0</v>
      </c>
      <c r="G7822" t="s">
        <v>21</v>
      </c>
    </row>
    <row r="7823" spans="1:7">
      <c r="A7823">
        <v>7822</v>
      </c>
      <c r="B7823" t="str">
        <f>"018454"</f>
        <v>0</v>
      </c>
      <c r="C7823" t="s">
        <v>5693</v>
      </c>
      <c r="D7823" t="s">
        <v>12224</v>
      </c>
      <c r="E7823" t="str">
        <f>"3110101114056"</f>
        <v>0</v>
      </c>
      <c r="F7823" t="str">
        <f>"001450"</f>
        <v>0</v>
      </c>
      <c r="G7823" t="s">
        <v>21</v>
      </c>
    </row>
    <row r="7824" spans="1:7">
      <c r="A7824">
        <v>7823</v>
      </c>
      <c r="B7824" t="str">
        <f>"018491"</f>
        <v>0</v>
      </c>
      <c r="C7824" t="s">
        <v>12225</v>
      </c>
      <c r="D7824" t="s">
        <v>12226</v>
      </c>
      <c r="E7824" t="str">
        <f>"3210600307444"</f>
        <v>0</v>
      </c>
      <c r="F7824" t="str">
        <f>"001450"</f>
        <v>0</v>
      </c>
      <c r="G7824" t="s">
        <v>21</v>
      </c>
    </row>
    <row r="7825" spans="1:7">
      <c r="A7825">
        <v>7824</v>
      </c>
      <c r="B7825" t="str">
        <f>"019461"</f>
        <v>0</v>
      </c>
      <c r="C7825" t="s">
        <v>1903</v>
      </c>
      <c r="D7825" t="s">
        <v>85</v>
      </c>
      <c r="E7825" t="str">
        <f>"3760500243229"</f>
        <v>0</v>
      </c>
      <c r="F7825" t="str">
        <f>"001450"</f>
        <v>0</v>
      </c>
      <c r="G7825" t="s">
        <v>21</v>
      </c>
    </row>
    <row r="7826" spans="1:7">
      <c r="A7826">
        <v>7825</v>
      </c>
      <c r="B7826" t="str">
        <f>"019884"</f>
        <v>0</v>
      </c>
      <c r="C7826" t="s">
        <v>941</v>
      </c>
      <c r="D7826" t="s">
        <v>12227</v>
      </c>
      <c r="E7826" t="str">
        <f>"3110401033086"</f>
        <v>0</v>
      </c>
      <c r="F7826" t="str">
        <f>"001450"</f>
        <v>0</v>
      </c>
      <c r="G7826" t="s">
        <v>21</v>
      </c>
    </row>
    <row r="7827" spans="1:7">
      <c r="A7827">
        <v>7826</v>
      </c>
      <c r="B7827" t="str">
        <f>"025725"</f>
        <v>0</v>
      </c>
      <c r="C7827" t="s">
        <v>12228</v>
      </c>
      <c r="D7827" t="s">
        <v>12229</v>
      </c>
      <c r="E7827" t="str">
        <f>"1219900207340"</f>
        <v>0</v>
      </c>
      <c r="F7827" t="str">
        <f>"001450"</f>
        <v>0</v>
      </c>
      <c r="G7827" t="s">
        <v>21</v>
      </c>
    </row>
    <row r="7828" spans="1:7">
      <c r="A7828">
        <v>7827</v>
      </c>
      <c r="B7828" t="str">
        <f>"025724"</f>
        <v>0</v>
      </c>
      <c r="C7828" t="s">
        <v>12230</v>
      </c>
      <c r="D7828" t="s">
        <v>12231</v>
      </c>
      <c r="E7828" t="str">
        <f>"1229900208061"</f>
        <v>0</v>
      </c>
      <c r="F7828" t="str">
        <f>"001450"</f>
        <v>0</v>
      </c>
      <c r="G7828" t="s">
        <v>21</v>
      </c>
    </row>
    <row r="7829" spans="1:7">
      <c r="A7829">
        <v>7828</v>
      </c>
      <c r="B7829" t="str">
        <f>"023907"</f>
        <v>0</v>
      </c>
      <c r="C7829" t="s">
        <v>12232</v>
      </c>
      <c r="D7829" t="s">
        <v>12233</v>
      </c>
      <c r="E7829" t="str">
        <f>"3510100552595"</f>
        <v>0</v>
      </c>
      <c r="F7829" t="str">
        <f>"001450"</f>
        <v>0</v>
      </c>
      <c r="G7829" t="s">
        <v>21</v>
      </c>
    </row>
    <row r="7830" spans="1:7">
      <c r="A7830">
        <v>7829</v>
      </c>
      <c r="B7830" t="str">
        <f>"027560"</f>
        <v>0</v>
      </c>
      <c r="C7830" t="s">
        <v>3521</v>
      </c>
      <c r="D7830" t="s">
        <v>12234</v>
      </c>
      <c r="E7830" t="str">
        <f>"1749900117761"</f>
        <v>0</v>
      </c>
      <c r="F7830" t="str">
        <f>"001450"</f>
        <v>0</v>
      </c>
      <c r="G7830" t="s">
        <v>21</v>
      </c>
    </row>
    <row r="7831" spans="1:7">
      <c r="A7831">
        <v>7830</v>
      </c>
      <c r="B7831" t="str">
        <f>"001864"</f>
        <v>0</v>
      </c>
      <c r="C7831" t="s">
        <v>11051</v>
      </c>
      <c r="D7831" t="s">
        <v>12235</v>
      </c>
      <c r="E7831" t="str">
        <f>"4450900001304"</f>
        <v>0</v>
      </c>
      <c r="F7831" t="str">
        <f>"001480"</f>
        <v>0</v>
      </c>
      <c r="G7831" t="s">
        <v>21</v>
      </c>
    </row>
    <row r="7832" spans="1:7">
      <c r="A7832">
        <v>7831</v>
      </c>
      <c r="B7832" t="str">
        <f>"002133"</f>
        <v>0</v>
      </c>
      <c r="C7832" t="s">
        <v>3799</v>
      </c>
      <c r="D7832" t="s">
        <v>12236</v>
      </c>
      <c r="E7832" t="str">
        <f>"3450800217684"</f>
        <v>0</v>
      </c>
      <c r="F7832" t="str">
        <f>"001480"</f>
        <v>0</v>
      </c>
      <c r="G7832" t="s">
        <v>21</v>
      </c>
    </row>
    <row r="7833" spans="1:7">
      <c r="A7833">
        <v>7832</v>
      </c>
      <c r="B7833" t="str">
        <f>"002137"</f>
        <v>0</v>
      </c>
      <c r="C7833" t="s">
        <v>12237</v>
      </c>
      <c r="D7833" t="s">
        <v>12238</v>
      </c>
      <c r="E7833" t="str">
        <f>"3450500338818"</f>
        <v>0</v>
      </c>
      <c r="F7833" t="str">
        <f>"001480"</f>
        <v>0</v>
      </c>
      <c r="G7833" t="s">
        <v>21</v>
      </c>
    </row>
    <row r="7834" spans="1:7">
      <c r="A7834">
        <v>7833</v>
      </c>
      <c r="B7834" t="str">
        <f>"002431"</f>
        <v>0</v>
      </c>
      <c r="C7834" t="s">
        <v>4026</v>
      </c>
      <c r="D7834" t="s">
        <v>12239</v>
      </c>
      <c r="E7834" t="str">
        <f>"3450700227360"</f>
        <v>0</v>
      </c>
      <c r="F7834" t="str">
        <f>"001480"</f>
        <v>0</v>
      </c>
      <c r="G7834" t="s">
        <v>21</v>
      </c>
    </row>
    <row r="7835" spans="1:7">
      <c r="A7835">
        <v>7834</v>
      </c>
      <c r="B7835" t="str">
        <f>"002816"</f>
        <v>0</v>
      </c>
      <c r="C7835" t="s">
        <v>3364</v>
      </c>
      <c r="D7835" t="s">
        <v>12240</v>
      </c>
      <c r="E7835" t="str">
        <f>"3459900310927"</f>
        <v>0</v>
      </c>
      <c r="F7835" t="str">
        <f>"001480"</f>
        <v>0</v>
      </c>
      <c r="G7835" t="s">
        <v>21</v>
      </c>
    </row>
    <row r="7836" spans="1:7">
      <c r="A7836">
        <v>7835</v>
      </c>
      <c r="B7836" t="str">
        <f>"002817"</f>
        <v>0</v>
      </c>
      <c r="C7836" t="s">
        <v>403</v>
      </c>
      <c r="D7836" t="s">
        <v>12241</v>
      </c>
      <c r="E7836" t="str">
        <f>"3459900281358"</f>
        <v>0</v>
      </c>
      <c r="F7836" t="str">
        <f>"001480"</f>
        <v>0</v>
      </c>
      <c r="G7836" t="s">
        <v>21</v>
      </c>
    </row>
    <row r="7837" spans="1:7">
      <c r="A7837">
        <v>7836</v>
      </c>
      <c r="B7837" t="str">
        <f>"002824"</f>
        <v>0</v>
      </c>
      <c r="C7837" t="s">
        <v>2535</v>
      </c>
      <c r="D7837" t="s">
        <v>12242</v>
      </c>
      <c r="E7837" t="str">
        <f>"3459900169884"</f>
        <v>0</v>
      </c>
      <c r="F7837" t="str">
        <f>"001480"</f>
        <v>0</v>
      </c>
      <c r="G7837" t="s">
        <v>21</v>
      </c>
    </row>
    <row r="7838" spans="1:7">
      <c r="A7838">
        <v>7837</v>
      </c>
      <c r="B7838" t="str">
        <f>"002868"</f>
        <v>0</v>
      </c>
      <c r="C7838" t="s">
        <v>12243</v>
      </c>
      <c r="D7838" t="s">
        <v>12244</v>
      </c>
      <c r="E7838" t="str">
        <f>"4459900001035"</f>
        <v>0</v>
      </c>
      <c r="F7838" t="str">
        <f>"001480"</f>
        <v>0</v>
      </c>
      <c r="G7838" t="s">
        <v>21</v>
      </c>
    </row>
    <row r="7839" spans="1:7">
      <c r="A7839">
        <v>7838</v>
      </c>
      <c r="B7839" t="str">
        <f>"002878"</f>
        <v>0</v>
      </c>
      <c r="C7839" t="s">
        <v>3364</v>
      </c>
      <c r="D7839" t="s">
        <v>12245</v>
      </c>
      <c r="E7839" t="str">
        <f>"3450100951598"</f>
        <v>0</v>
      </c>
      <c r="F7839" t="str">
        <f>"001480"</f>
        <v>0</v>
      </c>
      <c r="G7839" t="s">
        <v>21</v>
      </c>
    </row>
    <row r="7840" spans="1:7">
      <c r="A7840">
        <v>7839</v>
      </c>
      <c r="B7840" t="str">
        <f>"003005"</f>
        <v>0</v>
      </c>
      <c r="C7840" t="s">
        <v>5091</v>
      </c>
      <c r="D7840" t="s">
        <v>12246</v>
      </c>
      <c r="E7840" t="str">
        <f>"3450200795997"</f>
        <v>0</v>
      </c>
      <c r="F7840" t="str">
        <f>"001480"</f>
        <v>0</v>
      </c>
      <c r="G7840" t="s">
        <v>21</v>
      </c>
    </row>
    <row r="7841" spans="1:7">
      <c r="A7841">
        <v>7840</v>
      </c>
      <c r="B7841" t="str">
        <f>"003211"</f>
        <v>0</v>
      </c>
      <c r="C7841" t="s">
        <v>12247</v>
      </c>
      <c r="D7841" t="s">
        <v>9987</v>
      </c>
      <c r="E7841" t="str">
        <f>"3450800136366"</f>
        <v>0</v>
      </c>
      <c r="F7841" t="str">
        <f>"001480"</f>
        <v>0</v>
      </c>
      <c r="G7841" t="s">
        <v>21</v>
      </c>
    </row>
    <row r="7842" spans="1:7">
      <c r="A7842">
        <v>7841</v>
      </c>
      <c r="B7842" t="str">
        <f>"003214"</f>
        <v>0</v>
      </c>
      <c r="C7842" t="s">
        <v>2301</v>
      </c>
      <c r="D7842" t="s">
        <v>5246</v>
      </c>
      <c r="E7842" t="str">
        <f>"3450600305792"</f>
        <v>0</v>
      </c>
      <c r="F7842" t="str">
        <f>"001480"</f>
        <v>0</v>
      </c>
      <c r="G7842" t="s">
        <v>21</v>
      </c>
    </row>
    <row r="7843" spans="1:7">
      <c r="A7843">
        <v>7842</v>
      </c>
      <c r="B7843" t="str">
        <f>"003575"</f>
        <v>0</v>
      </c>
      <c r="C7843" t="s">
        <v>12248</v>
      </c>
      <c r="D7843" t="s">
        <v>12249</v>
      </c>
      <c r="E7843" t="str">
        <f>"3469900122276"</f>
        <v>0</v>
      </c>
      <c r="F7843" t="str">
        <f>"001480"</f>
        <v>0</v>
      </c>
      <c r="G7843" t="s">
        <v>21</v>
      </c>
    </row>
    <row r="7844" spans="1:7">
      <c r="A7844">
        <v>7843</v>
      </c>
      <c r="B7844" t="str">
        <f>"005017"</f>
        <v>0</v>
      </c>
      <c r="C7844" t="s">
        <v>12250</v>
      </c>
      <c r="D7844" t="s">
        <v>12251</v>
      </c>
      <c r="E7844" t="str">
        <f>"3459900305656"</f>
        <v>0</v>
      </c>
      <c r="F7844" t="str">
        <f>"001480"</f>
        <v>0</v>
      </c>
      <c r="G7844" t="s">
        <v>21</v>
      </c>
    </row>
    <row r="7845" spans="1:7">
      <c r="A7845">
        <v>7844</v>
      </c>
      <c r="B7845" t="str">
        <f>"005161"</f>
        <v>0</v>
      </c>
      <c r="C7845" t="s">
        <v>676</v>
      </c>
      <c r="D7845" t="s">
        <v>12252</v>
      </c>
      <c r="E7845" t="str">
        <f>"3459900097824"</f>
        <v>0</v>
      </c>
      <c r="F7845" t="str">
        <f>"001480"</f>
        <v>0</v>
      </c>
      <c r="G7845" t="s">
        <v>21</v>
      </c>
    </row>
    <row r="7846" spans="1:7">
      <c r="A7846">
        <v>7845</v>
      </c>
      <c r="B7846" t="str">
        <f>"005308"</f>
        <v>0</v>
      </c>
      <c r="C7846" t="s">
        <v>12253</v>
      </c>
      <c r="D7846" t="s">
        <v>12254</v>
      </c>
      <c r="E7846" t="str">
        <f>"3460900015111"</f>
        <v>0</v>
      </c>
      <c r="F7846" t="str">
        <f>"001480"</f>
        <v>0</v>
      </c>
      <c r="G7846" t="s">
        <v>21</v>
      </c>
    </row>
    <row r="7847" spans="1:7">
      <c r="A7847">
        <v>7846</v>
      </c>
      <c r="B7847" t="str">
        <f>"005569"</f>
        <v>0</v>
      </c>
      <c r="C7847" t="s">
        <v>12255</v>
      </c>
      <c r="D7847" t="s">
        <v>12256</v>
      </c>
      <c r="E7847" t="str">
        <f>"3450600545262"</f>
        <v>0</v>
      </c>
      <c r="F7847" t="str">
        <f>"001480"</f>
        <v>0</v>
      </c>
      <c r="G7847" t="s">
        <v>21</v>
      </c>
    </row>
    <row r="7848" spans="1:7">
      <c r="A7848">
        <v>7847</v>
      </c>
      <c r="B7848" t="str">
        <f>"006549"</f>
        <v>0</v>
      </c>
      <c r="C7848" t="s">
        <v>7140</v>
      </c>
      <c r="D7848" t="s">
        <v>12257</v>
      </c>
      <c r="E7848" t="str">
        <f>"3450800008473"</f>
        <v>0</v>
      </c>
      <c r="F7848" t="str">
        <f>"001480"</f>
        <v>0</v>
      </c>
      <c r="G7848" t="s">
        <v>21</v>
      </c>
    </row>
    <row r="7849" spans="1:7">
      <c r="A7849">
        <v>7848</v>
      </c>
      <c r="B7849" t="str">
        <f>"006865"</f>
        <v>0</v>
      </c>
      <c r="C7849" t="s">
        <v>12258</v>
      </c>
      <c r="D7849" t="s">
        <v>1814</v>
      </c>
      <c r="E7849" t="str">
        <f>"3451300010488"</f>
        <v>0</v>
      </c>
      <c r="F7849" t="str">
        <f>"001480"</f>
        <v>0</v>
      </c>
      <c r="G7849" t="s">
        <v>21</v>
      </c>
    </row>
    <row r="7850" spans="1:7">
      <c r="A7850">
        <v>7849</v>
      </c>
      <c r="B7850" t="str">
        <f>"006957"</f>
        <v>0</v>
      </c>
      <c r="C7850" t="s">
        <v>12259</v>
      </c>
      <c r="D7850" t="s">
        <v>12260</v>
      </c>
      <c r="E7850" t="str">
        <f>"3310100430912"</f>
        <v>0</v>
      </c>
      <c r="F7850" t="str">
        <f>"001480"</f>
        <v>0</v>
      </c>
      <c r="G7850" t="s">
        <v>21</v>
      </c>
    </row>
    <row r="7851" spans="1:7">
      <c r="A7851">
        <v>7850</v>
      </c>
      <c r="B7851" t="str">
        <f>"007035"</f>
        <v>0</v>
      </c>
      <c r="C7851" t="s">
        <v>12261</v>
      </c>
      <c r="D7851" t="s">
        <v>1294</v>
      </c>
      <c r="E7851" t="str">
        <f>"3450101244151"</f>
        <v>0</v>
      </c>
      <c r="F7851" t="str">
        <f>"001480"</f>
        <v>0</v>
      </c>
      <c r="G7851" t="s">
        <v>21</v>
      </c>
    </row>
    <row r="7852" spans="1:7">
      <c r="A7852">
        <v>7851</v>
      </c>
      <c r="B7852" t="str">
        <f>"007208"</f>
        <v>0</v>
      </c>
      <c r="C7852" t="s">
        <v>12255</v>
      </c>
      <c r="D7852" t="s">
        <v>12262</v>
      </c>
      <c r="E7852" t="str">
        <f>"3450200282779"</f>
        <v>0</v>
      </c>
      <c r="F7852" t="str">
        <f>"001480"</f>
        <v>0</v>
      </c>
      <c r="G7852" t="s">
        <v>21</v>
      </c>
    </row>
    <row r="7853" spans="1:7">
      <c r="A7853">
        <v>7852</v>
      </c>
      <c r="B7853" t="str">
        <f>"007545"</f>
        <v>0</v>
      </c>
      <c r="C7853" t="s">
        <v>154</v>
      </c>
      <c r="D7853" t="s">
        <v>12263</v>
      </c>
      <c r="E7853" t="str">
        <f>"3450101605031"</f>
        <v>0</v>
      </c>
      <c r="F7853" t="str">
        <f>"001480"</f>
        <v>0</v>
      </c>
      <c r="G7853" t="s">
        <v>21</v>
      </c>
    </row>
    <row r="7854" spans="1:7">
      <c r="A7854">
        <v>7853</v>
      </c>
      <c r="B7854" t="str">
        <f>"008016"</f>
        <v>0</v>
      </c>
      <c r="C7854" t="s">
        <v>12264</v>
      </c>
      <c r="D7854" t="s">
        <v>12265</v>
      </c>
      <c r="E7854" t="str">
        <f>"3460100303715"</f>
        <v>0</v>
      </c>
      <c r="F7854" t="str">
        <f>"001480"</f>
        <v>0</v>
      </c>
      <c r="G7854" t="s">
        <v>21</v>
      </c>
    </row>
    <row r="7855" spans="1:7">
      <c r="A7855">
        <v>7854</v>
      </c>
      <c r="B7855" t="str">
        <f>"008163"</f>
        <v>0</v>
      </c>
      <c r="C7855" t="s">
        <v>12266</v>
      </c>
      <c r="D7855" t="s">
        <v>12267</v>
      </c>
      <c r="E7855" t="str">
        <f>"3450900189798"</f>
        <v>0</v>
      </c>
      <c r="F7855" t="str">
        <f>"001480"</f>
        <v>0</v>
      </c>
      <c r="G7855" t="s">
        <v>21</v>
      </c>
    </row>
    <row r="7856" spans="1:7">
      <c r="A7856">
        <v>7855</v>
      </c>
      <c r="B7856" t="str">
        <f>"008308"</f>
        <v>0</v>
      </c>
      <c r="C7856" t="s">
        <v>12268</v>
      </c>
      <c r="D7856" t="s">
        <v>12269</v>
      </c>
      <c r="E7856" t="str">
        <f>"3451100422111"</f>
        <v>0</v>
      </c>
      <c r="F7856" t="str">
        <f>"001480"</f>
        <v>0</v>
      </c>
      <c r="G7856" t="s">
        <v>21</v>
      </c>
    </row>
    <row r="7857" spans="1:7">
      <c r="A7857">
        <v>7856</v>
      </c>
      <c r="B7857" t="str">
        <f>"008591"</f>
        <v>0</v>
      </c>
      <c r="C7857" t="s">
        <v>12270</v>
      </c>
      <c r="D7857" t="s">
        <v>6448</v>
      </c>
      <c r="E7857" t="str">
        <f>"3440100278150"</f>
        <v>0</v>
      </c>
      <c r="F7857" t="str">
        <f>"001480"</f>
        <v>0</v>
      </c>
      <c r="G7857" t="s">
        <v>21</v>
      </c>
    </row>
    <row r="7858" spans="1:7">
      <c r="A7858">
        <v>7857</v>
      </c>
      <c r="B7858" t="str">
        <f>"009161"</f>
        <v>0</v>
      </c>
      <c r="C7858" t="s">
        <v>12271</v>
      </c>
      <c r="D7858" t="s">
        <v>8585</v>
      </c>
      <c r="E7858" t="str">
        <f>"3319900006935"</f>
        <v>0</v>
      </c>
      <c r="F7858" t="str">
        <f>"001480"</f>
        <v>0</v>
      </c>
      <c r="G7858" t="s">
        <v>21</v>
      </c>
    </row>
    <row r="7859" spans="1:7">
      <c r="A7859">
        <v>7858</v>
      </c>
      <c r="B7859" t="str">
        <f>"009263"</f>
        <v>0</v>
      </c>
      <c r="C7859" t="s">
        <v>6327</v>
      </c>
      <c r="D7859" t="s">
        <v>12272</v>
      </c>
      <c r="E7859" t="str">
        <f>"5451100049085"</f>
        <v>0</v>
      </c>
      <c r="F7859" t="str">
        <f>"001480"</f>
        <v>0</v>
      </c>
      <c r="G7859" t="s">
        <v>21</v>
      </c>
    </row>
    <row r="7860" spans="1:7">
      <c r="A7860">
        <v>7859</v>
      </c>
      <c r="B7860" t="str">
        <f>"009359"</f>
        <v>0</v>
      </c>
      <c r="C7860" t="s">
        <v>12273</v>
      </c>
      <c r="D7860" t="s">
        <v>12274</v>
      </c>
      <c r="E7860" t="str">
        <f>"3459900154411"</f>
        <v>0</v>
      </c>
      <c r="F7860" t="str">
        <f>"001480"</f>
        <v>0</v>
      </c>
      <c r="G7860" t="s">
        <v>21</v>
      </c>
    </row>
    <row r="7861" spans="1:7">
      <c r="A7861">
        <v>7860</v>
      </c>
      <c r="B7861" t="str">
        <f>"009361"</f>
        <v>0</v>
      </c>
      <c r="C7861" t="s">
        <v>12275</v>
      </c>
      <c r="D7861" t="s">
        <v>12276</v>
      </c>
      <c r="E7861" t="str">
        <f>"3101701099024"</f>
        <v>0</v>
      </c>
      <c r="F7861" t="str">
        <f>"001480"</f>
        <v>0</v>
      </c>
      <c r="G7861" t="s">
        <v>21</v>
      </c>
    </row>
    <row r="7862" spans="1:7">
      <c r="A7862">
        <v>7861</v>
      </c>
      <c r="B7862" t="str">
        <f>"009496"</f>
        <v>0</v>
      </c>
      <c r="C7862" t="s">
        <v>44</v>
      </c>
      <c r="D7862" t="s">
        <v>12277</v>
      </c>
      <c r="E7862" t="str">
        <f>"3450300117257"</f>
        <v>0</v>
      </c>
      <c r="F7862" t="str">
        <f>"001480"</f>
        <v>0</v>
      </c>
      <c r="G7862" t="s">
        <v>21</v>
      </c>
    </row>
    <row r="7863" spans="1:7">
      <c r="A7863">
        <v>7862</v>
      </c>
      <c r="B7863" t="str">
        <f>"010165"</f>
        <v>0</v>
      </c>
      <c r="C7863" t="s">
        <v>12278</v>
      </c>
      <c r="D7863" t="s">
        <v>12279</v>
      </c>
      <c r="E7863" t="str">
        <f>"3331000039295"</f>
        <v>0</v>
      </c>
      <c r="F7863" t="str">
        <f>"001480"</f>
        <v>0</v>
      </c>
      <c r="G7863" t="s">
        <v>21</v>
      </c>
    </row>
    <row r="7864" spans="1:7">
      <c r="A7864">
        <v>7863</v>
      </c>
      <c r="B7864" t="str">
        <f>"010205"</f>
        <v>0</v>
      </c>
      <c r="C7864" t="s">
        <v>2301</v>
      </c>
      <c r="D7864" t="s">
        <v>12280</v>
      </c>
      <c r="E7864" t="str">
        <f>"3450500354252"</f>
        <v>0</v>
      </c>
      <c r="F7864" t="str">
        <f>"001480"</f>
        <v>0</v>
      </c>
      <c r="G7864" t="s">
        <v>21</v>
      </c>
    </row>
    <row r="7865" spans="1:7">
      <c r="A7865">
        <v>7864</v>
      </c>
      <c r="B7865" t="str">
        <f>"010538"</f>
        <v>0</v>
      </c>
      <c r="C7865" t="s">
        <v>1162</v>
      </c>
      <c r="D7865" t="s">
        <v>12281</v>
      </c>
      <c r="E7865" t="str">
        <f>"3450500918555"</f>
        <v>0</v>
      </c>
      <c r="F7865" t="str">
        <f>"001480"</f>
        <v>0</v>
      </c>
      <c r="G7865" t="s">
        <v>21</v>
      </c>
    </row>
    <row r="7866" spans="1:7">
      <c r="A7866">
        <v>7865</v>
      </c>
      <c r="B7866" t="str">
        <f>"010853"</f>
        <v>0</v>
      </c>
      <c r="C7866" t="s">
        <v>6950</v>
      </c>
      <c r="D7866" t="s">
        <v>12282</v>
      </c>
      <c r="E7866" t="str">
        <f>"3460900018217"</f>
        <v>0</v>
      </c>
      <c r="F7866" t="str">
        <f>"001480"</f>
        <v>0</v>
      </c>
      <c r="G7866" t="s">
        <v>21</v>
      </c>
    </row>
    <row r="7867" spans="1:7">
      <c r="A7867">
        <v>7866</v>
      </c>
      <c r="B7867" t="str">
        <f>"011619"</f>
        <v>0</v>
      </c>
      <c r="C7867" t="s">
        <v>12283</v>
      </c>
      <c r="D7867" t="s">
        <v>12284</v>
      </c>
      <c r="E7867" t="str">
        <f>"5451400023766"</f>
        <v>0</v>
      </c>
      <c r="F7867" t="str">
        <f>"001480"</f>
        <v>0</v>
      </c>
      <c r="G7867" t="s">
        <v>21</v>
      </c>
    </row>
    <row r="7868" spans="1:7">
      <c r="A7868">
        <v>7867</v>
      </c>
      <c r="B7868" t="str">
        <f>"011620"</f>
        <v>0</v>
      </c>
      <c r="C7868" t="s">
        <v>36</v>
      </c>
      <c r="D7868" t="s">
        <v>12285</v>
      </c>
      <c r="E7868" t="str">
        <f>"3320800034068"</f>
        <v>0</v>
      </c>
      <c r="F7868" t="str">
        <f>"001480"</f>
        <v>0</v>
      </c>
      <c r="G7868" t="s">
        <v>21</v>
      </c>
    </row>
    <row r="7869" spans="1:7">
      <c r="A7869">
        <v>7868</v>
      </c>
      <c r="B7869" t="str">
        <f>"011720"</f>
        <v>0</v>
      </c>
      <c r="C7869" t="s">
        <v>832</v>
      </c>
      <c r="D7869" t="s">
        <v>12286</v>
      </c>
      <c r="E7869" t="str">
        <f>"3451000459820"</f>
        <v>0</v>
      </c>
      <c r="F7869" t="str">
        <f>"001480"</f>
        <v>0</v>
      </c>
      <c r="G7869" t="s">
        <v>21</v>
      </c>
    </row>
    <row r="7870" spans="1:7">
      <c r="A7870">
        <v>7869</v>
      </c>
      <c r="B7870" t="str">
        <f>"011842"</f>
        <v>0</v>
      </c>
      <c r="C7870" t="s">
        <v>2239</v>
      </c>
      <c r="D7870" t="s">
        <v>12287</v>
      </c>
      <c r="E7870" t="str">
        <f>"3451100749820"</f>
        <v>0</v>
      </c>
      <c r="F7870" t="str">
        <f>"001480"</f>
        <v>0</v>
      </c>
      <c r="G7870" t="s">
        <v>21</v>
      </c>
    </row>
    <row r="7871" spans="1:7">
      <c r="A7871">
        <v>7870</v>
      </c>
      <c r="B7871" t="str">
        <f>"013217"</f>
        <v>0</v>
      </c>
      <c r="C7871" t="s">
        <v>3839</v>
      </c>
      <c r="D7871" t="s">
        <v>12288</v>
      </c>
      <c r="E7871" t="str">
        <f>"3450400082960"</f>
        <v>0</v>
      </c>
      <c r="F7871" t="str">
        <f>"001480"</f>
        <v>0</v>
      </c>
      <c r="G7871" t="s">
        <v>21</v>
      </c>
    </row>
    <row r="7872" spans="1:7">
      <c r="A7872">
        <v>7871</v>
      </c>
      <c r="B7872" t="str">
        <f>"013279"</f>
        <v>0</v>
      </c>
      <c r="C7872" t="s">
        <v>12289</v>
      </c>
      <c r="D7872" t="s">
        <v>12290</v>
      </c>
      <c r="E7872" t="str">
        <f>"3459900196806"</f>
        <v>0</v>
      </c>
      <c r="F7872" t="str">
        <f>"001480"</f>
        <v>0</v>
      </c>
      <c r="G7872" t="s">
        <v>21</v>
      </c>
    </row>
    <row r="7873" spans="1:7">
      <c r="A7873">
        <v>7872</v>
      </c>
      <c r="B7873" t="str">
        <f>"013280"</f>
        <v>0</v>
      </c>
      <c r="C7873" t="s">
        <v>12291</v>
      </c>
      <c r="D7873" t="s">
        <v>5182</v>
      </c>
      <c r="E7873" t="str">
        <f>"3459900119615"</f>
        <v>0</v>
      </c>
      <c r="F7873" t="str">
        <f>"001480"</f>
        <v>0</v>
      </c>
      <c r="G7873" t="s">
        <v>21</v>
      </c>
    </row>
    <row r="7874" spans="1:7">
      <c r="A7874">
        <v>7873</v>
      </c>
      <c r="B7874" t="str">
        <f>"013507"</f>
        <v>0</v>
      </c>
      <c r="C7874" t="s">
        <v>44</v>
      </c>
      <c r="D7874" t="s">
        <v>12292</v>
      </c>
      <c r="E7874" t="str">
        <f>"3451100413554"</f>
        <v>0</v>
      </c>
      <c r="F7874" t="str">
        <f>"001480"</f>
        <v>0</v>
      </c>
      <c r="G7874" t="s">
        <v>21</v>
      </c>
    </row>
    <row r="7875" spans="1:7">
      <c r="A7875">
        <v>7874</v>
      </c>
      <c r="B7875" t="str">
        <f>"013835"</f>
        <v>0</v>
      </c>
      <c r="C7875" t="s">
        <v>953</v>
      </c>
      <c r="D7875" t="s">
        <v>12293</v>
      </c>
      <c r="E7875" t="str">
        <f>"3469900173962"</f>
        <v>0</v>
      </c>
      <c r="F7875" t="str">
        <f>"001480"</f>
        <v>0</v>
      </c>
      <c r="G7875" t="s">
        <v>21</v>
      </c>
    </row>
    <row r="7876" spans="1:7">
      <c r="A7876">
        <v>7875</v>
      </c>
      <c r="B7876" t="str">
        <f>"014394"</f>
        <v>0</v>
      </c>
      <c r="C7876" t="s">
        <v>12294</v>
      </c>
      <c r="D7876" t="s">
        <v>12295</v>
      </c>
      <c r="E7876" t="str">
        <f>"3450101609516"</f>
        <v>0</v>
      </c>
      <c r="F7876" t="str">
        <f>"001480"</f>
        <v>0</v>
      </c>
      <c r="G7876" t="s">
        <v>21</v>
      </c>
    </row>
    <row r="7877" spans="1:7">
      <c r="A7877">
        <v>7876</v>
      </c>
      <c r="B7877" t="str">
        <f>"015782"</f>
        <v>0</v>
      </c>
      <c r="C7877" t="s">
        <v>2791</v>
      </c>
      <c r="D7877" t="s">
        <v>12296</v>
      </c>
      <c r="E7877" t="str">
        <f>"3409900229712"</f>
        <v>0</v>
      </c>
      <c r="F7877" t="str">
        <f>"001480"</f>
        <v>0</v>
      </c>
      <c r="G7877" t="s">
        <v>21</v>
      </c>
    </row>
    <row r="7878" spans="1:7">
      <c r="A7878">
        <v>7877</v>
      </c>
      <c r="B7878" t="str">
        <f>"016058"</f>
        <v>0</v>
      </c>
      <c r="C7878" t="s">
        <v>58</v>
      </c>
      <c r="D7878" t="s">
        <v>7785</v>
      </c>
      <c r="E7878" t="str">
        <f>"3100601844886"</f>
        <v>0</v>
      </c>
      <c r="F7878" t="str">
        <f>"001480"</f>
        <v>0</v>
      </c>
      <c r="G7878" t="s">
        <v>21</v>
      </c>
    </row>
    <row r="7879" spans="1:7">
      <c r="A7879">
        <v>7878</v>
      </c>
      <c r="B7879" t="str">
        <f>"016594"</f>
        <v>0</v>
      </c>
      <c r="C7879" t="s">
        <v>264</v>
      </c>
      <c r="D7879" t="s">
        <v>12297</v>
      </c>
      <c r="E7879" t="str">
        <f>"3909800433674"</f>
        <v>0</v>
      </c>
      <c r="F7879" t="str">
        <f>"001480"</f>
        <v>0</v>
      </c>
      <c r="G7879" t="s">
        <v>21</v>
      </c>
    </row>
    <row r="7880" spans="1:7">
      <c r="A7880">
        <v>7879</v>
      </c>
      <c r="B7880" t="str">
        <f>"016910"</f>
        <v>0</v>
      </c>
      <c r="C7880" t="s">
        <v>12298</v>
      </c>
      <c r="D7880" t="s">
        <v>12299</v>
      </c>
      <c r="E7880" t="str">
        <f>"3451000342515"</f>
        <v>0</v>
      </c>
      <c r="F7880" t="str">
        <f>"001480"</f>
        <v>0</v>
      </c>
      <c r="G7880" t="s">
        <v>21</v>
      </c>
    </row>
    <row r="7881" spans="1:7">
      <c r="A7881">
        <v>7880</v>
      </c>
      <c r="B7881" t="str">
        <f>"017263"</f>
        <v>0</v>
      </c>
      <c r="C7881" t="s">
        <v>12300</v>
      </c>
      <c r="D7881" t="s">
        <v>12301</v>
      </c>
      <c r="E7881" t="str">
        <f>"3450500338532"</f>
        <v>0</v>
      </c>
      <c r="F7881" t="str">
        <f>"001480"</f>
        <v>0</v>
      </c>
      <c r="G7881" t="s">
        <v>21</v>
      </c>
    </row>
    <row r="7882" spans="1:7">
      <c r="A7882">
        <v>7881</v>
      </c>
      <c r="B7882" t="str">
        <f>"017344"</f>
        <v>0</v>
      </c>
      <c r="C7882" t="s">
        <v>2232</v>
      </c>
      <c r="D7882" t="s">
        <v>12302</v>
      </c>
      <c r="E7882" t="str">
        <f>"3450400585694"</f>
        <v>0</v>
      </c>
      <c r="F7882" t="str">
        <f>"001480"</f>
        <v>0</v>
      </c>
      <c r="G7882" t="s">
        <v>21</v>
      </c>
    </row>
    <row r="7883" spans="1:7">
      <c r="A7883">
        <v>7882</v>
      </c>
      <c r="B7883" t="str">
        <f>"017874"</f>
        <v>0</v>
      </c>
      <c r="C7883" t="s">
        <v>4967</v>
      </c>
      <c r="D7883" t="s">
        <v>12303</v>
      </c>
      <c r="E7883" t="str">
        <f>"3450100348549"</f>
        <v>0</v>
      </c>
      <c r="F7883" t="str">
        <f>"001480"</f>
        <v>0</v>
      </c>
      <c r="G7883" t="s">
        <v>21</v>
      </c>
    </row>
    <row r="7884" spans="1:7">
      <c r="A7884">
        <v>7883</v>
      </c>
      <c r="B7884" t="str">
        <f>"018123"</f>
        <v>0</v>
      </c>
      <c r="C7884" t="s">
        <v>433</v>
      </c>
      <c r="D7884" t="s">
        <v>12249</v>
      </c>
      <c r="E7884" t="str">
        <f>"3459900149905"</f>
        <v>0</v>
      </c>
      <c r="F7884" t="str">
        <f>"001480"</f>
        <v>0</v>
      </c>
      <c r="G7884" t="s">
        <v>21</v>
      </c>
    </row>
    <row r="7885" spans="1:7">
      <c r="A7885">
        <v>7884</v>
      </c>
      <c r="B7885" t="str">
        <f>"018128"</f>
        <v>0</v>
      </c>
      <c r="C7885" t="s">
        <v>433</v>
      </c>
      <c r="D7885" t="s">
        <v>12304</v>
      </c>
      <c r="E7885" t="str">
        <f>"3451000351611"</f>
        <v>0</v>
      </c>
      <c r="F7885" t="str">
        <f>"001480"</f>
        <v>0</v>
      </c>
      <c r="G7885" t="s">
        <v>21</v>
      </c>
    </row>
    <row r="7886" spans="1:7">
      <c r="A7886">
        <v>7885</v>
      </c>
      <c r="B7886" t="str">
        <f>"027287"</f>
        <v>0</v>
      </c>
      <c r="C7886" t="s">
        <v>3801</v>
      </c>
      <c r="D7886" t="s">
        <v>12305</v>
      </c>
      <c r="E7886" t="str">
        <f>"3451100845624"</f>
        <v>0</v>
      </c>
      <c r="F7886" t="str">
        <f>"001480"</f>
        <v>0</v>
      </c>
      <c r="G7886" t="s">
        <v>21</v>
      </c>
    </row>
    <row r="7887" spans="1:7">
      <c r="A7887">
        <v>7886</v>
      </c>
      <c r="B7887" t="str">
        <f>"006058"</f>
        <v>0</v>
      </c>
      <c r="C7887" t="s">
        <v>2310</v>
      </c>
      <c r="D7887" t="s">
        <v>12306</v>
      </c>
      <c r="E7887" t="str">
        <f>"3450100789251"</f>
        <v>0</v>
      </c>
      <c r="F7887" t="str">
        <f>"001480"</f>
        <v>0</v>
      </c>
      <c r="G7887" t="s">
        <v>21</v>
      </c>
    </row>
    <row r="7888" spans="1:7">
      <c r="A7888">
        <v>7887</v>
      </c>
      <c r="B7888" t="str">
        <f>"007419"</f>
        <v>0</v>
      </c>
      <c r="C7888" t="s">
        <v>12307</v>
      </c>
      <c r="D7888" t="s">
        <v>9275</v>
      </c>
      <c r="E7888" t="str">
        <f>"3450500490571"</f>
        <v>0</v>
      </c>
      <c r="F7888" t="str">
        <f>"001480"</f>
        <v>0</v>
      </c>
      <c r="G7888" t="s">
        <v>21</v>
      </c>
    </row>
    <row r="7889" spans="1:7">
      <c r="A7889">
        <v>7888</v>
      </c>
      <c r="B7889" t="str">
        <f>"007783"</f>
        <v>0</v>
      </c>
      <c r="C7889" t="s">
        <v>12308</v>
      </c>
      <c r="D7889" t="s">
        <v>12309</v>
      </c>
      <c r="E7889" t="str">
        <f>"3451400315515"</f>
        <v>0</v>
      </c>
      <c r="F7889" t="str">
        <f>"001480"</f>
        <v>0</v>
      </c>
      <c r="G7889" t="s">
        <v>21</v>
      </c>
    </row>
    <row r="7890" spans="1:7">
      <c r="A7890">
        <v>7889</v>
      </c>
      <c r="B7890" t="str">
        <f>"009855"</f>
        <v>0</v>
      </c>
      <c r="C7890" t="s">
        <v>12310</v>
      </c>
      <c r="D7890" t="s">
        <v>12311</v>
      </c>
      <c r="E7890" t="str">
        <f>"3450900256797"</f>
        <v>0</v>
      </c>
      <c r="F7890" t="str">
        <f>"001480"</f>
        <v>0</v>
      </c>
      <c r="G7890" t="s">
        <v>21</v>
      </c>
    </row>
    <row r="7891" spans="1:7">
      <c r="A7891">
        <v>7890</v>
      </c>
      <c r="B7891" t="str">
        <f>"010147"</f>
        <v>0</v>
      </c>
      <c r="C7891" t="s">
        <v>12312</v>
      </c>
      <c r="D7891" t="s">
        <v>12313</v>
      </c>
      <c r="E7891" t="str">
        <f>"3459900074255"</f>
        <v>0</v>
      </c>
      <c r="F7891" t="str">
        <f>"001480"</f>
        <v>0</v>
      </c>
      <c r="G7891" t="s">
        <v>21</v>
      </c>
    </row>
    <row r="7892" spans="1:7">
      <c r="A7892">
        <v>7891</v>
      </c>
      <c r="B7892" t="str">
        <f>"013513"</f>
        <v>0</v>
      </c>
      <c r="C7892" t="s">
        <v>144</v>
      </c>
      <c r="D7892" t="s">
        <v>12314</v>
      </c>
      <c r="E7892" t="str">
        <f>"3450500337293"</f>
        <v>0</v>
      </c>
      <c r="F7892" t="str">
        <f>"001480"</f>
        <v>0</v>
      </c>
      <c r="G7892" t="s">
        <v>21</v>
      </c>
    </row>
    <row r="7893" spans="1:7">
      <c r="A7893">
        <v>7892</v>
      </c>
      <c r="B7893" t="str">
        <f>"025313"</f>
        <v>0</v>
      </c>
      <c r="C7893" t="s">
        <v>12315</v>
      </c>
      <c r="D7893" t="s">
        <v>12316</v>
      </c>
      <c r="E7893" t="str">
        <f>"1451490000105"</f>
        <v>0</v>
      </c>
      <c r="F7893" t="str">
        <f>"001480"</f>
        <v>0</v>
      </c>
      <c r="G7893" t="s">
        <v>21</v>
      </c>
    </row>
    <row r="7894" spans="1:7">
      <c r="A7894">
        <v>7893</v>
      </c>
      <c r="B7894" t="str">
        <f>"026523"</f>
        <v>0</v>
      </c>
      <c r="C7894" t="s">
        <v>12317</v>
      </c>
      <c r="D7894" t="s">
        <v>12318</v>
      </c>
      <c r="E7894" t="str">
        <f>"1100500625309"</f>
        <v>0</v>
      </c>
      <c r="F7894" t="str">
        <f>"001480"</f>
        <v>0</v>
      </c>
      <c r="G7894" t="s">
        <v>21</v>
      </c>
    </row>
    <row r="7895" spans="1:7">
      <c r="A7895">
        <v>7894</v>
      </c>
      <c r="B7895" t="str">
        <f>"026399"</f>
        <v>0</v>
      </c>
      <c r="C7895" t="s">
        <v>12319</v>
      </c>
      <c r="D7895" t="s">
        <v>12320</v>
      </c>
      <c r="E7895" t="str">
        <f>"1269900171949"</f>
        <v>0</v>
      </c>
      <c r="F7895" t="str">
        <f>"001480"</f>
        <v>0</v>
      </c>
      <c r="G7895" t="s">
        <v>21</v>
      </c>
    </row>
    <row r="7896" spans="1:7">
      <c r="A7896">
        <v>7895</v>
      </c>
      <c r="B7896" t="str">
        <f>"023045"</f>
        <v>0</v>
      </c>
      <c r="C7896" t="s">
        <v>12321</v>
      </c>
      <c r="D7896" t="s">
        <v>12322</v>
      </c>
      <c r="E7896" t="str">
        <f>"3450101051663"</f>
        <v>0</v>
      </c>
      <c r="F7896" t="str">
        <f>"001480"</f>
        <v>0</v>
      </c>
      <c r="G7896" t="s">
        <v>21</v>
      </c>
    </row>
    <row r="7897" spans="1:7">
      <c r="A7897">
        <v>7896</v>
      </c>
      <c r="B7897" t="str">
        <f>"026396"</f>
        <v>0</v>
      </c>
      <c r="C7897" t="s">
        <v>12323</v>
      </c>
      <c r="D7897" t="s">
        <v>12324</v>
      </c>
      <c r="E7897" t="str">
        <f>"1302000034905"</f>
        <v>0</v>
      </c>
      <c r="F7897" t="str">
        <f>"001480"</f>
        <v>0</v>
      </c>
      <c r="G7897" t="s">
        <v>21</v>
      </c>
    </row>
    <row r="7898" spans="1:7">
      <c r="A7898">
        <v>7897</v>
      </c>
      <c r="B7898" t="str">
        <f>"027194"</f>
        <v>0</v>
      </c>
      <c r="C7898" t="s">
        <v>12325</v>
      </c>
      <c r="D7898" t="s">
        <v>12326</v>
      </c>
      <c r="E7898" t="str">
        <f>"3320400340005"</f>
        <v>0</v>
      </c>
      <c r="F7898" t="str">
        <f>"001480"</f>
        <v>0</v>
      </c>
      <c r="G7898" t="s">
        <v>21</v>
      </c>
    </row>
    <row r="7899" spans="1:7">
      <c r="A7899">
        <v>7898</v>
      </c>
      <c r="B7899" t="str">
        <f>"014495"</f>
        <v>0</v>
      </c>
      <c r="C7899" t="s">
        <v>12327</v>
      </c>
      <c r="D7899" t="s">
        <v>2411</v>
      </c>
      <c r="E7899" t="str">
        <f>"3340400517118"</f>
        <v>0</v>
      </c>
      <c r="F7899" t="str">
        <f>"001480"</f>
        <v>0</v>
      </c>
      <c r="G7899" t="s">
        <v>21</v>
      </c>
    </row>
    <row r="7900" spans="1:7">
      <c r="A7900">
        <v>7899</v>
      </c>
      <c r="B7900" t="str">
        <f>"016027"</f>
        <v>0</v>
      </c>
      <c r="C7900" t="s">
        <v>7234</v>
      </c>
      <c r="D7900" t="s">
        <v>12328</v>
      </c>
      <c r="E7900" t="str">
        <f>"3450800344775"</f>
        <v>0</v>
      </c>
      <c r="F7900" t="str">
        <f>"001480"</f>
        <v>0</v>
      </c>
      <c r="G7900" t="s">
        <v>21</v>
      </c>
    </row>
    <row r="7901" spans="1:7">
      <c r="A7901">
        <v>7900</v>
      </c>
      <c r="B7901" t="str">
        <f>"024654"</f>
        <v>0</v>
      </c>
      <c r="C7901" t="s">
        <v>12329</v>
      </c>
      <c r="D7901" t="s">
        <v>12330</v>
      </c>
      <c r="E7901" t="str">
        <f>"3330900037964"</f>
        <v>0</v>
      </c>
      <c r="F7901" t="str">
        <f>"001480"</f>
        <v>0</v>
      </c>
      <c r="G7901" t="s">
        <v>21</v>
      </c>
    </row>
    <row r="7902" spans="1:7">
      <c r="A7902">
        <v>7901</v>
      </c>
      <c r="B7902" t="str">
        <f>"024294"</f>
        <v>0</v>
      </c>
      <c r="C7902" t="s">
        <v>6681</v>
      </c>
      <c r="D7902" t="s">
        <v>12331</v>
      </c>
      <c r="E7902" t="str">
        <f>"3451300172682"</f>
        <v>0</v>
      </c>
      <c r="F7902" t="str">
        <f>"001480"</f>
        <v>0</v>
      </c>
      <c r="G7902" t="s">
        <v>21</v>
      </c>
    </row>
    <row r="7903" spans="1:7">
      <c r="A7903">
        <v>7902</v>
      </c>
      <c r="B7903" t="str">
        <f>"024975"</f>
        <v>0</v>
      </c>
      <c r="C7903" t="s">
        <v>12332</v>
      </c>
      <c r="D7903" t="s">
        <v>12333</v>
      </c>
      <c r="E7903" t="str">
        <f>"1349900076848"</f>
        <v>0</v>
      </c>
      <c r="F7903" t="str">
        <f>"001480"</f>
        <v>0</v>
      </c>
      <c r="G7903" t="s">
        <v>21</v>
      </c>
    </row>
    <row r="7904" spans="1:7">
      <c r="A7904">
        <v>7903</v>
      </c>
      <c r="B7904" t="str">
        <f>"015241"</f>
        <v>0</v>
      </c>
      <c r="C7904" t="s">
        <v>2573</v>
      </c>
      <c r="D7904" t="s">
        <v>12334</v>
      </c>
      <c r="E7904" t="str">
        <f>"3460700546201"</f>
        <v>0</v>
      </c>
      <c r="F7904" t="str">
        <f>"001480"</f>
        <v>0</v>
      </c>
      <c r="G7904" t="s">
        <v>21</v>
      </c>
    </row>
    <row r="7905" spans="1:7">
      <c r="A7905">
        <v>7904</v>
      </c>
      <c r="B7905" t="str">
        <f>"025315"</f>
        <v>0</v>
      </c>
      <c r="C7905" t="s">
        <v>12335</v>
      </c>
      <c r="D7905" t="s">
        <v>12336</v>
      </c>
      <c r="E7905" t="str">
        <f>"1350300016196"</f>
        <v>0</v>
      </c>
      <c r="F7905" t="str">
        <f>"001480"</f>
        <v>0</v>
      </c>
      <c r="G7905" t="s">
        <v>21</v>
      </c>
    </row>
    <row r="7906" spans="1:7">
      <c r="A7906">
        <v>7905</v>
      </c>
      <c r="B7906" t="str">
        <f>"026779"</f>
        <v>0</v>
      </c>
      <c r="C7906" t="s">
        <v>12337</v>
      </c>
      <c r="D7906" t="s">
        <v>2429</v>
      </c>
      <c r="E7906" t="str">
        <f>"1179900170803"</f>
        <v>0</v>
      </c>
      <c r="F7906" t="str">
        <f>"001480"</f>
        <v>0</v>
      </c>
      <c r="G7906" t="s">
        <v>21</v>
      </c>
    </row>
    <row r="7907" spans="1:7">
      <c r="A7907">
        <v>7906</v>
      </c>
      <c r="B7907" t="str">
        <f>"022911"</f>
        <v>0</v>
      </c>
      <c r="C7907" t="s">
        <v>11918</v>
      </c>
      <c r="D7907" t="s">
        <v>12338</v>
      </c>
      <c r="E7907" t="str">
        <f>"3350700247370"</f>
        <v>0</v>
      </c>
      <c r="F7907" t="str">
        <f>"001480"</f>
        <v>0</v>
      </c>
      <c r="G7907" t="s">
        <v>21</v>
      </c>
    </row>
    <row r="7908" spans="1:7">
      <c r="A7908">
        <v>7907</v>
      </c>
      <c r="B7908" t="str">
        <f>"023584"</f>
        <v>0</v>
      </c>
      <c r="C7908" t="s">
        <v>5966</v>
      </c>
      <c r="D7908" t="s">
        <v>12339</v>
      </c>
      <c r="E7908" t="str">
        <f>"3400800136803"</f>
        <v>0</v>
      </c>
      <c r="F7908" t="str">
        <f>"001480"</f>
        <v>0</v>
      </c>
      <c r="G7908" t="s">
        <v>21</v>
      </c>
    </row>
    <row r="7909" spans="1:7">
      <c r="A7909">
        <v>7908</v>
      </c>
      <c r="B7909" t="str">
        <f>"024097"</f>
        <v>0</v>
      </c>
      <c r="C7909" t="s">
        <v>10952</v>
      </c>
      <c r="D7909" t="s">
        <v>12340</v>
      </c>
      <c r="E7909" t="str">
        <f>"5400400063694"</f>
        <v>0</v>
      </c>
      <c r="F7909" t="str">
        <f>"001480"</f>
        <v>0</v>
      </c>
      <c r="G7909" t="s">
        <v>21</v>
      </c>
    </row>
    <row r="7910" spans="1:7">
      <c r="A7910">
        <v>7909</v>
      </c>
      <c r="B7910" t="str">
        <f>"024384"</f>
        <v>0</v>
      </c>
      <c r="C7910" t="s">
        <v>12341</v>
      </c>
      <c r="D7910" t="s">
        <v>12342</v>
      </c>
      <c r="E7910" t="str">
        <f>"1450700023407"</f>
        <v>0</v>
      </c>
      <c r="F7910" t="str">
        <f>"001480"</f>
        <v>0</v>
      </c>
      <c r="G7910" t="s">
        <v>21</v>
      </c>
    </row>
    <row r="7911" spans="1:7">
      <c r="A7911">
        <v>7910</v>
      </c>
      <c r="B7911" t="str">
        <f>"026397"</f>
        <v>0</v>
      </c>
      <c r="C7911" t="s">
        <v>102</v>
      </c>
      <c r="D7911" t="s">
        <v>1999</v>
      </c>
      <c r="E7911" t="str">
        <f>"1410200086671"</f>
        <v>0</v>
      </c>
      <c r="F7911" t="str">
        <f>"001480"</f>
        <v>0</v>
      </c>
      <c r="G7911" t="s">
        <v>21</v>
      </c>
    </row>
    <row r="7912" spans="1:7">
      <c r="A7912">
        <v>7911</v>
      </c>
      <c r="B7912" t="str">
        <f>"019150"</f>
        <v>0</v>
      </c>
      <c r="C7912" t="s">
        <v>8384</v>
      </c>
      <c r="D7912" t="s">
        <v>12343</v>
      </c>
      <c r="E7912" t="str">
        <f>"3440100799559"</f>
        <v>0</v>
      </c>
      <c r="F7912" t="str">
        <f>"001480"</f>
        <v>0</v>
      </c>
      <c r="G7912" t="s">
        <v>21</v>
      </c>
    </row>
    <row r="7913" spans="1:7">
      <c r="A7913">
        <v>7912</v>
      </c>
      <c r="B7913" t="str">
        <f>"022199"</f>
        <v>0</v>
      </c>
      <c r="C7913" t="s">
        <v>4384</v>
      </c>
      <c r="D7913" t="s">
        <v>12344</v>
      </c>
      <c r="E7913" t="str">
        <f>"3440700102117"</f>
        <v>0</v>
      </c>
      <c r="F7913" t="str">
        <f>"001480"</f>
        <v>0</v>
      </c>
      <c r="G7913" t="s">
        <v>21</v>
      </c>
    </row>
    <row r="7914" spans="1:7">
      <c r="A7914">
        <v>7913</v>
      </c>
      <c r="B7914" t="str">
        <f>"022843"</f>
        <v>0</v>
      </c>
      <c r="C7914" t="s">
        <v>12345</v>
      </c>
      <c r="D7914" t="s">
        <v>12346</v>
      </c>
      <c r="E7914" t="str">
        <f>"1440690003859"</f>
        <v>0</v>
      </c>
      <c r="F7914" t="str">
        <f>"001480"</f>
        <v>0</v>
      </c>
      <c r="G7914" t="s">
        <v>21</v>
      </c>
    </row>
    <row r="7915" spans="1:7">
      <c r="A7915">
        <v>7914</v>
      </c>
      <c r="B7915" t="str">
        <f>"025464"</f>
        <v>0</v>
      </c>
      <c r="C7915" t="s">
        <v>12347</v>
      </c>
      <c r="D7915" t="s">
        <v>12348</v>
      </c>
      <c r="E7915" t="str">
        <f>"1440600102909"</f>
        <v>0</v>
      </c>
      <c r="F7915" t="str">
        <f>"001480"</f>
        <v>0</v>
      </c>
      <c r="G7915" t="s">
        <v>21</v>
      </c>
    </row>
    <row r="7916" spans="1:7">
      <c r="A7916">
        <v>7915</v>
      </c>
      <c r="B7916" t="str">
        <f>"025641"</f>
        <v>0</v>
      </c>
      <c r="C7916" t="s">
        <v>6840</v>
      </c>
      <c r="D7916" t="s">
        <v>12349</v>
      </c>
      <c r="E7916" t="str">
        <f>"3440100771671"</f>
        <v>0</v>
      </c>
      <c r="F7916" t="str">
        <f>"001480"</f>
        <v>0</v>
      </c>
      <c r="G7916" t="s">
        <v>21</v>
      </c>
    </row>
    <row r="7917" spans="1:7">
      <c r="A7917">
        <v>7916</v>
      </c>
      <c r="B7917" t="str">
        <f>"025726"</f>
        <v>0</v>
      </c>
      <c r="C7917" t="s">
        <v>12350</v>
      </c>
      <c r="D7917" t="s">
        <v>12351</v>
      </c>
      <c r="E7917" t="str">
        <f>"1449900275289"</f>
        <v>0</v>
      </c>
      <c r="F7917" t="str">
        <f>"001480"</f>
        <v>0</v>
      </c>
      <c r="G7917" t="s">
        <v>21</v>
      </c>
    </row>
    <row r="7918" spans="1:7">
      <c r="A7918">
        <v>7917</v>
      </c>
      <c r="B7918" t="str">
        <f>"026780"</f>
        <v>0</v>
      </c>
      <c r="C7918" t="s">
        <v>2127</v>
      </c>
      <c r="D7918" t="s">
        <v>12352</v>
      </c>
      <c r="E7918" t="str">
        <f>"1449900178615"</f>
        <v>0</v>
      </c>
      <c r="F7918" t="str">
        <f>"001480"</f>
        <v>0</v>
      </c>
      <c r="G7918" t="s">
        <v>21</v>
      </c>
    </row>
    <row r="7919" spans="1:7">
      <c r="A7919">
        <v>7918</v>
      </c>
      <c r="B7919" t="str">
        <f>"027389"</f>
        <v>0</v>
      </c>
      <c r="C7919" t="s">
        <v>12353</v>
      </c>
      <c r="D7919" t="s">
        <v>12354</v>
      </c>
      <c r="E7919" t="str">
        <f>"1409901063188"</f>
        <v>0</v>
      </c>
      <c r="F7919" t="str">
        <f>"001480"</f>
        <v>0</v>
      </c>
      <c r="G7919" t="s">
        <v>21</v>
      </c>
    </row>
    <row r="7920" spans="1:7">
      <c r="A7920">
        <v>7919</v>
      </c>
      <c r="B7920" t="str">
        <f>"008314"</f>
        <v>0</v>
      </c>
      <c r="C7920" t="s">
        <v>12355</v>
      </c>
      <c r="D7920" t="s">
        <v>12356</v>
      </c>
      <c r="E7920" t="str">
        <f>"3450100856463"</f>
        <v>0</v>
      </c>
      <c r="F7920" t="str">
        <f>"001480"</f>
        <v>0</v>
      </c>
      <c r="G7920" t="s">
        <v>21</v>
      </c>
    </row>
    <row r="7921" spans="1:7">
      <c r="A7921">
        <v>7920</v>
      </c>
      <c r="B7921" t="str">
        <f>"008502"</f>
        <v>0</v>
      </c>
      <c r="C7921" t="s">
        <v>12357</v>
      </c>
      <c r="D7921" t="s">
        <v>12358</v>
      </c>
      <c r="E7921" t="str">
        <f>"3450100660364"</f>
        <v>0</v>
      </c>
      <c r="F7921" t="str">
        <f>"001480"</f>
        <v>0</v>
      </c>
      <c r="G7921" t="s">
        <v>21</v>
      </c>
    </row>
    <row r="7922" spans="1:7">
      <c r="A7922">
        <v>7921</v>
      </c>
      <c r="B7922" t="str">
        <f>"009426"</f>
        <v>0</v>
      </c>
      <c r="C7922" t="s">
        <v>2121</v>
      </c>
      <c r="D7922" t="s">
        <v>3435</v>
      </c>
      <c r="E7922" t="str">
        <f>"3450300051876"</f>
        <v>0</v>
      </c>
      <c r="F7922" t="str">
        <f>"001480"</f>
        <v>0</v>
      </c>
      <c r="G7922" t="s">
        <v>21</v>
      </c>
    </row>
    <row r="7923" spans="1:7">
      <c r="A7923">
        <v>7922</v>
      </c>
      <c r="B7923" t="str">
        <f>"009495"</f>
        <v>0</v>
      </c>
      <c r="C7923" t="s">
        <v>12359</v>
      </c>
      <c r="D7923" t="s">
        <v>12360</v>
      </c>
      <c r="E7923" t="str">
        <f>"3450300174285"</f>
        <v>0</v>
      </c>
      <c r="F7923" t="str">
        <f>"001480"</f>
        <v>0</v>
      </c>
      <c r="G7923" t="s">
        <v>21</v>
      </c>
    </row>
    <row r="7924" spans="1:7">
      <c r="A7924">
        <v>7923</v>
      </c>
      <c r="B7924" t="str">
        <f>"009949"</f>
        <v>0</v>
      </c>
      <c r="C7924" t="s">
        <v>12361</v>
      </c>
      <c r="D7924" t="s">
        <v>12362</v>
      </c>
      <c r="E7924" t="str">
        <f>"3451000994008"</f>
        <v>0</v>
      </c>
      <c r="F7924" t="str">
        <f>"001480"</f>
        <v>0</v>
      </c>
      <c r="G7924" t="s">
        <v>21</v>
      </c>
    </row>
    <row r="7925" spans="1:7">
      <c r="A7925">
        <v>7924</v>
      </c>
      <c r="B7925" t="str">
        <f>"010131"</f>
        <v>0</v>
      </c>
      <c r="C7925" t="s">
        <v>1196</v>
      </c>
      <c r="D7925" t="s">
        <v>6904</v>
      </c>
      <c r="E7925" t="str">
        <f>"5450100012504"</f>
        <v>0</v>
      </c>
      <c r="F7925" t="str">
        <f>"001480"</f>
        <v>0</v>
      </c>
      <c r="G7925" t="s">
        <v>21</v>
      </c>
    </row>
    <row r="7926" spans="1:7">
      <c r="A7926">
        <v>7925</v>
      </c>
      <c r="B7926" t="str">
        <f>"010204"</f>
        <v>0</v>
      </c>
      <c r="C7926" t="s">
        <v>682</v>
      </c>
      <c r="D7926" t="s">
        <v>12363</v>
      </c>
      <c r="E7926" t="str">
        <f>"3451200095201"</f>
        <v>0</v>
      </c>
      <c r="F7926" t="str">
        <f>"001480"</f>
        <v>0</v>
      </c>
      <c r="G7926" t="s">
        <v>21</v>
      </c>
    </row>
    <row r="7927" spans="1:7">
      <c r="A7927">
        <v>7926</v>
      </c>
      <c r="B7927" t="str">
        <f>"010537"</f>
        <v>0</v>
      </c>
      <c r="C7927" t="s">
        <v>12364</v>
      </c>
      <c r="D7927" t="s">
        <v>12365</v>
      </c>
      <c r="E7927" t="str">
        <f>"3140700044187"</f>
        <v>0</v>
      </c>
      <c r="F7927" t="str">
        <f>"001480"</f>
        <v>0</v>
      </c>
      <c r="G7927" t="s">
        <v>21</v>
      </c>
    </row>
    <row r="7928" spans="1:7">
      <c r="A7928">
        <v>7927</v>
      </c>
      <c r="B7928" t="str">
        <f>"010593"</f>
        <v>0</v>
      </c>
      <c r="C7928" t="s">
        <v>6681</v>
      </c>
      <c r="D7928" t="s">
        <v>12366</v>
      </c>
      <c r="E7928" t="str">
        <f>"3450600760023"</f>
        <v>0</v>
      </c>
      <c r="F7928" t="str">
        <f>"001480"</f>
        <v>0</v>
      </c>
      <c r="G7928" t="s">
        <v>21</v>
      </c>
    </row>
    <row r="7929" spans="1:7">
      <c r="A7929">
        <v>7928</v>
      </c>
      <c r="B7929" t="str">
        <f>"010679"</f>
        <v>0</v>
      </c>
      <c r="C7929" t="s">
        <v>50</v>
      </c>
      <c r="D7929" t="s">
        <v>8585</v>
      </c>
      <c r="E7929" t="str">
        <f>"3450600591001"</f>
        <v>0</v>
      </c>
      <c r="F7929" t="str">
        <f>"001480"</f>
        <v>0</v>
      </c>
      <c r="G7929" t="s">
        <v>21</v>
      </c>
    </row>
    <row r="7930" spans="1:7">
      <c r="A7930">
        <v>7929</v>
      </c>
      <c r="B7930" t="str">
        <f>"011103"</f>
        <v>0</v>
      </c>
      <c r="C7930" t="s">
        <v>4624</v>
      </c>
      <c r="D7930" t="s">
        <v>12367</v>
      </c>
      <c r="E7930" t="str">
        <f>"3559900170679"</f>
        <v>0</v>
      </c>
      <c r="F7930" t="str">
        <f>"001480"</f>
        <v>0</v>
      </c>
      <c r="G7930" t="s">
        <v>21</v>
      </c>
    </row>
    <row r="7931" spans="1:7">
      <c r="A7931">
        <v>7930</v>
      </c>
      <c r="B7931" t="str">
        <f>"011203"</f>
        <v>0</v>
      </c>
      <c r="C7931" t="s">
        <v>12368</v>
      </c>
      <c r="D7931" t="s">
        <v>12369</v>
      </c>
      <c r="E7931" t="str">
        <f>"4430900002050"</f>
        <v>0</v>
      </c>
      <c r="F7931" t="str">
        <f>"001480"</f>
        <v>0</v>
      </c>
      <c r="G7931" t="s">
        <v>21</v>
      </c>
    </row>
    <row r="7932" spans="1:7">
      <c r="A7932">
        <v>7931</v>
      </c>
      <c r="B7932" t="str">
        <f>"011585"</f>
        <v>0</v>
      </c>
      <c r="C7932" t="s">
        <v>1983</v>
      </c>
      <c r="D7932" t="s">
        <v>12370</v>
      </c>
      <c r="E7932" t="str">
        <f>"3450100872400"</f>
        <v>0</v>
      </c>
      <c r="F7932" t="str">
        <f>"001480"</f>
        <v>0</v>
      </c>
      <c r="G7932" t="s">
        <v>21</v>
      </c>
    </row>
    <row r="7933" spans="1:7">
      <c r="A7933">
        <v>7932</v>
      </c>
      <c r="B7933" t="str">
        <f>"011897"</f>
        <v>0</v>
      </c>
      <c r="C7933" t="s">
        <v>12371</v>
      </c>
      <c r="D7933" t="s">
        <v>12372</v>
      </c>
      <c r="E7933" t="str">
        <f>"3451100534050"</f>
        <v>0</v>
      </c>
      <c r="F7933" t="str">
        <f>"001480"</f>
        <v>0</v>
      </c>
      <c r="G7933" t="s">
        <v>21</v>
      </c>
    </row>
    <row r="7934" spans="1:7">
      <c r="A7934">
        <v>7933</v>
      </c>
      <c r="B7934" t="str">
        <f>"012353"</f>
        <v>0</v>
      </c>
      <c r="C7934" t="s">
        <v>2925</v>
      </c>
      <c r="D7934" t="s">
        <v>12373</v>
      </c>
      <c r="E7934" t="str">
        <f>"3459900297785"</f>
        <v>0</v>
      </c>
      <c r="F7934" t="str">
        <f>"001480"</f>
        <v>0</v>
      </c>
      <c r="G7934" t="s">
        <v>21</v>
      </c>
    </row>
    <row r="7935" spans="1:7">
      <c r="A7935">
        <v>7934</v>
      </c>
      <c r="B7935" t="str">
        <f>"013689"</f>
        <v>0</v>
      </c>
      <c r="C7935" t="s">
        <v>12374</v>
      </c>
      <c r="D7935" t="s">
        <v>12369</v>
      </c>
      <c r="E7935" t="str">
        <f>"3450101034998"</f>
        <v>0</v>
      </c>
      <c r="F7935" t="str">
        <f>"001480"</f>
        <v>0</v>
      </c>
      <c r="G7935" t="s">
        <v>21</v>
      </c>
    </row>
    <row r="7936" spans="1:7">
      <c r="A7936">
        <v>7935</v>
      </c>
      <c r="B7936" t="str">
        <f>"013981"</f>
        <v>0</v>
      </c>
      <c r="C7936" t="s">
        <v>3876</v>
      </c>
      <c r="D7936" t="s">
        <v>12375</v>
      </c>
      <c r="E7936" t="str">
        <f>"3309900605243"</f>
        <v>0</v>
      </c>
      <c r="F7936" t="str">
        <f>"001480"</f>
        <v>0</v>
      </c>
      <c r="G7936" t="s">
        <v>21</v>
      </c>
    </row>
    <row r="7937" spans="1:7">
      <c r="A7937">
        <v>7936</v>
      </c>
      <c r="B7937" t="str">
        <f>"014049"</f>
        <v>0</v>
      </c>
      <c r="C7937" t="s">
        <v>409</v>
      </c>
      <c r="D7937" t="s">
        <v>12376</v>
      </c>
      <c r="E7937" t="str">
        <f>"3450600658652"</f>
        <v>0</v>
      </c>
      <c r="F7937" t="str">
        <f>"001480"</f>
        <v>0</v>
      </c>
      <c r="G7937" t="s">
        <v>21</v>
      </c>
    </row>
    <row r="7938" spans="1:7">
      <c r="A7938">
        <v>7937</v>
      </c>
      <c r="B7938" t="str">
        <f>"014050"</f>
        <v>0</v>
      </c>
      <c r="C7938" t="s">
        <v>12377</v>
      </c>
      <c r="D7938" t="s">
        <v>12378</v>
      </c>
      <c r="E7938" t="str">
        <f>"3459900124899"</f>
        <v>0</v>
      </c>
      <c r="F7938" t="str">
        <f>"001480"</f>
        <v>0</v>
      </c>
      <c r="G7938" t="s">
        <v>21</v>
      </c>
    </row>
    <row r="7939" spans="1:7">
      <c r="A7939">
        <v>7938</v>
      </c>
      <c r="B7939" t="str">
        <f>"014229"</f>
        <v>0</v>
      </c>
      <c r="C7939" t="s">
        <v>694</v>
      </c>
      <c r="D7939" t="s">
        <v>7458</v>
      </c>
      <c r="E7939" t="str">
        <f>"3350600512861"</f>
        <v>0</v>
      </c>
      <c r="F7939" t="str">
        <f>"001480"</f>
        <v>0</v>
      </c>
      <c r="G7939" t="s">
        <v>21</v>
      </c>
    </row>
    <row r="7940" spans="1:7">
      <c r="A7940">
        <v>7939</v>
      </c>
      <c r="B7940" t="str">
        <f>"014398"</f>
        <v>0</v>
      </c>
      <c r="C7940" t="s">
        <v>12379</v>
      </c>
      <c r="D7940" t="s">
        <v>12380</v>
      </c>
      <c r="E7940" t="str">
        <f>"3180600140516"</f>
        <v>0</v>
      </c>
      <c r="F7940" t="str">
        <f>"001480"</f>
        <v>0</v>
      </c>
      <c r="G7940" t="s">
        <v>21</v>
      </c>
    </row>
    <row r="7941" spans="1:7">
      <c r="A7941">
        <v>7940</v>
      </c>
      <c r="B7941" t="str">
        <f>"014891"</f>
        <v>0</v>
      </c>
      <c r="C7941" t="s">
        <v>425</v>
      </c>
      <c r="D7941" t="s">
        <v>12381</v>
      </c>
      <c r="E7941" t="str">
        <f>"3300101850524"</f>
        <v>0</v>
      </c>
      <c r="F7941" t="str">
        <f>"001480"</f>
        <v>0</v>
      </c>
      <c r="G7941" t="s">
        <v>21</v>
      </c>
    </row>
    <row r="7942" spans="1:7">
      <c r="A7942">
        <v>7941</v>
      </c>
      <c r="B7942" t="str">
        <f>"014965"</f>
        <v>0</v>
      </c>
      <c r="C7942" t="s">
        <v>12382</v>
      </c>
      <c r="D7942" t="s">
        <v>12383</v>
      </c>
      <c r="E7942" t="str">
        <f>"3450500874914"</f>
        <v>0</v>
      </c>
      <c r="F7942" t="str">
        <f>"001480"</f>
        <v>0</v>
      </c>
      <c r="G7942" t="s">
        <v>21</v>
      </c>
    </row>
    <row r="7943" spans="1:7">
      <c r="A7943">
        <v>7942</v>
      </c>
      <c r="B7943" t="str">
        <f>"015956"</f>
        <v>0</v>
      </c>
      <c r="C7943" t="s">
        <v>6789</v>
      </c>
      <c r="D7943" t="s">
        <v>12384</v>
      </c>
      <c r="E7943" t="str">
        <f>"3309901021547"</f>
        <v>0</v>
      </c>
      <c r="F7943" t="str">
        <f>"001480"</f>
        <v>0</v>
      </c>
      <c r="G7943" t="s">
        <v>21</v>
      </c>
    </row>
    <row r="7944" spans="1:7">
      <c r="A7944">
        <v>7943</v>
      </c>
      <c r="B7944" t="str">
        <f>"016064"</f>
        <v>0</v>
      </c>
      <c r="C7944" t="s">
        <v>5307</v>
      </c>
      <c r="D7944" t="s">
        <v>12385</v>
      </c>
      <c r="E7944" t="str">
        <f>"3451400579598"</f>
        <v>0</v>
      </c>
      <c r="F7944" t="str">
        <f>"001480"</f>
        <v>0</v>
      </c>
      <c r="G7944" t="s">
        <v>21</v>
      </c>
    </row>
    <row r="7945" spans="1:7">
      <c r="A7945">
        <v>7944</v>
      </c>
      <c r="B7945" t="str">
        <f>"016210"</f>
        <v>0</v>
      </c>
      <c r="C7945" t="s">
        <v>1738</v>
      </c>
      <c r="D7945" t="s">
        <v>12386</v>
      </c>
      <c r="E7945" t="str">
        <f>"3450300200103"</f>
        <v>0</v>
      </c>
      <c r="F7945" t="str">
        <f>"001480"</f>
        <v>0</v>
      </c>
      <c r="G7945" t="s">
        <v>21</v>
      </c>
    </row>
    <row r="7946" spans="1:7">
      <c r="A7946">
        <v>7945</v>
      </c>
      <c r="B7946" t="str">
        <f>"016393"</f>
        <v>0</v>
      </c>
      <c r="C7946" t="s">
        <v>12387</v>
      </c>
      <c r="D7946" t="s">
        <v>12388</v>
      </c>
      <c r="E7946" t="str">
        <f>"3451000868819"</f>
        <v>0</v>
      </c>
      <c r="F7946" t="str">
        <f>"001480"</f>
        <v>0</v>
      </c>
      <c r="G7946" t="s">
        <v>21</v>
      </c>
    </row>
    <row r="7947" spans="1:7">
      <c r="A7947">
        <v>7946</v>
      </c>
      <c r="B7947" t="str">
        <f>"016394"</f>
        <v>0</v>
      </c>
      <c r="C7947" t="s">
        <v>130</v>
      </c>
      <c r="D7947" t="s">
        <v>4821</v>
      </c>
      <c r="E7947" t="str">
        <f>"3450200823486"</f>
        <v>0</v>
      </c>
      <c r="F7947" t="str">
        <f>"001480"</f>
        <v>0</v>
      </c>
      <c r="G7947" t="s">
        <v>21</v>
      </c>
    </row>
    <row r="7948" spans="1:7">
      <c r="A7948">
        <v>7947</v>
      </c>
      <c r="B7948" t="str">
        <f>"016430"</f>
        <v>0</v>
      </c>
      <c r="C7948" t="s">
        <v>32</v>
      </c>
      <c r="D7948" t="s">
        <v>12389</v>
      </c>
      <c r="E7948" t="str">
        <f>"3440800781105"</f>
        <v>0</v>
      </c>
      <c r="F7948" t="str">
        <f>"001480"</f>
        <v>0</v>
      </c>
      <c r="G7948" t="s">
        <v>21</v>
      </c>
    </row>
    <row r="7949" spans="1:7">
      <c r="A7949">
        <v>7948</v>
      </c>
      <c r="B7949" t="str">
        <f>"016476"</f>
        <v>0</v>
      </c>
      <c r="C7949" t="s">
        <v>3799</v>
      </c>
      <c r="D7949" t="s">
        <v>12390</v>
      </c>
      <c r="E7949" t="str">
        <f>"3450600757570"</f>
        <v>0</v>
      </c>
      <c r="F7949" t="str">
        <f>"001480"</f>
        <v>0</v>
      </c>
      <c r="G7949" t="s">
        <v>21</v>
      </c>
    </row>
    <row r="7950" spans="1:7">
      <c r="A7950">
        <v>7949</v>
      </c>
      <c r="B7950" t="str">
        <f>"016561"</f>
        <v>0</v>
      </c>
      <c r="C7950" t="s">
        <v>2094</v>
      </c>
      <c r="D7950" t="s">
        <v>12391</v>
      </c>
      <c r="E7950" t="str">
        <f>"3440200070623"</f>
        <v>0</v>
      </c>
      <c r="F7950" t="str">
        <f>"001480"</f>
        <v>0</v>
      </c>
      <c r="G7950" t="s">
        <v>21</v>
      </c>
    </row>
    <row r="7951" spans="1:7">
      <c r="A7951">
        <v>7950</v>
      </c>
      <c r="B7951" t="str">
        <f>"016562"</f>
        <v>0</v>
      </c>
      <c r="C7951" t="s">
        <v>5942</v>
      </c>
      <c r="D7951" t="s">
        <v>12392</v>
      </c>
      <c r="E7951" t="str">
        <f>"3450100406352"</f>
        <v>0</v>
      </c>
      <c r="F7951" t="str">
        <f>"001480"</f>
        <v>0</v>
      </c>
      <c r="G7951" t="s">
        <v>21</v>
      </c>
    </row>
    <row r="7952" spans="1:7">
      <c r="A7952">
        <v>7951</v>
      </c>
      <c r="B7952" t="str">
        <f>"016702"</f>
        <v>0</v>
      </c>
      <c r="C7952" t="s">
        <v>12393</v>
      </c>
      <c r="D7952" t="s">
        <v>12394</v>
      </c>
      <c r="E7952" t="str">
        <f>"5361000001464"</f>
        <v>0</v>
      </c>
      <c r="F7952" t="str">
        <f>"001480"</f>
        <v>0</v>
      </c>
      <c r="G7952" t="s">
        <v>21</v>
      </c>
    </row>
    <row r="7953" spans="1:7">
      <c r="A7953">
        <v>7952</v>
      </c>
      <c r="B7953" t="str">
        <f>"016704"</f>
        <v>0</v>
      </c>
      <c r="C7953" t="s">
        <v>798</v>
      </c>
      <c r="D7953" t="s">
        <v>12395</v>
      </c>
      <c r="E7953" t="str">
        <f>"3450200808860"</f>
        <v>0</v>
      </c>
      <c r="F7953" t="str">
        <f>"001480"</f>
        <v>0</v>
      </c>
      <c r="G7953" t="s">
        <v>21</v>
      </c>
    </row>
    <row r="7954" spans="1:7">
      <c r="A7954">
        <v>7953</v>
      </c>
      <c r="B7954" t="str">
        <f>"017050"</f>
        <v>0</v>
      </c>
      <c r="C7954" t="s">
        <v>12396</v>
      </c>
      <c r="D7954" t="s">
        <v>12397</v>
      </c>
      <c r="E7954" t="str">
        <f>"3459900097581"</f>
        <v>0</v>
      </c>
      <c r="F7954" t="str">
        <f>"001480"</f>
        <v>0</v>
      </c>
      <c r="G7954" t="s">
        <v>21</v>
      </c>
    </row>
    <row r="7955" spans="1:7">
      <c r="A7955">
        <v>7954</v>
      </c>
      <c r="B7955" t="str">
        <f>"017058"</f>
        <v>0</v>
      </c>
      <c r="C7955" t="s">
        <v>12398</v>
      </c>
      <c r="D7955" t="s">
        <v>12399</v>
      </c>
      <c r="E7955" t="str">
        <f>"3451100688936"</f>
        <v>0</v>
      </c>
      <c r="F7955" t="str">
        <f>"001480"</f>
        <v>0</v>
      </c>
      <c r="G7955" t="s">
        <v>21</v>
      </c>
    </row>
    <row r="7956" spans="1:7">
      <c r="A7956">
        <v>7955</v>
      </c>
      <c r="B7956" t="str">
        <f>"017162"</f>
        <v>0</v>
      </c>
      <c r="C7956" t="s">
        <v>12400</v>
      </c>
      <c r="D7956" t="s">
        <v>12401</v>
      </c>
      <c r="E7956" t="str">
        <f>"3451100664492"</f>
        <v>0</v>
      </c>
      <c r="F7956" t="str">
        <f>"001480"</f>
        <v>0</v>
      </c>
      <c r="G7956" t="s">
        <v>21</v>
      </c>
    </row>
    <row r="7957" spans="1:7">
      <c r="A7957">
        <v>7956</v>
      </c>
      <c r="B7957" t="str">
        <f>"017232"</f>
        <v>0</v>
      </c>
      <c r="C7957" t="s">
        <v>160</v>
      </c>
      <c r="D7957" t="s">
        <v>12402</v>
      </c>
      <c r="E7957" t="str">
        <f>"3450500375799"</f>
        <v>0</v>
      </c>
      <c r="F7957" t="str">
        <f>"001480"</f>
        <v>0</v>
      </c>
      <c r="G7957" t="s">
        <v>21</v>
      </c>
    </row>
    <row r="7958" spans="1:7">
      <c r="A7958">
        <v>7957</v>
      </c>
      <c r="B7958" t="str">
        <f>"017478"</f>
        <v>0</v>
      </c>
      <c r="C7958" t="s">
        <v>12403</v>
      </c>
      <c r="D7958" t="s">
        <v>12404</v>
      </c>
      <c r="E7958" t="str">
        <f>"3660500318211"</f>
        <v>0</v>
      </c>
      <c r="F7958" t="str">
        <f>"001480"</f>
        <v>0</v>
      </c>
      <c r="G7958" t="s">
        <v>21</v>
      </c>
    </row>
    <row r="7959" spans="1:7">
      <c r="A7959">
        <v>7958</v>
      </c>
      <c r="B7959" t="str">
        <f>"017814"</f>
        <v>0</v>
      </c>
      <c r="C7959" t="s">
        <v>2417</v>
      </c>
      <c r="D7959" t="s">
        <v>12405</v>
      </c>
      <c r="E7959" t="str">
        <f>"3450500329517"</f>
        <v>0</v>
      </c>
      <c r="F7959" t="str">
        <f>"001480"</f>
        <v>0</v>
      </c>
      <c r="G7959" t="s">
        <v>21</v>
      </c>
    </row>
    <row r="7960" spans="1:7">
      <c r="A7960">
        <v>7959</v>
      </c>
      <c r="B7960" t="str">
        <f>"018018"</f>
        <v>0</v>
      </c>
      <c r="C7960" t="s">
        <v>144</v>
      </c>
      <c r="D7960" t="s">
        <v>12406</v>
      </c>
      <c r="E7960" t="str">
        <f>"3349900904585"</f>
        <v>0</v>
      </c>
      <c r="F7960" t="str">
        <f>"001480"</f>
        <v>0</v>
      </c>
      <c r="G7960" t="s">
        <v>21</v>
      </c>
    </row>
    <row r="7961" spans="1:7">
      <c r="A7961">
        <v>7960</v>
      </c>
      <c r="B7961" t="str">
        <f>"018103"</f>
        <v>0</v>
      </c>
      <c r="C7961" t="s">
        <v>4971</v>
      </c>
      <c r="D7961" t="s">
        <v>12407</v>
      </c>
      <c r="E7961" t="str">
        <f>"3450400584442"</f>
        <v>0</v>
      </c>
      <c r="F7961" t="str">
        <f>"001480"</f>
        <v>0</v>
      </c>
      <c r="G7961" t="s">
        <v>21</v>
      </c>
    </row>
    <row r="7962" spans="1:7">
      <c r="A7962">
        <v>7961</v>
      </c>
      <c r="B7962" t="str">
        <f>"018126"</f>
        <v>0</v>
      </c>
      <c r="C7962" t="s">
        <v>1777</v>
      </c>
      <c r="D7962" t="s">
        <v>12408</v>
      </c>
      <c r="E7962" t="str">
        <f>"3450200009924"</f>
        <v>0</v>
      </c>
      <c r="F7962" t="str">
        <f>"001480"</f>
        <v>0</v>
      </c>
      <c r="G7962" t="s">
        <v>21</v>
      </c>
    </row>
    <row r="7963" spans="1:7">
      <c r="A7963">
        <v>7962</v>
      </c>
      <c r="B7963" t="str">
        <f>"018288"</f>
        <v>0</v>
      </c>
      <c r="C7963" t="s">
        <v>8937</v>
      </c>
      <c r="D7963" t="s">
        <v>12409</v>
      </c>
      <c r="E7963" t="str">
        <f>"3440300129999"</f>
        <v>0</v>
      </c>
      <c r="F7963" t="str">
        <f>"001480"</f>
        <v>0</v>
      </c>
      <c r="G7963" t="s">
        <v>21</v>
      </c>
    </row>
    <row r="7964" spans="1:7">
      <c r="A7964">
        <v>7963</v>
      </c>
      <c r="B7964" t="str">
        <f>"018323"</f>
        <v>0</v>
      </c>
      <c r="C7964" t="s">
        <v>5377</v>
      </c>
      <c r="D7964" t="s">
        <v>12410</v>
      </c>
      <c r="E7964" t="str">
        <f>"3100901530992"</f>
        <v>0</v>
      </c>
      <c r="F7964" t="str">
        <f>"001480"</f>
        <v>0</v>
      </c>
      <c r="G7964" t="s">
        <v>21</v>
      </c>
    </row>
    <row r="7965" spans="1:7">
      <c r="A7965">
        <v>7964</v>
      </c>
      <c r="B7965" t="str">
        <f>"018611"</f>
        <v>0</v>
      </c>
      <c r="C7965" t="s">
        <v>12411</v>
      </c>
      <c r="D7965" t="s">
        <v>12412</v>
      </c>
      <c r="E7965" t="str">
        <f>"3450500339571"</f>
        <v>0</v>
      </c>
      <c r="F7965" t="str">
        <f>"001480"</f>
        <v>0</v>
      </c>
      <c r="G7965" t="s">
        <v>21</v>
      </c>
    </row>
    <row r="7966" spans="1:7">
      <c r="A7966">
        <v>7965</v>
      </c>
      <c r="B7966" t="str">
        <f>"018707"</f>
        <v>0</v>
      </c>
      <c r="C7966" t="s">
        <v>237</v>
      </c>
      <c r="D7966" t="s">
        <v>12407</v>
      </c>
      <c r="E7966" t="str">
        <f>"5450790019865"</f>
        <v>0</v>
      </c>
      <c r="F7966" t="str">
        <f>"001480"</f>
        <v>0</v>
      </c>
      <c r="G7966" t="s">
        <v>21</v>
      </c>
    </row>
    <row r="7967" spans="1:7">
      <c r="A7967">
        <v>7966</v>
      </c>
      <c r="B7967" t="str">
        <f>"018969"</f>
        <v>0</v>
      </c>
      <c r="C7967" t="s">
        <v>62</v>
      </c>
      <c r="D7967" t="s">
        <v>12413</v>
      </c>
      <c r="E7967" t="str">
        <f>"3450500324132"</f>
        <v>0</v>
      </c>
      <c r="F7967" t="str">
        <f>"001480"</f>
        <v>0</v>
      </c>
      <c r="G7967" t="s">
        <v>21</v>
      </c>
    </row>
    <row r="7968" spans="1:7">
      <c r="A7968">
        <v>7967</v>
      </c>
      <c r="B7968" t="str">
        <f>"019009"</f>
        <v>0</v>
      </c>
      <c r="C7968" t="s">
        <v>12414</v>
      </c>
      <c r="D7968" t="s">
        <v>12415</v>
      </c>
      <c r="E7968" t="str">
        <f>"3451100003071"</f>
        <v>0</v>
      </c>
      <c r="F7968" t="str">
        <f>"001480"</f>
        <v>0</v>
      </c>
      <c r="G7968" t="s">
        <v>21</v>
      </c>
    </row>
    <row r="7969" spans="1:7">
      <c r="A7969">
        <v>7968</v>
      </c>
      <c r="B7969" t="str">
        <f>"019188"</f>
        <v>0</v>
      </c>
      <c r="C7969" t="s">
        <v>12416</v>
      </c>
      <c r="D7969" t="s">
        <v>11423</v>
      </c>
      <c r="E7969" t="str">
        <f>"3489900058179"</f>
        <v>0</v>
      </c>
      <c r="F7969" t="str">
        <f>"001480"</f>
        <v>0</v>
      </c>
      <c r="G7969" t="s">
        <v>21</v>
      </c>
    </row>
    <row r="7970" spans="1:7">
      <c r="A7970">
        <v>7969</v>
      </c>
      <c r="B7970" t="str">
        <f>"019352"</f>
        <v>0</v>
      </c>
      <c r="C7970" t="s">
        <v>12417</v>
      </c>
      <c r="D7970" t="s">
        <v>12418</v>
      </c>
      <c r="E7970" t="str">
        <f>"3480100122427"</f>
        <v>0</v>
      </c>
      <c r="F7970" t="str">
        <f>"001480"</f>
        <v>0</v>
      </c>
      <c r="G7970" t="s">
        <v>21</v>
      </c>
    </row>
    <row r="7971" spans="1:7">
      <c r="A7971">
        <v>7970</v>
      </c>
      <c r="B7971" t="str">
        <f>"019490"</f>
        <v>0</v>
      </c>
      <c r="C7971" t="s">
        <v>46</v>
      </c>
      <c r="D7971" t="s">
        <v>12419</v>
      </c>
      <c r="E7971" t="str">
        <f>"3450900295156"</f>
        <v>0</v>
      </c>
      <c r="F7971" t="str">
        <f>"001480"</f>
        <v>0</v>
      </c>
      <c r="G7971" t="s">
        <v>21</v>
      </c>
    </row>
    <row r="7972" spans="1:7">
      <c r="A7972">
        <v>7971</v>
      </c>
      <c r="B7972" t="str">
        <f>"019578"</f>
        <v>0</v>
      </c>
      <c r="C7972" t="s">
        <v>470</v>
      </c>
      <c r="D7972" t="s">
        <v>12420</v>
      </c>
      <c r="E7972" t="str">
        <f>"3460300047135"</f>
        <v>0</v>
      </c>
      <c r="F7972" t="str">
        <f>"001480"</f>
        <v>0</v>
      </c>
      <c r="G7972" t="s">
        <v>21</v>
      </c>
    </row>
    <row r="7973" spans="1:7">
      <c r="A7973">
        <v>7972</v>
      </c>
      <c r="B7973" t="str">
        <f>"019580"</f>
        <v>0</v>
      </c>
      <c r="C7973" t="s">
        <v>12421</v>
      </c>
      <c r="D7973" t="s">
        <v>12422</v>
      </c>
      <c r="E7973" t="str">
        <f>"3451100842692"</f>
        <v>0</v>
      </c>
      <c r="F7973" t="str">
        <f>"001480"</f>
        <v>0</v>
      </c>
      <c r="G7973" t="s">
        <v>21</v>
      </c>
    </row>
    <row r="7974" spans="1:7">
      <c r="A7974">
        <v>7973</v>
      </c>
      <c r="B7974" t="str">
        <f>"019684"</f>
        <v>0</v>
      </c>
      <c r="C7974" t="s">
        <v>12423</v>
      </c>
      <c r="D7974" t="s">
        <v>12424</v>
      </c>
      <c r="E7974" t="str">
        <f>"3670600097934"</f>
        <v>0</v>
      </c>
      <c r="F7974" t="str">
        <f>"001480"</f>
        <v>0</v>
      </c>
      <c r="G7974" t="s">
        <v>21</v>
      </c>
    </row>
    <row r="7975" spans="1:7">
      <c r="A7975">
        <v>7974</v>
      </c>
      <c r="B7975" t="str">
        <f>"019698"</f>
        <v>0</v>
      </c>
      <c r="C7975" t="s">
        <v>264</v>
      </c>
      <c r="D7975" t="s">
        <v>12425</v>
      </c>
      <c r="E7975" t="str">
        <f>"3451500091384"</f>
        <v>0</v>
      </c>
      <c r="F7975" t="str">
        <f>"001480"</f>
        <v>0</v>
      </c>
      <c r="G7975" t="s">
        <v>21</v>
      </c>
    </row>
    <row r="7976" spans="1:7">
      <c r="A7976">
        <v>7975</v>
      </c>
      <c r="B7976" t="str">
        <f>"019776"</f>
        <v>0</v>
      </c>
      <c r="C7976" t="s">
        <v>3522</v>
      </c>
      <c r="D7976" t="s">
        <v>12426</v>
      </c>
      <c r="E7976" t="str">
        <f>"3450101628839"</f>
        <v>0</v>
      </c>
      <c r="F7976" t="str">
        <f>"001480"</f>
        <v>0</v>
      </c>
      <c r="G7976" t="s">
        <v>21</v>
      </c>
    </row>
    <row r="7977" spans="1:7">
      <c r="A7977">
        <v>7976</v>
      </c>
      <c r="B7977" t="str">
        <f>"019959"</f>
        <v>0</v>
      </c>
      <c r="C7977" t="s">
        <v>336</v>
      </c>
      <c r="D7977" t="s">
        <v>11410</v>
      </c>
      <c r="E7977" t="str">
        <f>"3309900046406"</f>
        <v>0</v>
      </c>
      <c r="F7977" t="str">
        <f>"001480"</f>
        <v>0</v>
      </c>
      <c r="G7977" t="s">
        <v>21</v>
      </c>
    </row>
    <row r="7978" spans="1:7">
      <c r="A7978">
        <v>7977</v>
      </c>
      <c r="B7978" t="str">
        <f>"020033"</f>
        <v>0</v>
      </c>
      <c r="C7978" t="s">
        <v>12427</v>
      </c>
      <c r="D7978" t="s">
        <v>12428</v>
      </c>
      <c r="E7978" t="str">
        <f>"3210100301803"</f>
        <v>0</v>
      </c>
      <c r="F7978" t="str">
        <f>"001480"</f>
        <v>0</v>
      </c>
      <c r="G7978" t="s">
        <v>21</v>
      </c>
    </row>
    <row r="7979" spans="1:7">
      <c r="A7979">
        <v>7978</v>
      </c>
      <c r="B7979" t="str">
        <f>"020172"</f>
        <v>0</v>
      </c>
      <c r="C7979" t="s">
        <v>7554</v>
      </c>
      <c r="D7979" t="s">
        <v>12429</v>
      </c>
      <c r="E7979" t="str">
        <f>"3450101213078"</f>
        <v>0</v>
      </c>
      <c r="F7979" t="str">
        <f>"001480"</f>
        <v>0</v>
      </c>
      <c r="G7979" t="s">
        <v>21</v>
      </c>
    </row>
    <row r="7980" spans="1:7">
      <c r="A7980">
        <v>7979</v>
      </c>
      <c r="B7980" t="str">
        <f>"020293"</f>
        <v>0</v>
      </c>
      <c r="C7980" t="s">
        <v>12430</v>
      </c>
      <c r="D7980" t="s">
        <v>12431</v>
      </c>
      <c r="E7980" t="str">
        <f>"3450800059124"</f>
        <v>0</v>
      </c>
      <c r="F7980" t="str">
        <f>"001480"</f>
        <v>0</v>
      </c>
      <c r="G7980" t="s">
        <v>21</v>
      </c>
    </row>
    <row r="7981" spans="1:7">
      <c r="A7981">
        <v>7980</v>
      </c>
      <c r="B7981" t="str">
        <f>"020324"</f>
        <v>0</v>
      </c>
      <c r="C7981" t="s">
        <v>12432</v>
      </c>
      <c r="D7981" t="s">
        <v>12433</v>
      </c>
      <c r="E7981" t="str">
        <f>"3451000548288"</f>
        <v>0</v>
      </c>
      <c r="F7981" t="str">
        <f>"001480"</f>
        <v>0</v>
      </c>
      <c r="G7981" t="s">
        <v>21</v>
      </c>
    </row>
    <row r="7982" spans="1:7">
      <c r="A7982">
        <v>7981</v>
      </c>
      <c r="B7982" t="str">
        <f>"020494"</f>
        <v>0</v>
      </c>
      <c r="C7982" t="s">
        <v>2907</v>
      </c>
      <c r="D7982" t="s">
        <v>12434</v>
      </c>
      <c r="E7982" t="str">
        <f>"3450300054450"</f>
        <v>0</v>
      </c>
      <c r="F7982" t="str">
        <f>"001480"</f>
        <v>0</v>
      </c>
      <c r="G7982" t="s">
        <v>21</v>
      </c>
    </row>
    <row r="7983" spans="1:7">
      <c r="A7983">
        <v>7982</v>
      </c>
      <c r="B7983" t="str">
        <f>"020530"</f>
        <v>0</v>
      </c>
      <c r="C7983" t="s">
        <v>12435</v>
      </c>
      <c r="D7983" t="s">
        <v>12436</v>
      </c>
      <c r="E7983" t="str">
        <f>"3451100738267"</f>
        <v>0</v>
      </c>
      <c r="F7983" t="str">
        <f>"001480"</f>
        <v>0</v>
      </c>
      <c r="G7983" t="s">
        <v>21</v>
      </c>
    </row>
    <row r="7984" spans="1:7">
      <c r="A7984">
        <v>7983</v>
      </c>
      <c r="B7984" t="str">
        <f>"020625"</f>
        <v>0</v>
      </c>
      <c r="C7984" t="s">
        <v>12437</v>
      </c>
      <c r="D7984" t="s">
        <v>12438</v>
      </c>
      <c r="E7984" t="str">
        <f>"3300100504592"</f>
        <v>0</v>
      </c>
      <c r="F7984" t="str">
        <f>"001480"</f>
        <v>0</v>
      </c>
      <c r="G7984" t="s">
        <v>21</v>
      </c>
    </row>
    <row r="7985" spans="1:7">
      <c r="A7985">
        <v>7984</v>
      </c>
      <c r="B7985" t="str">
        <f>"020647"</f>
        <v>0</v>
      </c>
      <c r="C7985" t="s">
        <v>46</v>
      </c>
      <c r="D7985" t="s">
        <v>12439</v>
      </c>
      <c r="E7985" t="str">
        <f>"3451000737579"</f>
        <v>0</v>
      </c>
      <c r="F7985" t="str">
        <f>"001480"</f>
        <v>0</v>
      </c>
      <c r="G7985" t="s">
        <v>21</v>
      </c>
    </row>
    <row r="7986" spans="1:7">
      <c r="A7986">
        <v>7985</v>
      </c>
      <c r="B7986" t="str">
        <f>"020789"</f>
        <v>0</v>
      </c>
      <c r="C7986" t="s">
        <v>4401</v>
      </c>
      <c r="D7986" t="s">
        <v>12440</v>
      </c>
      <c r="E7986" t="str">
        <f>"3480800040768"</f>
        <v>0</v>
      </c>
      <c r="F7986" t="str">
        <f>"001480"</f>
        <v>0</v>
      </c>
      <c r="G7986" t="s">
        <v>21</v>
      </c>
    </row>
    <row r="7987" spans="1:7">
      <c r="A7987">
        <v>7986</v>
      </c>
      <c r="B7987" t="str">
        <f>"020976"</f>
        <v>0</v>
      </c>
      <c r="C7987" t="s">
        <v>10563</v>
      </c>
      <c r="D7987" t="s">
        <v>12441</v>
      </c>
      <c r="E7987" t="str">
        <f>"3450800315457"</f>
        <v>0</v>
      </c>
      <c r="F7987" t="str">
        <f>"001480"</f>
        <v>0</v>
      </c>
      <c r="G7987" t="s">
        <v>21</v>
      </c>
    </row>
    <row r="7988" spans="1:7">
      <c r="A7988">
        <v>7987</v>
      </c>
      <c r="B7988" t="str">
        <f>"020982"</f>
        <v>0</v>
      </c>
      <c r="C7988" t="s">
        <v>12442</v>
      </c>
      <c r="D7988" t="s">
        <v>12443</v>
      </c>
      <c r="E7988" t="str">
        <f>"3451500090558"</f>
        <v>0</v>
      </c>
      <c r="F7988" t="str">
        <f>"001480"</f>
        <v>0</v>
      </c>
      <c r="G7988" t="s">
        <v>21</v>
      </c>
    </row>
    <row r="7989" spans="1:7">
      <c r="A7989">
        <v>7988</v>
      </c>
      <c r="B7989" t="str">
        <f>"021021"</f>
        <v>0</v>
      </c>
      <c r="C7989" t="s">
        <v>2234</v>
      </c>
      <c r="D7989" t="s">
        <v>2238</v>
      </c>
      <c r="E7989" t="str">
        <f>"3459900270763"</f>
        <v>0</v>
      </c>
      <c r="F7989" t="str">
        <f>"001480"</f>
        <v>0</v>
      </c>
      <c r="G7989" t="s">
        <v>21</v>
      </c>
    </row>
    <row r="7990" spans="1:7">
      <c r="A7990">
        <v>7989</v>
      </c>
      <c r="B7990" t="str">
        <f>"021050"</f>
        <v>0</v>
      </c>
      <c r="C7990" t="s">
        <v>3256</v>
      </c>
      <c r="D7990" t="s">
        <v>12444</v>
      </c>
      <c r="E7990" t="str">
        <f>"3440400669260"</f>
        <v>0</v>
      </c>
      <c r="F7990" t="str">
        <f>"001480"</f>
        <v>0</v>
      </c>
      <c r="G7990" t="s">
        <v>21</v>
      </c>
    </row>
    <row r="7991" spans="1:7">
      <c r="A7991">
        <v>7990</v>
      </c>
      <c r="B7991" t="str">
        <f>"021129"</f>
        <v>0</v>
      </c>
      <c r="C7991" t="s">
        <v>2387</v>
      </c>
      <c r="D7991" t="s">
        <v>12380</v>
      </c>
      <c r="E7991" t="str">
        <f>"3459900296525"</f>
        <v>0</v>
      </c>
      <c r="F7991" t="str">
        <f>"001480"</f>
        <v>0</v>
      </c>
      <c r="G7991" t="s">
        <v>21</v>
      </c>
    </row>
    <row r="7992" spans="1:7">
      <c r="A7992">
        <v>7991</v>
      </c>
      <c r="B7992" t="str">
        <f>"021190"</f>
        <v>0</v>
      </c>
      <c r="C7992" t="s">
        <v>12445</v>
      </c>
      <c r="D7992" t="s">
        <v>12446</v>
      </c>
      <c r="E7992" t="str">
        <f>"3451500115879"</f>
        <v>0</v>
      </c>
      <c r="F7992" t="str">
        <f>"001480"</f>
        <v>0</v>
      </c>
      <c r="G7992" t="s">
        <v>21</v>
      </c>
    </row>
    <row r="7993" spans="1:7">
      <c r="A7993">
        <v>7992</v>
      </c>
      <c r="B7993" t="str">
        <f>"021287"</f>
        <v>0</v>
      </c>
      <c r="C7993" t="s">
        <v>12447</v>
      </c>
      <c r="D7993" t="s">
        <v>12448</v>
      </c>
      <c r="E7993" t="str">
        <f>"3720900356896"</f>
        <v>0</v>
      </c>
      <c r="F7993" t="str">
        <f>"001480"</f>
        <v>0</v>
      </c>
      <c r="G7993" t="s">
        <v>21</v>
      </c>
    </row>
    <row r="7994" spans="1:7">
      <c r="A7994">
        <v>7993</v>
      </c>
      <c r="B7994" t="str">
        <f>"021415"</f>
        <v>0</v>
      </c>
      <c r="C7994" t="s">
        <v>12449</v>
      </c>
      <c r="D7994" t="s">
        <v>12450</v>
      </c>
      <c r="E7994" t="str">
        <f>"3450500968714"</f>
        <v>0</v>
      </c>
      <c r="F7994" t="str">
        <f>"001480"</f>
        <v>0</v>
      </c>
      <c r="G7994" t="s">
        <v>21</v>
      </c>
    </row>
    <row r="7995" spans="1:7">
      <c r="A7995">
        <v>7994</v>
      </c>
      <c r="B7995" t="str">
        <f>"021441"</f>
        <v>0</v>
      </c>
      <c r="C7995" t="s">
        <v>5732</v>
      </c>
      <c r="D7995" t="s">
        <v>12451</v>
      </c>
      <c r="E7995" t="str">
        <f>"3450300037261"</f>
        <v>0</v>
      </c>
      <c r="F7995" t="str">
        <f>"001480"</f>
        <v>0</v>
      </c>
      <c r="G7995" t="s">
        <v>21</v>
      </c>
    </row>
    <row r="7996" spans="1:7">
      <c r="A7996">
        <v>7995</v>
      </c>
      <c r="B7996" t="str">
        <f>"021522"</f>
        <v>0</v>
      </c>
      <c r="C7996" t="s">
        <v>12452</v>
      </c>
      <c r="D7996" t="s">
        <v>12453</v>
      </c>
      <c r="E7996" t="str">
        <f>"3450100559787"</f>
        <v>0</v>
      </c>
      <c r="F7996" t="str">
        <f>"001480"</f>
        <v>0</v>
      </c>
      <c r="G7996" t="s">
        <v>21</v>
      </c>
    </row>
    <row r="7997" spans="1:7">
      <c r="A7997">
        <v>7996</v>
      </c>
      <c r="B7997" t="str">
        <f>"021596"</f>
        <v>0</v>
      </c>
      <c r="C7997" t="s">
        <v>12454</v>
      </c>
      <c r="D7997" t="s">
        <v>12455</v>
      </c>
      <c r="E7997" t="str">
        <f>"3450100527401"</f>
        <v>0</v>
      </c>
      <c r="F7997" t="str">
        <f>"001480"</f>
        <v>0</v>
      </c>
      <c r="G7997" t="s">
        <v>21</v>
      </c>
    </row>
    <row r="7998" spans="1:7">
      <c r="A7998">
        <v>7997</v>
      </c>
      <c r="B7998" t="str">
        <f>"021832"</f>
        <v>0</v>
      </c>
      <c r="C7998" t="s">
        <v>1938</v>
      </c>
      <c r="D7998" t="s">
        <v>12456</v>
      </c>
      <c r="E7998" t="str">
        <f>"3450101560185"</f>
        <v>0</v>
      </c>
      <c r="F7998" t="str">
        <f>"001480"</f>
        <v>0</v>
      </c>
      <c r="G7998" t="s">
        <v>21</v>
      </c>
    </row>
    <row r="7999" spans="1:7">
      <c r="A7999">
        <v>7998</v>
      </c>
      <c r="B7999" t="str">
        <f>"021843"</f>
        <v>0</v>
      </c>
      <c r="C7999" t="s">
        <v>5247</v>
      </c>
      <c r="D7999" t="s">
        <v>12457</v>
      </c>
      <c r="E7999" t="str">
        <f>"5180600016072"</f>
        <v>0</v>
      </c>
      <c r="F7999" t="str">
        <f>"001480"</f>
        <v>0</v>
      </c>
      <c r="G7999" t="s">
        <v>21</v>
      </c>
    </row>
    <row r="8000" spans="1:7">
      <c r="A8000">
        <v>7999</v>
      </c>
      <c r="B8000" t="str">
        <f>"021847"</f>
        <v>0</v>
      </c>
      <c r="C8000" t="s">
        <v>12458</v>
      </c>
      <c r="D8000" t="s">
        <v>12459</v>
      </c>
      <c r="E8000" t="str">
        <f>"3451100463691"</f>
        <v>0</v>
      </c>
      <c r="F8000" t="str">
        <f>"001480"</f>
        <v>0</v>
      </c>
      <c r="G8000" t="s">
        <v>21</v>
      </c>
    </row>
    <row r="8001" spans="1:7">
      <c r="A8001">
        <v>8000</v>
      </c>
      <c r="B8001" t="str">
        <f>"021941"</f>
        <v>0</v>
      </c>
      <c r="C8001" t="s">
        <v>1285</v>
      </c>
      <c r="D8001" t="s">
        <v>12460</v>
      </c>
      <c r="E8001" t="str">
        <f>"3450600096280"</f>
        <v>0</v>
      </c>
      <c r="F8001" t="str">
        <f>"001480"</f>
        <v>0</v>
      </c>
      <c r="G8001" t="s">
        <v>21</v>
      </c>
    </row>
    <row r="8002" spans="1:7">
      <c r="A8002">
        <v>8001</v>
      </c>
      <c r="B8002" t="str">
        <f>"022058"</f>
        <v>0</v>
      </c>
      <c r="C8002" t="s">
        <v>12461</v>
      </c>
      <c r="D8002" t="s">
        <v>12462</v>
      </c>
      <c r="E8002" t="str">
        <f>"3100500736981"</f>
        <v>0</v>
      </c>
      <c r="F8002" t="str">
        <f>"001480"</f>
        <v>0</v>
      </c>
      <c r="G8002" t="s">
        <v>21</v>
      </c>
    </row>
    <row r="8003" spans="1:7">
      <c r="A8003">
        <v>8002</v>
      </c>
      <c r="B8003" t="str">
        <f>"022086"</f>
        <v>0</v>
      </c>
      <c r="C8003" t="s">
        <v>12463</v>
      </c>
      <c r="D8003" t="s">
        <v>12464</v>
      </c>
      <c r="E8003" t="str">
        <f>"1309900117188"</f>
        <v>0</v>
      </c>
      <c r="F8003" t="str">
        <f>"001480"</f>
        <v>0</v>
      </c>
      <c r="G8003" t="s">
        <v>21</v>
      </c>
    </row>
    <row r="8004" spans="1:7">
      <c r="A8004">
        <v>8003</v>
      </c>
      <c r="B8004" t="str">
        <f>"022189"</f>
        <v>0</v>
      </c>
      <c r="C8004" t="s">
        <v>12465</v>
      </c>
      <c r="D8004" t="s">
        <v>12466</v>
      </c>
      <c r="E8004" t="str">
        <f>"3342000145452"</f>
        <v>0</v>
      </c>
      <c r="F8004" t="str">
        <f>"001480"</f>
        <v>0</v>
      </c>
      <c r="G8004" t="s">
        <v>21</v>
      </c>
    </row>
    <row r="8005" spans="1:7">
      <c r="A8005">
        <v>8004</v>
      </c>
      <c r="B8005" t="str">
        <f>"022195"</f>
        <v>0</v>
      </c>
      <c r="C8005" t="s">
        <v>5757</v>
      </c>
      <c r="D8005" t="s">
        <v>12467</v>
      </c>
      <c r="E8005" t="str">
        <f>"3450500080250"</f>
        <v>0</v>
      </c>
      <c r="F8005" t="str">
        <f>"001480"</f>
        <v>0</v>
      </c>
      <c r="G8005" t="s">
        <v>21</v>
      </c>
    </row>
    <row r="8006" spans="1:7">
      <c r="A8006">
        <v>8005</v>
      </c>
      <c r="B8006" t="str">
        <f>"022196"</f>
        <v>0</v>
      </c>
      <c r="C8006" t="s">
        <v>8206</v>
      </c>
      <c r="D8006" t="s">
        <v>12468</v>
      </c>
      <c r="E8006" t="str">
        <f>"1450900013189"</f>
        <v>0</v>
      </c>
      <c r="F8006" t="str">
        <f>"001480"</f>
        <v>0</v>
      </c>
      <c r="G8006" t="s">
        <v>21</v>
      </c>
    </row>
    <row r="8007" spans="1:7">
      <c r="A8007">
        <v>8006</v>
      </c>
      <c r="B8007" t="str">
        <f>"022197"</f>
        <v>0</v>
      </c>
      <c r="C8007" t="s">
        <v>3881</v>
      </c>
      <c r="D8007" t="s">
        <v>12469</v>
      </c>
      <c r="E8007" t="str">
        <f>"3120200200350"</f>
        <v>0</v>
      </c>
      <c r="F8007" t="str">
        <f>"001480"</f>
        <v>0</v>
      </c>
      <c r="G8007" t="s">
        <v>21</v>
      </c>
    </row>
    <row r="8008" spans="1:7">
      <c r="A8008">
        <v>8007</v>
      </c>
      <c r="B8008" t="str">
        <f>"022198"</f>
        <v>0</v>
      </c>
      <c r="C8008" t="s">
        <v>12470</v>
      </c>
      <c r="D8008" t="s">
        <v>12471</v>
      </c>
      <c r="E8008" t="str">
        <f>"3440100665366"</f>
        <v>0</v>
      </c>
      <c r="F8008" t="str">
        <f>"001480"</f>
        <v>0</v>
      </c>
      <c r="G8008" t="s">
        <v>21</v>
      </c>
    </row>
    <row r="8009" spans="1:7">
      <c r="A8009">
        <v>8008</v>
      </c>
      <c r="B8009" t="str">
        <f>"022291"</f>
        <v>0</v>
      </c>
      <c r="C8009" t="s">
        <v>12472</v>
      </c>
      <c r="D8009" t="s">
        <v>12473</v>
      </c>
      <c r="E8009" t="str">
        <f>"5450200001091"</f>
        <v>0</v>
      </c>
      <c r="F8009" t="str">
        <f>"001480"</f>
        <v>0</v>
      </c>
      <c r="G8009" t="s">
        <v>21</v>
      </c>
    </row>
    <row r="8010" spans="1:7">
      <c r="A8010">
        <v>8009</v>
      </c>
      <c r="B8010" t="str">
        <f>"023011"</f>
        <v>0</v>
      </c>
      <c r="C8010" t="s">
        <v>50</v>
      </c>
      <c r="D8010" t="s">
        <v>12474</v>
      </c>
      <c r="E8010" t="str">
        <f>"1450900049426"</f>
        <v>0</v>
      </c>
      <c r="F8010" t="str">
        <f>"001480"</f>
        <v>0</v>
      </c>
      <c r="G8010" t="s">
        <v>21</v>
      </c>
    </row>
    <row r="8011" spans="1:7">
      <c r="A8011">
        <v>8010</v>
      </c>
      <c r="B8011" t="str">
        <f>"023071"</f>
        <v>0</v>
      </c>
      <c r="C8011" t="s">
        <v>12475</v>
      </c>
      <c r="D8011" t="s">
        <v>12476</v>
      </c>
      <c r="E8011" t="str">
        <f>"3451001035233"</f>
        <v>0</v>
      </c>
      <c r="F8011" t="str">
        <f>"001480"</f>
        <v>0</v>
      </c>
      <c r="G8011" t="s">
        <v>21</v>
      </c>
    </row>
    <row r="8012" spans="1:7">
      <c r="A8012">
        <v>8011</v>
      </c>
      <c r="B8012" t="str">
        <f>"023364"</f>
        <v>0</v>
      </c>
      <c r="C8012" t="s">
        <v>12477</v>
      </c>
      <c r="D8012" t="s">
        <v>12238</v>
      </c>
      <c r="E8012" t="str">
        <f>"3459900216653"</f>
        <v>0</v>
      </c>
      <c r="F8012" t="str">
        <f>"001480"</f>
        <v>0</v>
      </c>
      <c r="G8012" t="s">
        <v>21</v>
      </c>
    </row>
    <row r="8013" spans="1:7">
      <c r="A8013">
        <v>8012</v>
      </c>
      <c r="B8013" t="str">
        <f>"023434"</f>
        <v>0</v>
      </c>
      <c r="C8013" t="s">
        <v>12478</v>
      </c>
      <c r="D8013" t="s">
        <v>12479</v>
      </c>
      <c r="E8013" t="str">
        <f>"5450400050461"</f>
        <v>0</v>
      </c>
      <c r="F8013" t="str">
        <f>"001480"</f>
        <v>0</v>
      </c>
      <c r="G8013" t="s">
        <v>21</v>
      </c>
    </row>
    <row r="8014" spans="1:7">
      <c r="A8014">
        <v>8013</v>
      </c>
      <c r="B8014" t="str">
        <f>"023750"</f>
        <v>0</v>
      </c>
      <c r="C8014" t="s">
        <v>12480</v>
      </c>
      <c r="D8014" t="s">
        <v>12362</v>
      </c>
      <c r="E8014" t="str">
        <f>"1451000039727"</f>
        <v>0</v>
      </c>
      <c r="F8014" t="str">
        <f>"001480"</f>
        <v>0</v>
      </c>
      <c r="G8014" t="s">
        <v>21</v>
      </c>
    </row>
    <row r="8015" spans="1:7">
      <c r="A8015">
        <v>8014</v>
      </c>
      <c r="B8015" t="str">
        <f>"023783"</f>
        <v>0</v>
      </c>
      <c r="C8015" t="s">
        <v>12481</v>
      </c>
      <c r="D8015" t="s">
        <v>12482</v>
      </c>
      <c r="E8015" t="str">
        <f>"3451100218948"</f>
        <v>0</v>
      </c>
      <c r="F8015" t="str">
        <f>"001480"</f>
        <v>0</v>
      </c>
      <c r="G8015" t="s">
        <v>21</v>
      </c>
    </row>
    <row r="8016" spans="1:7">
      <c r="A8016">
        <v>8015</v>
      </c>
      <c r="B8016" t="str">
        <f>"023899"</f>
        <v>0</v>
      </c>
      <c r="C8016" t="s">
        <v>850</v>
      </c>
      <c r="D8016" t="s">
        <v>12483</v>
      </c>
      <c r="E8016" t="str">
        <f>"3451000096310"</f>
        <v>0</v>
      </c>
      <c r="F8016" t="str">
        <f>"001480"</f>
        <v>0</v>
      </c>
      <c r="G8016" t="s">
        <v>21</v>
      </c>
    </row>
    <row r="8017" spans="1:7">
      <c r="A8017">
        <v>8016</v>
      </c>
      <c r="B8017" t="str">
        <f>"024267"</f>
        <v>0</v>
      </c>
      <c r="C8017" t="s">
        <v>12484</v>
      </c>
      <c r="D8017" t="s">
        <v>12485</v>
      </c>
      <c r="E8017" t="str">
        <f>"3450400466296"</f>
        <v>0</v>
      </c>
      <c r="F8017" t="str">
        <f>"001480"</f>
        <v>0</v>
      </c>
      <c r="G8017" t="s">
        <v>21</v>
      </c>
    </row>
    <row r="8018" spans="1:7">
      <c r="A8018">
        <v>8017</v>
      </c>
      <c r="B8018" t="str">
        <f>"024385"</f>
        <v>0</v>
      </c>
      <c r="C8018" t="s">
        <v>11941</v>
      </c>
      <c r="D8018" t="s">
        <v>12486</v>
      </c>
      <c r="E8018" t="str">
        <f>"3450100901728"</f>
        <v>0</v>
      </c>
      <c r="F8018" t="str">
        <f>"001480"</f>
        <v>0</v>
      </c>
      <c r="G8018" t="s">
        <v>21</v>
      </c>
    </row>
    <row r="8019" spans="1:7">
      <c r="A8019">
        <v>8018</v>
      </c>
      <c r="B8019" t="str">
        <f>"024652"</f>
        <v>0</v>
      </c>
      <c r="C8019" t="s">
        <v>755</v>
      </c>
      <c r="D8019" t="s">
        <v>12487</v>
      </c>
      <c r="E8019" t="str">
        <f>"5440300021655"</f>
        <v>0</v>
      </c>
      <c r="F8019" t="str">
        <f>"001480"</f>
        <v>0</v>
      </c>
      <c r="G8019" t="s">
        <v>21</v>
      </c>
    </row>
    <row r="8020" spans="1:7">
      <c r="A8020">
        <v>8019</v>
      </c>
      <c r="B8020" t="str">
        <f>"024846"</f>
        <v>0</v>
      </c>
      <c r="C8020" t="s">
        <v>3629</v>
      </c>
      <c r="D8020" t="s">
        <v>12488</v>
      </c>
      <c r="E8020" t="str">
        <f>"3470600246516"</f>
        <v>0</v>
      </c>
      <c r="F8020" t="str">
        <f>"001480"</f>
        <v>0</v>
      </c>
      <c r="G8020" t="s">
        <v>21</v>
      </c>
    </row>
    <row r="8021" spans="1:7">
      <c r="A8021">
        <v>8020</v>
      </c>
      <c r="B8021" t="str">
        <f>"024847"</f>
        <v>0</v>
      </c>
      <c r="C8021" t="s">
        <v>8707</v>
      </c>
      <c r="D8021" t="s">
        <v>12489</v>
      </c>
      <c r="E8021" t="str">
        <f>"3450101442433"</f>
        <v>0</v>
      </c>
      <c r="F8021" t="str">
        <f>"001480"</f>
        <v>0</v>
      </c>
      <c r="G8021" t="s">
        <v>21</v>
      </c>
    </row>
    <row r="8022" spans="1:7">
      <c r="A8022">
        <v>8021</v>
      </c>
      <c r="B8022" t="str">
        <f>"025074"</f>
        <v>0</v>
      </c>
      <c r="C8022" t="s">
        <v>8043</v>
      </c>
      <c r="D8022" t="s">
        <v>12490</v>
      </c>
      <c r="E8022" t="str">
        <f>"3451400304807"</f>
        <v>0</v>
      </c>
      <c r="F8022" t="str">
        <f>"001480"</f>
        <v>0</v>
      </c>
      <c r="G8022" t="s">
        <v>21</v>
      </c>
    </row>
    <row r="8023" spans="1:7">
      <c r="A8023">
        <v>8022</v>
      </c>
      <c r="B8023" t="str">
        <f>"025138"</f>
        <v>0</v>
      </c>
      <c r="C8023" t="s">
        <v>12491</v>
      </c>
      <c r="D8023" t="s">
        <v>12492</v>
      </c>
      <c r="E8023" t="str">
        <f>"3450501046519"</f>
        <v>0</v>
      </c>
      <c r="F8023" t="str">
        <f>"001480"</f>
        <v>0</v>
      </c>
      <c r="G8023" t="s">
        <v>21</v>
      </c>
    </row>
    <row r="8024" spans="1:7">
      <c r="A8024">
        <v>8023</v>
      </c>
      <c r="B8024" t="str">
        <f>"025314"</f>
        <v>0</v>
      </c>
      <c r="C8024" t="s">
        <v>12493</v>
      </c>
      <c r="D8024" t="s">
        <v>12494</v>
      </c>
      <c r="E8024" t="str">
        <f>"1459900119457"</f>
        <v>0</v>
      </c>
      <c r="F8024" t="str">
        <f>"001480"</f>
        <v>0</v>
      </c>
      <c r="G8024" t="s">
        <v>21</v>
      </c>
    </row>
    <row r="8025" spans="1:7">
      <c r="A8025">
        <v>8024</v>
      </c>
      <c r="B8025" t="str">
        <f>"025508"</f>
        <v>0</v>
      </c>
      <c r="C8025" t="s">
        <v>12495</v>
      </c>
      <c r="D8025" t="s">
        <v>12496</v>
      </c>
      <c r="E8025" t="str">
        <f>"3450501032861"</f>
        <v>0</v>
      </c>
      <c r="F8025" t="str">
        <f>"001480"</f>
        <v>0</v>
      </c>
      <c r="G8025" t="s">
        <v>21</v>
      </c>
    </row>
    <row r="8026" spans="1:7">
      <c r="A8026">
        <v>8025</v>
      </c>
      <c r="B8026" t="str">
        <f>"025642"</f>
        <v>0</v>
      </c>
      <c r="C8026" t="s">
        <v>2678</v>
      </c>
      <c r="D8026" t="s">
        <v>12497</v>
      </c>
      <c r="E8026" t="str">
        <f>"1450500082850"</f>
        <v>0</v>
      </c>
      <c r="F8026" t="str">
        <f>"001480"</f>
        <v>0</v>
      </c>
      <c r="G8026" t="s">
        <v>21</v>
      </c>
    </row>
    <row r="8027" spans="1:7">
      <c r="A8027">
        <v>8026</v>
      </c>
      <c r="B8027" t="str">
        <f>"025946"</f>
        <v>0</v>
      </c>
      <c r="C8027" t="s">
        <v>12498</v>
      </c>
      <c r="D8027" t="s">
        <v>12499</v>
      </c>
      <c r="E8027" t="str">
        <f>"3450900393468"</f>
        <v>0</v>
      </c>
      <c r="F8027" t="str">
        <f>"001480"</f>
        <v>0</v>
      </c>
      <c r="G8027" t="s">
        <v>21</v>
      </c>
    </row>
    <row r="8028" spans="1:7">
      <c r="A8028">
        <v>8027</v>
      </c>
      <c r="B8028" t="str">
        <f>"026029"</f>
        <v>0</v>
      </c>
      <c r="C8028" t="s">
        <v>12500</v>
      </c>
      <c r="D8028" t="s">
        <v>12501</v>
      </c>
      <c r="E8028" t="str">
        <f>"3450101326573"</f>
        <v>0</v>
      </c>
      <c r="F8028" t="str">
        <f>"001480"</f>
        <v>0</v>
      </c>
      <c r="G8028" t="s">
        <v>21</v>
      </c>
    </row>
    <row r="8029" spans="1:7">
      <c r="A8029">
        <v>8028</v>
      </c>
      <c r="B8029" t="str">
        <f>"026197"</f>
        <v>0</v>
      </c>
      <c r="C8029" t="s">
        <v>12502</v>
      </c>
      <c r="D8029" t="s">
        <v>12503</v>
      </c>
      <c r="E8029" t="str">
        <f>"3480100169865"</f>
        <v>0</v>
      </c>
      <c r="F8029" t="str">
        <f>"001480"</f>
        <v>0</v>
      </c>
      <c r="G8029" t="s">
        <v>21</v>
      </c>
    </row>
    <row r="8030" spans="1:7">
      <c r="A8030">
        <v>8029</v>
      </c>
      <c r="B8030" t="str">
        <f>"026198"</f>
        <v>0</v>
      </c>
      <c r="C8030" t="s">
        <v>12504</v>
      </c>
      <c r="D8030" t="s">
        <v>12505</v>
      </c>
      <c r="E8030" t="str">
        <f>"1450900070174"</f>
        <v>0</v>
      </c>
      <c r="F8030" t="str">
        <f>"001480"</f>
        <v>0</v>
      </c>
      <c r="G8030" t="s">
        <v>21</v>
      </c>
    </row>
    <row r="8031" spans="1:7">
      <c r="A8031">
        <v>8030</v>
      </c>
      <c r="B8031" t="str">
        <f>"026199"</f>
        <v>0</v>
      </c>
      <c r="C8031" t="s">
        <v>12506</v>
      </c>
      <c r="D8031" t="s">
        <v>12507</v>
      </c>
      <c r="E8031" t="str">
        <f>"1459900314934"</f>
        <v>0</v>
      </c>
      <c r="F8031" t="str">
        <f>"001480"</f>
        <v>0</v>
      </c>
      <c r="G8031" t="s">
        <v>21</v>
      </c>
    </row>
    <row r="8032" spans="1:7">
      <c r="A8032">
        <v>8031</v>
      </c>
      <c r="B8032" t="str">
        <f>"026400"</f>
        <v>0</v>
      </c>
      <c r="C8032" t="s">
        <v>50</v>
      </c>
      <c r="D8032" t="s">
        <v>11421</v>
      </c>
      <c r="E8032" t="str">
        <f>"3450500571091"</f>
        <v>0</v>
      </c>
      <c r="F8032" t="str">
        <f>"001480"</f>
        <v>0</v>
      </c>
      <c r="G8032" t="s">
        <v>21</v>
      </c>
    </row>
    <row r="8033" spans="1:7">
      <c r="A8033">
        <v>8032</v>
      </c>
      <c r="B8033" t="str">
        <f>"026401"</f>
        <v>0</v>
      </c>
      <c r="C8033" t="s">
        <v>12508</v>
      </c>
      <c r="D8033" t="s">
        <v>1814</v>
      </c>
      <c r="E8033" t="str">
        <f>"3450400609160"</f>
        <v>0</v>
      </c>
      <c r="F8033" t="str">
        <f>"001480"</f>
        <v>0</v>
      </c>
      <c r="G8033" t="s">
        <v>21</v>
      </c>
    </row>
    <row r="8034" spans="1:7">
      <c r="A8034">
        <v>8033</v>
      </c>
      <c r="B8034" t="str">
        <f>"027054"</f>
        <v>0</v>
      </c>
      <c r="C8034" t="s">
        <v>2758</v>
      </c>
      <c r="D8034" t="s">
        <v>12509</v>
      </c>
      <c r="E8034" t="str">
        <f>"3450101515635"</f>
        <v>0</v>
      </c>
      <c r="F8034" t="str">
        <f>"001480"</f>
        <v>0</v>
      </c>
      <c r="G8034" t="s">
        <v>21</v>
      </c>
    </row>
    <row r="8035" spans="1:7">
      <c r="A8035">
        <v>8034</v>
      </c>
      <c r="B8035" t="str">
        <f>"027193"</f>
        <v>0</v>
      </c>
      <c r="C8035" t="s">
        <v>520</v>
      </c>
      <c r="D8035" t="s">
        <v>12510</v>
      </c>
      <c r="E8035" t="str">
        <f>"3450101176733"</f>
        <v>0</v>
      </c>
      <c r="F8035" t="str">
        <f>"001480"</f>
        <v>0</v>
      </c>
      <c r="G8035" t="s">
        <v>21</v>
      </c>
    </row>
    <row r="8036" spans="1:7">
      <c r="A8036">
        <v>8035</v>
      </c>
      <c r="B8036" t="str">
        <f>"027388"</f>
        <v>0</v>
      </c>
      <c r="C8036" t="s">
        <v>12511</v>
      </c>
      <c r="D8036" t="s">
        <v>12512</v>
      </c>
      <c r="E8036" t="str">
        <f>"1459900424993"</f>
        <v>0</v>
      </c>
      <c r="F8036" t="str">
        <f>"001480"</f>
        <v>0</v>
      </c>
      <c r="G8036" t="s">
        <v>21</v>
      </c>
    </row>
    <row r="8037" spans="1:7">
      <c r="A8037">
        <v>8036</v>
      </c>
      <c r="B8037" t="str">
        <f>"027392"</f>
        <v>0</v>
      </c>
      <c r="C8037" t="s">
        <v>12513</v>
      </c>
      <c r="D8037" t="s">
        <v>12514</v>
      </c>
      <c r="E8037" t="str">
        <f>"1570500185160"</f>
        <v>0</v>
      </c>
      <c r="F8037" t="str">
        <f>"001480"</f>
        <v>0</v>
      </c>
      <c r="G8037" t="s">
        <v>21</v>
      </c>
    </row>
    <row r="8038" spans="1:7">
      <c r="A8038">
        <v>8037</v>
      </c>
      <c r="B8038" t="str">
        <f>"027395"</f>
        <v>0</v>
      </c>
      <c r="C8038" t="s">
        <v>405</v>
      </c>
      <c r="D8038" t="s">
        <v>12515</v>
      </c>
      <c r="E8038" t="str">
        <f>"1450700174570"</f>
        <v>0</v>
      </c>
      <c r="F8038" t="str">
        <f>"001480"</f>
        <v>0</v>
      </c>
      <c r="G8038" t="s">
        <v>21</v>
      </c>
    </row>
    <row r="8039" spans="1:7">
      <c r="A8039">
        <v>8038</v>
      </c>
      <c r="B8039" t="str">
        <f>"027391"</f>
        <v>0</v>
      </c>
      <c r="C8039" t="s">
        <v>12516</v>
      </c>
      <c r="D8039" t="s">
        <v>12517</v>
      </c>
      <c r="E8039" t="str">
        <f>"1460300134643"</f>
        <v>0</v>
      </c>
      <c r="F8039" t="str">
        <f>"001480"</f>
        <v>0</v>
      </c>
      <c r="G8039" t="s">
        <v>21</v>
      </c>
    </row>
    <row r="8040" spans="1:7">
      <c r="A8040">
        <v>8039</v>
      </c>
      <c r="B8040" t="str">
        <f>"014690"</f>
        <v>0</v>
      </c>
      <c r="C8040" t="s">
        <v>12518</v>
      </c>
      <c r="D8040" t="s">
        <v>12519</v>
      </c>
      <c r="E8040" t="str">
        <f>"3490200163508"</f>
        <v>0</v>
      </c>
      <c r="F8040" t="str">
        <f>"001480"</f>
        <v>0</v>
      </c>
      <c r="G8040" t="s">
        <v>21</v>
      </c>
    </row>
    <row r="8041" spans="1:7">
      <c r="A8041">
        <v>8040</v>
      </c>
      <c r="B8041" t="str">
        <f>"026975"</f>
        <v>0</v>
      </c>
      <c r="C8041" t="s">
        <v>12520</v>
      </c>
      <c r="D8041" t="s">
        <v>12521</v>
      </c>
      <c r="E8041" t="str">
        <f>"1570600053028"</f>
        <v>0</v>
      </c>
      <c r="F8041" t="str">
        <f>"001480"</f>
        <v>0</v>
      </c>
      <c r="G8041" t="s">
        <v>21</v>
      </c>
    </row>
    <row r="8042" spans="1:7">
      <c r="A8042">
        <v>8041</v>
      </c>
      <c r="B8042" t="str">
        <f>"026910"</f>
        <v>0</v>
      </c>
      <c r="C8042" t="s">
        <v>12522</v>
      </c>
      <c r="D8042" t="s">
        <v>12523</v>
      </c>
      <c r="E8042" t="str">
        <f>"1720200089457"</f>
        <v>0</v>
      </c>
      <c r="F8042" t="str">
        <f>"001480"</f>
        <v>0</v>
      </c>
      <c r="G8042" t="s">
        <v>21</v>
      </c>
    </row>
    <row r="8043" spans="1:7">
      <c r="A8043">
        <v>8042</v>
      </c>
      <c r="B8043" t="str">
        <f>"018213"</f>
        <v>0</v>
      </c>
      <c r="C8043" t="s">
        <v>1887</v>
      </c>
      <c r="D8043" t="s">
        <v>12524</v>
      </c>
      <c r="E8043" t="str">
        <f>"3340100717413"</f>
        <v>0</v>
      </c>
      <c r="F8043" t="str">
        <f>"001480"</f>
        <v>0</v>
      </c>
      <c r="G8043" t="s">
        <v>21</v>
      </c>
    </row>
    <row r="8044" spans="1:7">
      <c r="A8044">
        <v>8043</v>
      </c>
      <c r="B8044" t="str">
        <f>"018512"</f>
        <v>0</v>
      </c>
      <c r="C8044" t="s">
        <v>12525</v>
      </c>
      <c r="D8044" t="s">
        <v>12526</v>
      </c>
      <c r="E8044" t="str">
        <f>"3450101212012"</f>
        <v>0</v>
      </c>
      <c r="F8044" t="str">
        <f>"001480"</f>
        <v>0</v>
      </c>
      <c r="G8044" t="s">
        <v>21</v>
      </c>
    </row>
    <row r="8045" spans="1:7">
      <c r="A8045">
        <v>8044</v>
      </c>
      <c r="B8045" t="str">
        <f>"018783"</f>
        <v>0</v>
      </c>
      <c r="C8045" t="s">
        <v>12527</v>
      </c>
      <c r="D8045" t="s">
        <v>12528</v>
      </c>
      <c r="E8045" t="str">
        <f>"3451100145592"</f>
        <v>0</v>
      </c>
      <c r="F8045" t="str">
        <f>"001480"</f>
        <v>0</v>
      </c>
      <c r="G8045" t="s">
        <v>21</v>
      </c>
    </row>
    <row r="8046" spans="1:7">
      <c r="A8046">
        <v>8045</v>
      </c>
      <c r="B8046" t="str">
        <f>"027002"</f>
        <v>0</v>
      </c>
      <c r="C8046" t="s">
        <v>12529</v>
      </c>
      <c r="D8046" t="s">
        <v>12530</v>
      </c>
      <c r="E8046" t="str">
        <f>"3479900229500"</f>
        <v>0</v>
      </c>
      <c r="F8046" t="str">
        <f>"001480"</f>
        <v>0</v>
      </c>
      <c r="G8046" t="s">
        <v>21</v>
      </c>
    </row>
    <row r="8047" spans="1:7">
      <c r="A8047">
        <v>8046</v>
      </c>
      <c r="B8047" t="str">
        <f>"027003"</f>
        <v>0</v>
      </c>
      <c r="C8047" t="s">
        <v>12531</v>
      </c>
      <c r="D8047" t="s">
        <v>12532</v>
      </c>
      <c r="E8047" t="str">
        <f>"3510100092560"</f>
        <v>0</v>
      </c>
      <c r="F8047" t="str">
        <f>"001480"</f>
        <v>0</v>
      </c>
      <c r="G8047" t="s">
        <v>21</v>
      </c>
    </row>
    <row r="8048" spans="1:7">
      <c r="A8048">
        <v>8047</v>
      </c>
      <c r="B8048" t="str">
        <f>"000219"</f>
        <v>0</v>
      </c>
      <c r="C8048" t="s">
        <v>727</v>
      </c>
      <c r="D8048" t="s">
        <v>11736</v>
      </c>
      <c r="E8048" t="str">
        <f>"3869900063420"</f>
        <v>0</v>
      </c>
      <c r="F8048" t="str">
        <f>"001520"</f>
        <v>0</v>
      </c>
      <c r="G8048" t="s">
        <v>21</v>
      </c>
    </row>
    <row r="8049" spans="1:7">
      <c r="A8049">
        <v>8048</v>
      </c>
      <c r="B8049" t="str">
        <f>"000691"</f>
        <v>0</v>
      </c>
      <c r="C8049" t="s">
        <v>12533</v>
      </c>
      <c r="D8049" t="s">
        <v>12534</v>
      </c>
      <c r="E8049" t="str">
        <f>"3709900351817"</f>
        <v>0</v>
      </c>
      <c r="F8049" t="str">
        <f>"001520"</f>
        <v>0</v>
      </c>
      <c r="G8049" t="s">
        <v>21</v>
      </c>
    </row>
    <row r="8050" spans="1:7">
      <c r="A8050">
        <v>8049</v>
      </c>
      <c r="B8050" t="str">
        <f>"000937"</f>
        <v>0</v>
      </c>
      <c r="C8050" t="s">
        <v>3303</v>
      </c>
      <c r="D8050" t="s">
        <v>12535</v>
      </c>
      <c r="E8050" t="str">
        <f>"3639900155563"</f>
        <v>0</v>
      </c>
      <c r="F8050" t="str">
        <f>"001520"</f>
        <v>0</v>
      </c>
      <c r="G8050" t="s">
        <v>21</v>
      </c>
    </row>
    <row r="8051" spans="1:7">
      <c r="A8051">
        <v>8050</v>
      </c>
      <c r="B8051" t="str">
        <f>"001085"</f>
        <v>0</v>
      </c>
      <c r="C8051" t="s">
        <v>822</v>
      </c>
      <c r="D8051" t="s">
        <v>12536</v>
      </c>
      <c r="E8051" t="str">
        <f>"3709900306919"</f>
        <v>0</v>
      </c>
      <c r="F8051" t="str">
        <f>"001520"</f>
        <v>0</v>
      </c>
      <c r="G8051" t="s">
        <v>21</v>
      </c>
    </row>
    <row r="8052" spans="1:7">
      <c r="A8052">
        <v>8051</v>
      </c>
      <c r="B8052" t="str">
        <f>"002402"</f>
        <v>0</v>
      </c>
      <c r="C8052" t="s">
        <v>2758</v>
      </c>
      <c r="D8052" t="s">
        <v>12537</v>
      </c>
      <c r="E8052" t="str">
        <f>"3760500203669"</f>
        <v>0</v>
      </c>
      <c r="F8052" t="str">
        <f>"001520"</f>
        <v>0</v>
      </c>
      <c r="G8052" t="s">
        <v>21</v>
      </c>
    </row>
    <row r="8053" spans="1:7">
      <c r="A8053">
        <v>8052</v>
      </c>
      <c r="B8053" t="str">
        <f>"002422"</f>
        <v>0</v>
      </c>
      <c r="C8053" t="s">
        <v>2303</v>
      </c>
      <c r="D8053" t="s">
        <v>12538</v>
      </c>
      <c r="E8053" t="str">
        <f>"3700200051766"</f>
        <v>0</v>
      </c>
      <c r="F8053" t="str">
        <f>"001520"</f>
        <v>0</v>
      </c>
      <c r="G8053" t="s">
        <v>21</v>
      </c>
    </row>
    <row r="8054" spans="1:7">
      <c r="A8054">
        <v>8053</v>
      </c>
      <c r="B8054" t="str">
        <f>"002721"</f>
        <v>0</v>
      </c>
      <c r="C8054" t="s">
        <v>514</v>
      </c>
      <c r="D8054" t="s">
        <v>12539</v>
      </c>
      <c r="E8054" t="str">
        <f>"3700500708353"</f>
        <v>0</v>
      </c>
      <c r="F8054" t="str">
        <f>"001520"</f>
        <v>0</v>
      </c>
      <c r="G8054" t="s">
        <v>21</v>
      </c>
    </row>
    <row r="8055" spans="1:7">
      <c r="A8055">
        <v>8054</v>
      </c>
      <c r="B8055" t="str">
        <f>"003669"</f>
        <v>0</v>
      </c>
      <c r="C8055" t="s">
        <v>3248</v>
      </c>
      <c r="D8055" t="s">
        <v>12540</v>
      </c>
      <c r="E8055" t="str">
        <f>"3700600078807"</f>
        <v>0</v>
      </c>
      <c r="F8055" t="str">
        <f>"001520"</f>
        <v>0</v>
      </c>
      <c r="G8055" t="s">
        <v>21</v>
      </c>
    </row>
    <row r="8056" spans="1:7">
      <c r="A8056">
        <v>8055</v>
      </c>
      <c r="B8056" t="str">
        <f>"003708"</f>
        <v>0</v>
      </c>
      <c r="C8056" t="s">
        <v>7127</v>
      </c>
      <c r="D8056" t="s">
        <v>12541</v>
      </c>
      <c r="E8056" t="str">
        <f>"3700900061471"</f>
        <v>0</v>
      </c>
      <c r="F8056" t="str">
        <f>"001520"</f>
        <v>0</v>
      </c>
      <c r="G8056" t="s">
        <v>21</v>
      </c>
    </row>
    <row r="8057" spans="1:7">
      <c r="A8057">
        <v>8056</v>
      </c>
      <c r="B8057" t="str">
        <f>"003724"</f>
        <v>0</v>
      </c>
      <c r="C8057" t="s">
        <v>4771</v>
      </c>
      <c r="D8057" t="s">
        <v>12542</v>
      </c>
      <c r="E8057" t="str">
        <f>"3710700001547"</f>
        <v>0</v>
      </c>
      <c r="F8057" t="str">
        <f>"001520"</f>
        <v>0</v>
      </c>
      <c r="G8057" t="s">
        <v>21</v>
      </c>
    </row>
    <row r="8058" spans="1:7">
      <c r="A8058">
        <v>8057</v>
      </c>
      <c r="B8058" t="str">
        <f>"004355"</f>
        <v>0</v>
      </c>
      <c r="C8058" t="s">
        <v>1502</v>
      </c>
      <c r="D8058" t="s">
        <v>12543</v>
      </c>
      <c r="E8058" t="str">
        <f>"3700400307161"</f>
        <v>0</v>
      </c>
      <c r="F8058" t="str">
        <f>"001520"</f>
        <v>0</v>
      </c>
      <c r="G8058" t="s">
        <v>21</v>
      </c>
    </row>
    <row r="8059" spans="1:7">
      <c r="A8059">
        <v>8058</v>
      </c>
      <c r="B8059" t="str">
        <f>"004815"</f>
        <v>0</v>
      </c>
      <c r="C8059" t="s">
        <v>12544</v>
      </c>
      <c r="D8059" t="s">
        <v>12545</v>
      </c>
      <c r="E8059" t="str">
        <f>"3700700085261"</f>
        <v>0</v>
      </c>
      <c r="F8059" t="str">
        <f>"001520"</f>
        <v>0</v>
      </c>
      <c r="G8059" t="s">
        <v>21</v>
      </c>
    </row>
    <row r="8060" spans="1:7">
      <c r="A8060">
        <v>8059</v>
      </c>
      <c r="B8060" t="str">
        <f>"004818"</f>
        <v>0</v>
      </c>
      <c r="C8060" t="s">
        <v>12546</v>
      </c>
      <c r="D8060" t="s">
        <v>12547</v>
      </c>
      <c r="E8060" t="str">
        <f>"3709900314661"</f>
        <v>0</v>
      </c>
      <c r="F8060" t="str">
        <f>"001520"</f>
        <v>0</v>
      </c>
      <c r="G8060" t="s">
        <v>21</v>
      </c>
    </row>
    <row r="8061" spans="1:7">
      <c r="A8061">
        <v>8060</v>
      </c>
      <c r="B8061" t="str">
        <f>"005657"</f>
        <v>0</v>
      </c>
      <c r="C8061" t="s">
        <v>12548</v>
      </c>
      <c r="D8061" t="s">
        <v>12549</v>
      </c>
      <c r="E8061" t="str">
        <f>"3700501061078"</f>
        <v>0</v>
      </c>
      <c r="F8061" t="str">
        <f>"001520"</f>
        <v>0</v>
      </c>
      <c r="G8061" t="s">
        <v>21</v>
      </c>
    </row>
    <row r="8062" spans="1:7">
      <c r="A8062">
        <v>8061</v>
      </c>
      <c r="B8062" t="str">
        <f>"006270"</f>
        <v>0</v>
      </c>
      <c r="C8062" t="s">
        <v>12550</v>
      </c>
      <c r="D8062" t="s">
        <v>12551</v>
      </c>
      <c r="E8062" t="str">
        <f>"3700100040932"</f>
        <v>0</v>
      </c>
      <c r="F8062" t="str">
        <f>"001520"</f>
        <v>0</v>
      </c>
      <c r="G8062" t="s">
        <v>21</v>
      </c>
    </row>
    <row r="8063" spans="1:7">
      <c r="A8063">
        <v>8062</v>
      </c>
      <c r="B8063" t="str">
        <f>"007310"</f>
        <v>0</v>
      </c>
      <c r="C8063" t="s">
        <v>5125</v>
      </c>
      <c r="D8063" t="s">
        <v>691</v>
      </c>
      <c r="E8063" t="str">
        <f>"5720700037998"</f>
        <v>0</v>
      </c>
      <c r="F8063" t="str">
        <f>"001520"</f>
        <v>0</v>
      </c>
      <c r="G8063" t="s">
        <v>21</v>
      </c>
    </row>
    <row r="8064" spans="1:7">
      <c r="A8064">
        <v>8063</v>
      </c>
      <c r="B8064" t="str">
        <f>"007420"</f>
        <v>0</v>
      </c>
      <c r="C8064" t="s">
        <v>307</v>
      </c>
      <c r="D8064" t="s">
        <v>9702</v>
      </c>
      <c r="E8064" t="str">
        <f>"3700600081336"</f>
        <v>0</v>
      </c>
      <c r="F8064" t="str">
        <f>"001520"</f>
        <v>0</v>
      </c>
      <c r="G8064" t="s">
        <v>21</v>
      </c>
    </row>
    <row r="8065" spans="1:7">
      <c r="A8065">
        <v>8064</v>
      </c>
      <c r="B8065" t="str">
        <f>"007463"</f>
        <v>0</v>
      </c>
      <c r="C8065" t="s">
        <v>4913</v>
      </c>
      <c r="D8065" t="s">
        <v>12552</v>
      </c>
      <c r="E8065" t="str">
        <f>"3110400288099"</f>
        <v>0</v>
      </c>
      <c r="F8065" t="str">
        <f>"001520"</f>
        <v>0</v>
      </c>
      <c r="G8065" t="s">
        <v>21</v>
      </c>
    </row>
    <row r="8066" spans="1:7">
      <c r="A8066">
        <v>8065</v>
      </c>
      <c r="B8066" t="str">
        <f>"007787"</f>
        <v>0</v>
      </c>
      <c r="C8066" t="s">
        <v>12553</v>
      </c>
      <c r="D8066" t="s">
        <v>12554</v>
      </c>
      <c r="E8066" t="str">
        <f>"3769800007006"</f>
        <v>0</v>
      </c>
      <c r="F8066" t="str">
        <f>"001520"</f>
        <v>0</v>
      </c>
      <c r="G8066" t="s">
        <v>21</v>
      </c>
    </row>
    <row r="8067" spans="1:7">
      <c r="A8067">
        <v>8066</v>
      </c>
      <c r="B8067" t="str">
        <f>"007993"</f>
        <v>0</v>
      </c>
      <c r="C8067" t="s">
        <v>12555</v>
      </c>
      <c r="D8067" t="s">
        <v>12556</v>
      </c>
      <c r="E8067" t="str">
        <f>"3100500523898"</f>
        <v>0</v>
      </c>
      <c r="F8067" t="str">
        <f>"001520"</f>
        <v>0</v>
      </c>
      <c r="G8067" t="s">
        <v>21</v>
      </c>
    </row>
    <row r="8068" spans="1:7">
      <c r="A8068">
        <v>8067</v>
      </c>
      <c r="B8068" t="str">
        <f>"008019"</f>
        <v>0</v>
      </c>
      <c r="C8068" t="s">
        <v>4897</v>
      </c>
      <c r="D8068" t="s">
        <v>12557</v>
      </c>
      <c r="E8068" t="str">
        <f>"5709890000207"</f>
        <v>0</v>
      </c>
      <c r="F8068" t="str">
        <f>"001520"</f>
        <v>0</v>
      </c>
      <c r="G8068" t="s">
        <v>21</v>
      </c>
    </row>
    <row r="8069" spans="1:7">
      <c r="A8069">
        <v>8068</v>
      </c>
      <c r="B8069" t="str">
        <f>"009740"</f>
        <v>0</v>
      </c>
      <c r="C8069" t="s">
        <v>670</v>
      </c>
      <c r="D8069" t="s">
        <v>12558</v>
      </c>
      <c r="E8069" t="str">
        <f>"3700500074265"</f>
        <v>0</v>
      </c>
      <c r="F8069" t="str">
        <f>"001520"</f>
        <v>0</v>
      </c>
      <c r="G8069" t="s">
        <v>21</v>
      </c>
    </row>
    <row r="8070" spans="1:7">
      <c r="A8070">
        <v>8069</v>
      </c>
      <c r="B8070" t="str">
        <f>"010087"</f>
        <v>0</v>
      </c>
      <c r="C8070" t="s">
        <v>4967</v>
      </c>
      <c r="D8070" t="s">
        <v>12559</v>
      </c>
      <c r="E8070" t="str">
        <f>"5700190033872"</f>
        <v>0</v>
      </c>
      <c r="F8070" t="str">
        <f>"001520"</f>
        <v>0</v>
      </c>
      <c r="G8070" t="s">
        <v>21</v>
      </c>
    </row>
    <row r="8071" spans="1:7">
      <c r="A8071">
        <v>8070</v>
      </c>
      <c r="B8071" t="str">
        <f>"010977"</f>
        <v>0</v>
      </c>
      <c r="C8071" t="s">
        <v>12560</v>
      </c>
      <c r="D8071" t="s">
        <v>12561</v>
      </c>
      <c r="E8071" t="str">
        <f>"3770600381798"</f>
        <v>0</v>
      </c>
      <c r="F8071" t="str">
        <f>"001520"</f>
        <v>0</v>
      </c>
      <c r="G8071" t="s">
        <v>21</v>
      </c>
    </row>
    <row r="8072" spans="1:7">
      <c r="A8072">
        <v>8071</v>
      </c>
      <c r="B8072" t="str">
        <f>"011438"</f>
        <v>0</v>
      </c>
      <c r="C8072" t="s">
        <v>10384</v>
      </c>
      <c r="D8072" t="s">
        <v>12562</v>
      </c>
      <c r="E8072" t="str">
        <f>"3700500393042"</f>
        <v>0</v>
      </c>
      <c r="F8072" t="str">
        <f>"001520"</f>
        <v>0</v>
      </c>
      <c r="G8072" t="s">
        <v>21</v>
      </c>
    </row>
    <row r="8073" spans="1:7">
      <c r="A8073">
        <v>8072</v>
      </c>
      <c r="B8073" t="str">
        <f>"011496"</f>
        <v>0</v>
      </c>
      <c r="C8073" t="s">
        <v>4909</v>
      </c>
      <c r="D8073" t="s">
        <v>12563</v>
      </c>
      <c r="E8073" t="str">
        <f>"3730300104276"</f>
        <v>0</v>
      </c>
      <c r="F8073" t="str">
        <f>"001520"</f>
        <v>0</v>
      </c>
      <c r="G8073" t="s">
        <v>21</v>
      </c>
    </row>
    <row r="8074" spans="1:7">
      <c r="A8074">
        <v>8073</v>
      </c>
      <c r="B8074" t="str">
        <f>"012002"</f>
        <v>0</v>
      </c>
      <c r="C8074" t="s">
        <v>12564</v>
      </c>
      <c r="D8074" t="s">
        <v>12565</v>
      </c>
      <c r="E8074" t="str">
        <f>"4450500001196"</f>
        <v>0</v>
      </c>
      <c r="F8074" t="str">
        <f>"001520"</f>
        <v>0</v>
      </c>
      <c r="G8074" t="s">
        <v>21</v>
      </c>
    </row>
    <row r="8075" spans="1:7">
      <c r="A8075">
        <v>8074</v>
      </c>
      <c r="B8075" t="str">
        <f>"012036"</f>
        <v>0</v>
      </c>
      <c r="C8075" t="s">
        <v>12566</v>
      </c>
      <c r="D8075" t="s">
        <v>12567</v>
      </c>
      <c r="E8075" t="str">
        <f>"3700100200492"</f>
        <v>0</v>
      </c>
      <c r="F8075" t="str">
        <f>"001520"</f>
        <v>0</v>
      </c>
      <c r="G8075" t="s">
        <v>21</v>
      </c>
    </row>
    <row r="8076" spans="1:7">
      <c r="A8076">
        <v>8075</v>
      </c>
      <c r="B8076" t="str">
        <f>"012085"</f>
        <v>0</v>
      </c>
      <c r="C8076" t="s">
        <v>4903</v>
      </c>
      <c r="D8076" t="s">
        <v>12568</v>
      </c>
      <c r="E8076" t="str">
        <f>"3700700506118"</f>
        <v>0</v>
      </c>
      <c r="F8076" t="str">
        <f>"001520"</f>
        <v>0</v>
      </c>
      <c r="G8076" t="s">
        <v>21</v>
      </c>
    </row>
    <row r="8077" spans="1:7">
      <c r="A8077">
        <v>8076</v>
      </c>
      <c r="B8077" t="str">
        <f>"012135"</f>
        <v>0</v>
      </c>
      <c r="C8077" t="s">
        <v>130</v>
      </c>
      <c r="D8077" t="s">
        <v>12569</v>
      </c>
      <c r="E8077" t="str">
        <f>"3800100237395"</f>
        <v>0</v>
      </c>
      <c r="F8077" t="str">
        <f>"001520"</f>
        <v>0</v>
      </c>
      <c r="G8077" t="s">
        <v>21</v>
      </c>
    </row>
    <row r="8078" spans="1:7">
      <c r="A8078">
        <v>8077</v>
      </c>
      <c r="B8078" t="str">
        <f>"012286"</f>
        <v>0</v>
      </c>
      <c r="C8078" t="s">
        <v>4607</v>
      </c>
      <c r="D8078" t="s">
        <v>12570</v>
      </c>
      <c r="E8078" t="str">
        <f>"3759900082573"</f>
        <v>0</v>
      </c>
      <c r="F8078" t="str">
        <f>"001520"</f>
        <v>0</v>
      </c>
      <c r="G8078" t="s">
        <v>21</v>
      </c>
    </row>
    <row r="8079" spans="1:7">
      <c r="A8079">
        <v>8078</v>
      </c>
      <c r="B8079" t="str">
        <f>"012305"</f>
        <v>0</v>
      </c>
      <c r="C8079" t="s">
        <v>8631</v>
      </c>
      <c r="D8079" t="s">
        <v>12571</v>
      </c>
      <c r="E8079" t="str">
        <f>"3200200742437"</f>
        <v>0</v>
      </c>
      <c r="F8079" t="str">
        <f>"001520"</f>
        <v>0</v>
      </c>
      <c r="G8079" t="s">
        <v>21</v>
      </c>
    </row>
    <row r="8080" spans="1:7">
      <c r="A8080">
        <v>8079</v>
      </c>
      <c r="B8080" t="str">
        <f>"012472"</f>
        <v>0</v>
      </c>
      <c r="C8080" t="s">
        <v>5566</v>
      </c>
      <c r="D8080" t="s">
        <v>12572</v>
      </c>
      <c r="E8080" t="str">
        <f>"3501300113995"</f>
        <v>0</v>
      </c>
      <c r="F8080" t="str">
        <f>"001520"</f>
        <v>0</v>
      </c>
      <c r="G8080" t="s">
        <v>21</v>
      </c>
    </row>
    <row r="8081" spans="1:7">
      <c r="A8081">
        <v>8080</v>
      </c>
      <c r="B8081" t="str">
        <f>"012926"</f>
        <v>0</v>
      </c>
      <c r="C8081" t="s">
        <v>9827</v>
      </c>
      <c r="D8081" t="s">
        <v>12573</v>
      </c>
      <c r="E8081" t="str">
        <f>"3759900010688"</f>
        <v>0</v>
      </c>
      <c r="F8081" t="str">
        <f>"001520"</f>
        <v>0</v>
      </c>
      <c r="G8081" t="s">
        <v>21</v>
      </c>
    </row>
    <row r="8082" spans="1:7">
      <c r="A8082">
        <v>8081</v>
      </c>
      <c r="B8082" t="str">
        <f>"013135"</f>
        <v>0</v>
      </c>
      <c r="C8082" t="s">
        <v>12574</v>
      </c>
      <c r="D8082" t="s">
        <v>12575</v>
      </c>
      <c r="E8082" t="str">
        <f>"3700700429504"</f>
        <v>0</v>
      </c>
      <c r="F8082" t="str">
        <f>"001520"</f>
        <v>0</v>
      </c>
      <c r="G8082" t="s">
        <v>21</v>
      </c>
    </row>
    <row r="8083" spans="1:7">
      <c r="A8083">
        <v>8082</v>
      </c>
      <c r="B8083" t="str">
        <f>"013388"</f>
        <v>0</v>
      </c>
      <c r="C8083" t="s">
        <v>1271</v>
      </c>
      <c r="D8083" t="s">
        <v>12576</v>
      </c>
      <c r="E8083" t="str">
        <f>"3760700079449"</f>
        <v>0</v>
      </c>
      <c r="F8083" t="str">
        <f>"001520"</f>
        <v>0</v>
      </c>
      <c r="G8083" t="s">
        <v>21</v>
      </c>
    </row>
    <row r="8084" spans="1:7">
      <c r="A8084">
        <v>8083</v>
      </c>
      <c r="B8084" t="str">
        <f>"013710"</f>
        <v>0</v>
      </c>
      <c r="C8084" t="s">
        <v>7140</v>
      </c>
      <c r="D8084" t="s">
        <v>12547</v>
      </c>
      <c r="E8084" t="str">
        <f>"3709900314652"</f>
        <v>0</v>
      </c>
      <c r="F8084" t="str">
        <f>"001520"</f>
        <v>0</v>
      </c>
      <c r="G8084" t="s">
        <v>21</v>
      </c>
    </row>
    <row r="8085" spans="1:7">
      <c r="A8085">
        <v>8084</v>
      </c>
      <c r="B8085" t="str">
        <f>"013797"</f>
        <v>0</v>
      </c>
      <c r="C8085" t="s">
        <v>12577</v>
      </c>
      <c r="D8085" t="s">
        <v>12578</v>
      </c>
      <c r="E8085" t="str">
        <f>"3700600315574"</f>
        <v>0</v>
      </c>
      <c r="F8085" t="str">
        <f>"001520"</f>
        <v>0</v>
      </c>
      <c r="G8085" t="s">
        <v>21</v>
      </c>
    </row>
    <row r="8086" spans="1:7">
      <c r="A8086">
        <v>8085</v>
      </c>
      <c r="B8086" t="str">
        <f>"013982"</f>
        <v>0</v>
      </c>
      <c r="C8086" t="s">
        <v>12579</v>
      </c>
      <c r="D8086" t="s">
        <v>12580</v>
      </c>
      <c r="E8086" t="str">
        <f>"3709900002944"</f>
        <v>0</v>
      </c>
      <c r="F8086" t="str">
        <f>"001520"</f>
        <v>0</v>
      </c>
      <c r="G8086" t="s">
        <v>21</v>
      </c>
    </row>
    <row r="8087" spans="1:7">
      <c r="A8087">
        <v>8086</v>
      </c>
      <c r="B8087" t="str">
        <f>"014139"</f>
        <v>0</v>
      </c>
      <c r="C8087" t="s">
        <v>12581</v>
      </c>
      <c r="D8087" t="s">
        <v>12582</v>
      </c>
      <c r="E8087" t="str">
        <f>"3320700088689"</f>
        <v>0</v>
      </c>
      <c r="F8087" t="str">
        <f>"001520"</f>
        <v>0</v>
      </c>
      <c r="G8087" t="s">
        <v>21</v>
      </c>
    </row>
    <row r="8088" spans="1:7">
      <c r="A8088">
        <v>8087</v>
      </c>
      <c r="B8088" t="str">
        <f>"014550"</f>
        <v>0</v>
      </c>
      <c r="C8088" t="s">
        <v>12583</v>
      </c>
      <c r="D8088" t="s">
        <v>12584</v>
      </c>
      <c r="E8088" t="str">
        <f>"3900400162993"</f>
        <v>0</v>
      </c>
      <c r="F8088" t="str">
        <f>"001520"</f>
        <v>0</v>
      </c>
      <c r="G8088" t="s">
        <v>21</v>
      </c>
    </row>
    <row r="8089" spans="1:7">
      <c r="A8089">
        <v>8088</v>
      </c>
      <c r="B8089" t="str">
        <f>"015453"</f>
        <v>0</v>
      </c>
      <c r="C8089" t="s">
        <v>12585</v>
      </c>
      <c r="D8089" t="s">
        <v>12586</v>
      </c>
      <c r="E8089" t="str">
        <f>"3700700744850"</f>
        <v>0</v>
      </c>
      <c r="F8089" t="str">
        <f>"001520"</f>
        <v>0</v>
      </c>
      <c r="G8089" t="s">
        <v>21</v>
      </c>
    </row>
    <row r="8090" spans="1:7">
      <c r="A8090">
        <v>8089</v>
      </c>
      <c r="B8090" t="str">
        <f>"016212"</f>
        <v>0</v>
      </c>
      <c r="C8090" t="s">
        <v>104</v>
      </c>
      <c r="D8090" t="s">
        <v>7728</v>
      </c>
      <c r="E8090" t="str">
        <f>"3700300011111"</f>
        <v>0</v>
      </c>
      <c r="F8090" t="str">
        <f>"001520"</f>
        <v>0</v>
      </c>
      <c r="G8090" t="s">
        <v>21</v>
      </c>
    </row>
    <row r="8091" spans="1:7">
      <c r="A8091">
        <v>8090</v>
      </c>
      <c r="B8091" t="str">
        <f>"016213"</f>
        <v>0</v>
      </c>
      <c r="C8091" t="s">
        <v>130</v>
      </c>
      <c r="D8091" t="s">
        <v>12587</v>
      </c>
      <c r="E8091" t="str">
        <f>"3700200045910"</f>
        <v>0</v>
      </c>
      <c r="F8091" t="str">
        <f>"001520"</f>
        <v>0</v>
      </c>
      <c r="G8091" t="s">
        <v>21</v>
      </c>
    </row>
    <row r="8092" spans="1:7">
      <c r="A8092">
        <v>8091</v>
      </c>
      <c r="B8092" t="str">
        <f>"016527"</f>
        <v>0</v>
      </c>
      <c r="C8092" t="s">
        <v>7184</v>
      </c>
      <c r="D8092" t="s">
        <v>12588</v>
      </c>
      <c r="E8092" t="str">
        <f>"3760700328198"</f>
        <v>0</v>
      </c>
      <c r="F8092" t="str">
        <f>"001520"</f>
        <v>0</v>
      </c>
      <c r="G8092" t="s">
        <v>21</v>
      </c>
    </row>
    <row r="8093" spans="1:7">
      <c r="A8093">
        <v>8092</v>
      </c>
      <c r="B8093" t="str">
        <f>"017146"</f>
        <v>0</v>
      </c>
      <c r="C8093" t="s">
        <v>2858</v>
      </c>
      <c r="D8093" t="s">
        <v>12589</v>
      </c>
      <c r="E8093" t="str">
        <f>"3120101430063"</f>
        <v>0</v>
      </c>
      <c r="F8093" t="str">
        <f>"001520"</f>
        <v>0</v>
      </c>
      <c r="G8093" t="s">
        <v>21</v>
      </c>
    </row>
    <row r="8094" spans="1:7">
      <c r="A8094">
        <v>8093</v>
      </c>
      <c r="B8094" t="str">
        <f>"017325"</f>
        <v>0</v>
      </c>
      <c r="C8094" t="s">
        <v>12590</v>
      </c>
      <c r="D8094" t="s">
        <v>12591</v>
      </c>
      <c r="E8094" t="str">
        <f>"3700100564877"</f>
        <v>0</v>
      </c>
      <c r="F8094" t="str">
        <f>"001520"</f>
        <v>0</v>
      </c>
      <c r="G8094" t="s">
        <v>21</v>
      </c>
    </row>
    <row r="8095" spans="1:7">
      <c r="A8095">
        <v>8094</v>
      </c>
      <c r="B8095" t="str">
        <f>"018477"</f>
        <v>0</v>
      </c>
      <c r="C8095" t="s">
        <v>12592</v>
      </c>
      <c r="D8095" t="s">
        <v>12593</v>
      </c>
      <c r="E8095" t="str">
        <f>"3709900384031"</f>
        <v>0</v>
      </c>
      <c r="F8095" t="str">
        <f>"001520"</f>
        <v>0</v>
      </c>
      <c r="G8095" t="s">
        <v>21</v>
      </c>
    </row>
    <row r="8096" spans="1:7">
      <c r="A8096">
        <v>8095</v>
      </c>
      <c r="B8096" t="str">
        <f>"018855"</f>
        <v>0</v>
      </c>
      <c r="C8096" t="s">
        <v>12594</v>
      </c>
      <c r="D8096" t="s">
        <v>7502</v>
      </c>
      <c r="E8096" t="str">
        <f>"3801200395911"</f>
        <v>0</v>
      </c>
      <c r="F8096" t="str">
        <f>"001520"</f>
        <v>0</v>
      </c>
      <c r="G8096" t="s">
        <v>21</v>
      </c>
    </row>
    <row r="8097" spans="1:7">
      <c r="A8097">
        <v>8096</v>
      </c>
      <c r="B8097" t="str">
        <f>"019230"</f>
        <v>0</v>
      </c>
      <c r="C8097" t="s">
        <v>4225</v>
      </c>
      <c r="D8097" t="s">
        <v>12595</v>
      </c>
      <c r="E8097" t="str">
        <f>"3700501155897"</f>
        <v>0</v>
      </c>
      <c r="F8097" t="str">
        <f>"001520"</f>
        <v>0</v>
      </c>
      <c r="G8097" t="s">
        <v>21</v>
      </c>
    </row>
    <row r="8098" spans="1:7">
      <c r="A8098">
        <v>8097</v>
      </c>
      <c r="B8098" t="str">
        <f>"019495"</f>
        <v>0</v>
      </c>
      <c r="C8098" t="s">
        <v>10129</v>
      </c>
      <c r="D8098" t="s">
        <v>12596</v>
      </c>
      <c r="E8098" t="str">
        <f>"3700701106784"</f>
        <v>0</v>
      </c>
      <c r="F8098" t="str">
        <f>"001520"</f>
        <v>0</v>
      </c>
      <c r="G8098" t="s">
        <v>21</v>
      </c>
    </row>
    <row r="8099" spans="1:7">
      <c r="A8099">
        <v>8098</v>
      </c>
      <c r="B8099" t="str">
        <f>"019832"</f>
        <v>0</v>
      </c>
      <c r="C8099" t="s">
        <v>12597</v>
      </c>
      <c r="D8099" t="s">
        <v>12598</v>
      </c>
      <c r="E8099" t="str">
        <f>"3700701031423"</f>
        <v>0</v>
      </c>
      <c r="F8099" t="str">
        <f>"001520"</f>
        <v>0</v>
      </c>
      <c r="G8099" t="s">
        <v>21</v>
      </c>
    </row>
    <row r="8100" spans="1:7">
      <c r="A8100">
        <v>8099</v>
      </c>
      <c r="B8100" t="str">
        <f>"020208"</f>
        <v>0</v>
      </c>
      <c r="C8100" t="s">
        <v>755</v>
      </c>
      <c r="D8100" t="s">
        <v>12599</v>
      </c>
      <c r="E8100" t="str">
        <f>"3850400149939"</f>
        <v>0</v>
      </c>
      <c r="F8100" t="str">
        <f>"001520"</f>
        <v>0</v>
      </c>
      <c r="G8100" t="s">
        <v>21</v>
      </c>
    </row>
    <row r="8101" spans="1:7">
      <c r="A8101">
        <v>8100</v>
      </c>
      <c r="B8101" t="str">
        <f>"020348"</f>
        <v>0</v>
      </c>
      <c r="C8101" t="s">
        <v>12600</v>
      </c>
      <c r="D8101" t="s">
        <v>9255</v>
      </c>
      <c r="E8101" t="str">
        <f>"3840700285846"</f>
        <v>0</v>
      </c>
      <c r="F8101" t="str">
        <f>"001520"</f>
        <v>0</v>
      </c>
      <c r="G8101" t="s">
        <v>21</v>
      </c>
    </row>
    <row r="8102" spans="1:7">
      <c r="A8102">
        <v>8101</v>
      </c>
      <c r="B8102" t="str">
        <f>"021550"</f>
        <v>0</v>
      </c>
      <c r="C8102" t="s">
        <v>1162</v>
      </c>
      <c r="D8102" t="s">
        <v>12601</v>
      </c>
      <c r="E8102" t="str">
        <f>"3540500215952"</f>
        <v>0</v>
      </c>
      <c r="F8102" t="str">
        <f>"001520"</f>
        <v>0</v>
      </c>
      <c r="G8102" t="s">
        <v>21</v>
      </c>
    </row>
    <row r="8103" spans="1:7">
      <c r="A8103">
        <v>8102</v>
      </c>
      <c r="B8103" t="str">
        <f>"022532"</f>
        <v>0</v>
      </c>
      <c r="C8103" t="s">
        <v>12602</v>
      </c>
      <c r="D8103" t="s">
        <v>12603</v>
      </c>
      <c r="E8103" t="str">
        <f>"3500600133711"</f>
        <v>0</v>
      </c>
      <c r="F8103" t="str">
        <f>"001520"</f>
        <v>0</v>
      </c>
      <c r="G8103" t="s">
        <v>21</v>
      </c>
    </row>
    <row r="8104" spans="1:7">
      <c r="A8104">
        <v>8103</v>
      </c>
      <c r="B8104" t="str">
        <f>"023947"</f>
        <v>0</v>
      </c>
      <c r="C8104" t="s">
        <v>215</v>
      </c>
      <c r="D8104" t="s">
        <v>12604</v>
      </c>
      <c r="E8104" t="str">
        <f>"3750100424617"</f>
        <v>0</v>
      </c>
      <c r="F8104" t="str">
        <f>"001520"</f>
        <v>0</v>
      </c>
      <c r="G8104" t="s">
        <v>21</v>
      </c>
    </row>
    <row r="8105" spans="1:7">
      <c r="A8105">
        <v>8104</v>
      </c>
      <c r="B8105" t="str">
        <f>"003912"</f>
        <v>0</v>
      </c>
      <c r="C8105" t="s">
        <v>12605</v>
      </c>
      <c r="D8105" t="s">
        <v>12606</v>
      </c>
      <c r="E8105" t="str">
        <f>"3710200236391"</f>
        <v>0</v>
      </c>
      <c r="F8105" t="str">
        <f>"001520"</f>
        <v>0</v>
      </c>
      <c r="G8105" t="s">
        <v>21</v>
      </c>
    </row>
    <row r="8106" spans="1:7">
      <c r="A8106">
        <v>8105</v>
      </c>
      <c r="B8106" t="str">
        <f>"004304"</f>
        <v>0</v>
      </c>
      <c r="C8106" t="s">
        <v>4088</v>
      </c>
      <c r="D8106" t="s">
        <v>12607</v>
      </c>
      <c r="E8106" t="str">
        <f>"3700101015583"</f>
        <v>0</v>
      </c>
      <c r="F8106" t="str">
        <f>"001520"</f>
        <v>0</v>
      </c>
      <c r="G8106" t="s">
        <v>21</v>
      </c>
    </row>
    <row r="8107" spans="1:7">
      <c r="A8107">
        <v>8106</v>
      </c>
      <c r="B8107" t="str">
        <f>"006282"</f>
        <v>0</v>
      </c>
      <c r="C8107" t="s">
        <v>12608</v>
      </c>
      <c r="D8107" t="s">
        <v>12609</v>
      </c>
      <c r="E8107" t="str">
        <f>"3700101011669"</f>
        <v>0</v>
      </c>
      <c r="F8107" t="str">
        <f>"001520"</f>
        <v>0</v>
      </c>
      <c r="G8107" t="s">
        <v>21</v>
      </c>
    </row>
    <row r="8108" spans="1:7">
      <c r="A8108">
        <v>8107</v>
      </c>
      <c r="B8108" t="str">
        <f>"006439"</f>
        <v>0</v>
      </c>
      <c r="C8108" t="s">
        <v>12610</v>
      </c>
      <c r="D8108" t="s">
        <v>12611</v>
      </c>
      <c r="E8108" t="str">
        <f>"3700600062480"</f>
        <v>0</v>
      </c>
      <c r="F8108" t="str">
        <f>"001520"</f>
        <v>0</v>
      </c>
      <c r="G8108" t="s">
        <v>21</v>
      </c>
    </row>
    <row r="8109" spans="1:7">
      <c r="A8109">
        <v>8108</v>
      </c>
      <c r="B8109" t="str">
        <f>"009293"</f>
        <v>0</v>
      </c>
      <c r="C8109" t="s">
        <v>10198</v>
      </c>
      <c r="D8109" t="s">
        <v>12612</v>
      </c>
      <c r="E8109" t="str">
        <f>"3760100310590"</f>
        <v>0</v>
      </c>
      <c r="F8109" t="str">
        <f>"001520"</f>
        <v>0</v>
      </c>
      <c r="G8109" t="s">
        <v>21</v>
      </c>
    </row>
    <row r="8110" spans="1:7">
      <c r="A8110">
        <v>8109</v>
      </c>
      <c r="B8110" t="str">
        <f>"010539"</f>
        <v>0</v>
      </c>
      <c r="C8110" t="s">
        <v>7575</v>
      </c>
      <c r="D8110" t="s">
        <v>12613</v>
      </c>
      <c r="E8110" t="str">
        <f>"3709900177621"</f>
        <v>0</v>
      </c>
      <c r="F8110" t="str">
        <f>"001520"</f>
        <v>0</v>
      </c>
      <c r="G8110" t="s">
        <v>21</v>
      </c>
    </row>
    <row r="8111" spans="1:7">
      <c r="A8111">
        <v>8110</v>
      </c>
      <c r="B8111" t="str">
        <f>"011563"</f>
        <v>0</v>
      </c>
      <c r="C8111" t="s">
        <v>104</v>
      </c>
      <c r="D8111" t="s">
        <v>12614</v>
      </c>
      <c r="E8111" t="str">
        <f>"3630100357406"</f>
        <v>0</v>
      </c>
      <c r="F8111" t="str">
        <f>"001520"</f>
        <v>0</v>
      </c>
      <c r="G8111" t="s">
        <v>21</v>
      </c>
    </row>
    <row r="8112" spans="1:7">
      <c r="A8112">
        <v>8111</v>
      </c>
      <c r="B8112" t="str">
        <f>"012881"</f>
        <v>0</v>
      </c>
      <c r="C8112" t="s">
        <v>4681</v>
      </c>
      <c r="D8112" t="s">
        <v>7559</v>
      </c>
      <c r="E8112" t="str">
        <f>"3700100321184"</f>
        <v>0</v>
      </c>
      <c r="F8112" t="str">
        <f>"001520"</f>
        <v>0</v>
      </c>
      <c r="G8112" t="s">
        <v>21</v>
      </c>
    </row>
    <row r="8113" spans="1:7">
      <c r="A8113">
        <v>8112</v>
      </c>
      <c r="B8113" t="str">
        <f>"015554"</f>
        <v>0</v>
      </c>
      <c r="C8113" t="s">
        <v>2216</v>
      </c>
      <c r="D8113" t="s">
        <v>12615</v>
      </c>
      <c r="E8113" t="str">
        <f>"3700100300403"</f>
        <v>0</v>
      </c>
      <c r="F8113" t="str">
        <f>"001520"</f>
        <v>0</v>
      </c>
      <c r="G8113" t="s">
        <v>21</v>
      </c>
    </row>
    <row r="8114" spans="1:7">
      <c r="A8114">
        <v>8113</v>
      </c>
      <c r="B8114" t="str">
        <f>"015786"</f>
        <v>0</v>
      </c>
      <c r="C8114" t="s">
        <v>12616</v>
      </c>
      <c r="D8114" t="s">
        <v>6556</v>
      </c>
      <c r="E8114" t="str">
        <f>"3101501499355"</f>
        <v>0</v>
      </c>
      <c r="F8114" t="str">
        <f>"001520"</f>
        <v>0</v>
      </c>
      <c r="G8114" t="s">
        <v>21</v>
      </c>
    </row>
    <row r="8115" spans="1:7">
      <c r="A8115">
        <v>8114</v>
      </c>
      <c r="B8115" t="str">
        <f>"015789"</f>
        <v>0</v>
      </c>
      <c r="C8115" t="s">
        <v>12617</v>
      </c>
      <c r="D8115" t="s">
        <v>12618</v>
      </c>
      <c r="E8115" t="str">
        <f>"3700100550400"</f>
        <v>0</v>
      </c>
      <c r="F8115" t="str">
        <f>"001520"</f>
        <v>0</v>
      </c>
      <c r="G8115" t="s">
        <v>21</v>
      </c>
    </row>
    <row r="8116" spans="1:7">
      <c r="A8116">
        <v>8115</v>
      </c>
      <c r="B8116" t="str">
        <f>"016823"</f>
        <v>0</v>
      </c>
      <c r="C8116" t="s">
        <v>587</v>
      </c>
      <c r="D8116" t="s">
        <v>12619</v>
      </c>
      <c r="E8116" t="str">
        <f>"3700100741205"</f>
        <v>0</v>
      </c>
      <c r="F8116" t="str">
        <f>"001520"</f>
        <v>0</v>
      </c>
      <c r="G8116" t="s">
        <v>21</v>
      </c>
    </row>
    <row r="8117" spans="1:7">
      <c r="A8117">
        <v>8116</v>
      </c>
      <c r="B8117" t="str">
        <f>"018951"</f>
        <v>0</v>
      </c>
      <c r="C8117" t="s">
        <v>2417</v>
      </c>
      <c r="D8117" t="s">
        <v>12620</v>
      </c>
      <c r="E8117" t="str">
        <f>"3700500758130"</f>
        <v>0</v>
      </c>
      <c r="F8117" t="str">
        <f>"001520"</f>
        <v>0</v>
      </c>
      <c r="G8117" t="s">
        <v>21</v>
      </c>
    </row>
    <row r="8118" spans="1:7">
      <c r="A8118">
        <v>8117</v>
      </c>
      <c r="B8118" t="str">
        <f>"019492"</f>
        <v>0</v>
      </c>
      <c r="C8118" t="s">
        <v>12621</v>
      </c>
      <c r="D8118" t="s">
        <v>12622</v>
      </c>
      <c r="E8118" t="str">
        <f>"3700700492184"</f>
        <v>0</v>
      </c>
      <c r="F8118" t="str">
        <f>"001520"</f>
        <v>0</v>
      </c>
      <c r="G8118" t="s">
        <v>21</v>
      </c>
    </row>
    <row r="8119" spans="1:7">
      <c r="A8119">
        <v>8118</v>
      </c>
      <c r="B8119" t="str">
        <f>"022984"</f>
        <v>0</v>
      </c>
      <c r="C8119" t="s">
        <v>12623</v>
      </c>
      <c r="D8119" t="s">
        <v>12624</v>
      </c>
      <c r="E8119" t="str">
        <f>"1709900042508"</f>
        <v>0</v>
      </c>
      <c r="F8119" t="str">
        <f>"001520"</f>
        <v>0</v>
      </c>
      <c r="G8119" t="s">
        <v>21</v>
      </c>
    </row>
    <row r="8120" spans="1:7">
      <c r="A8120">
        <v>8119</v>
      </c>
      <c r="B8120" t="str">
        <f>"001385"</f>
        <v>0</v>
      </c>
      <c r="C8120" t="s">
        <v>2648</v>
      </c>
      <c r="D8120" t="s">
        <v>12625</v>
      </c>
      <c r="E8120" t="str">
        <f>"3700100303577"</f>
        <v>0</v>
      </c>
      <c r="F8120" t="str">
        <f>"001520"</f>
        <v>0</v>
      </c>
      <c r="G8120" t="s">
        <v>21</v>
      </c>
    </row>
    <row r="8121" spans="1:7">
      <c r="A8121">
        <v>8120</v>
      </c>
      <c r="B8121" t="str">
        <f>"009061"</f>
        <v>0</v>
      </c>
      <c r="C8121" t="s">
        <v>4401</v>
      </c>
      <c r="D8121" t="s">
        <v>12626</v>
      </c>
      <c r="E8121" t="str">
        <f>"3709900358609"</f>
        <v>0</v>
      </c>
      <c r="F8121" t="str">
        <f>"001520"</f>
        <v>0</v>
      </c>
      <c r="G8121" t="s">
        <v>21</v>
      </c>
    </row>
    <row r="8122" spans="1:7">
      <c r="A8122">
        <v>8121</v>
      </c>
      <c r="B8122" t="str">
        <f>"017632"</f>
        <v>0</v>
      </c>
      <c r="C8122" t="s">
        <v>12627</v>
      </c>
      <c r="D8122" t="s">
        <v>12628</v>
      </c>
      <c r="E8122" t="str">
        <f>"3700100303534"</f>
        <v>0</v>
      </c>
      <c r="F8122" t="str">
        <f>"001520"</f>
        <v>0</v>
      </c>
      <c r="G8122" t="s">
        <v>21</v>
      </c>
    </row>
    <row r="8123" spans="1:7">
      <c r="A8123">
        <v>8122</v>
      </c>
      <c r="B8123" t="str">
        <f>"000370"</f>
        <v>0</v>
      </c>
      <c r="C8123" t="s">
        <v>32</v>
      </c>
      <c r="D8123" t="s">
        <v>12629</v>
      </c>
      <c r="E8123" t="str">
        <f>"3700100305090"</f>
        <v>0</v>
      </c>
      <c r="F8123" t="str">
        <f>"001520"</f>
        <v>0</v>
      </c>
      <c r="G8123" t="s">
        <v>21</v>
      </c>
    </row>
    <row r="8124" spans="1:7">
      <c r="A8124">
        <v>8123</v>
      </c>
      <c r="B8124" t="str">
        <f>"026525"</f>
        <v>0</v>
      </c>
      <c r="C8124" t="s">
        <v>12630</v>
      </c>
      <c r="D8124" t="s">
        <v>12631</v>
      </c>
      <c r="E8124" t="str">
        <f>"1100500210575"</f>
        <v>0</v>
      </c>
      <c r="F8124" t="str">
        <f>"001520"</f>
        <v>0</v>
      </c>
      <c r="G8124" t="s">
        <v>21</v>
      </c>
    </row>
    <row r="8125" spans="1:7">
      <c r="A8125">
        <v>8124</v>
      </c>
      <c r="B8125" t="str">
        <f>"021951"</f>
        <v>0</v>
      </c>
      <c r="C8125" t="s">
        <v>48</v>
      </c>
      <c r="D8125" t="s">
        <v>12632</v>
      </c>
      <c r="E8125" t="str">
        <f>"3571100247831"</f>
        <v>0</v>
      </c>
      <c r="F8125" t="str">
        <f>"001520"</f>
        <v>0</v>
      </c>
      <c r="G8125" t="s">
        <v>21</v>
      </c>
    </row>
    <row r="8126" spans="1:7">
      <c r="A8126">
        <v>8125</v>
      </c>
      <c r="B8126" t="str">
        <f>"024268"</f>
        <v>0</v>
      </c>
      <c r="C8126" t="s">
        <v>12633</v>
      </c>
      <c r="D8126" t="s">
        <v>12634</v>
      </c>
      <c r="E8126" t="str">
        <f>"1101499094601"</f>
        <v>0</v>
      </c>
      <c r="F8126" t="str">
        <f>"001520"</f>
        <v>0</v>
      </c>
      <c r="G8126" t="s">
        <v>21</v>
      </c>
    </row>
    <row r="8127" spans="1:7">
      <c r="A8127">
        <v>8126</v>
      </c>
      <c r="B8127" t="str">
        <f>"020467"</f>
        <v>0</v>
      </c>
      <c r="C8127" t="s">
        <v>12635</v>
      </c>
      <c r="D8127" t="s">
        <v>12636</v>
      </c>
      <c r="E8127" t="str">
        <f>"3160101767921"</f>
        <v>0</v>
      </c>
      <c r="F8127" t="str">
        <f>"001520"</f>
        <v>0</v>
      </c>
      <c r="G8127" t="s">
        <v>21</v>
      </c>
    </row>
    <row r="8128" spans="1:7">
      <c r="A8128">
        <v>8127</v>
      </c>
      <c r="B8128" t="str">
        <f>"020640"</f>
        <v>0</v>
      </c>
      <c r="C8128" t="s">
        <v>7625</v>
      </c>
      <c r="D8128" t="s">
        <v>12637</v>
      </c>
      <c r="E8128" t="str">
        <f>"3169700076672"</f>
        <v>0</v>
      </c>
      <c r="F8128" t="str">
        <f>"001520"</f>
        <v>0</v>
      </c>
      <c r="G8128" t="s">
        <v>21</v>
      </c>
    </row>
    <row r="8129" spans="1:7">
      <c r="A8129">
        <v>8128</v>
      </c>
      <c r="B8129" t="str">
        <f>"023740"</f>
        <v>0</v>
      </c>
      <c r="C8129" t="s">
        <v>3101</v>
      </c>
      <c r="D8129" t="s">
        <v>12638</v>
      </c>
      <c r="E8129" t="str">
        <f>"1189900007554"</f>
        <v>0</v>
      </c>
      <c r="F8129" t="str">
        <f>"001520"</f>
        <v>0</v>
      </c>
      <c r="G8129" t="s">
        <v>21</v>
      </c>
    </row>
    <row r="8130" spans="1:7">
      <c r="A8130">
        <v>8129</v>
      </c>
      <c r="B8130" t="str">
        <f>"026782"</f>
        <v>0</v>
      </c>
      <c r="C8130" t="s">
        <v>12639</v>
      </c>
      <c r="D8130" t="s">
        <v>12640</v>
      </c>
      <c r="E8130" t="str">
        <f>"1820500069141"</f>
        <v>0</v>
      </c>
      <c r="F8130" t="str">
        <f>"001520"</f>
        <v>0</v>
      </c>
      <c r="G8130" t="s">
        <v>21</v>
      </c>
    </row>
    <row r="8131" spans="1:7">
      <c r="A8131">
        <v>8130</v>
      </c>
      <c r="B8131" t="str">
        <f>"022210"</f>
        <v>0</v>
      </c>
      <c r="C8131" t="s">
        <v>12641</v>
      </c>
      <c r="D8131" t="s">
        <v>12642</v>
      </c>
      <c r="E8131" t="str">
        <f>"4412100002502"</f>
        <v>0</v>
      </c>
      <c r="F8131" t="str">
        <f>"001520"</f>
        <v>0</v>
      </c>
      <c r="G8131" t="s">
        <v>21</v>
      </c>
    </row>
    <row r="8132" spans="1:7">
      <c r="A8132">
        <v>8131</v>
      </c>
      <c r="B8132" t="str">
        <f>"010819"</f>
        <v>0</v>
      </c>
      <c r="C8132" t="s">
        <v>12643</v>
      </c>
      <c r="D8132" t="s">
        <v>12644</v>
      </c>
      <c r="E8132" t="str">
        <f>"3101502098508"</f>
        <v>0</v>
      </c>
      <c r="F8132" t="str">
        <f>"001520"</f>
        <v>0</v>
      </c>
      <c r="G8132" t="s">
        <v>21</v>
      </c>
    </row>
    <row r="8133" spans="1:7">
      <c r="A8133">
        <v>8132</v>
      </c>
      <c r="B8133" t="str">
        <f>"012086"</f>
        <v>0</v>
      </c>
      <c r="C8133" t="s">
        <v>9327</v>
      </c>
      <c r="D8133" t="s">
        <v>12645</v>
      </c>
      <c r="E8133" t="str">
        <f>"3800101663941"</f>
        <v>0</v>
      </c>
      <c r="F8133" t="str">
        <f>"001520"</f>
        <v>0</v>
      </c>
      <c r="G8133" t="s">
        <v>21</v>
      </c>
    </row>
    <row r="8134" spans="1:7">
      <c r="A8134">
        <v>8133</v>
      </c>
      <c r="B8134" t="str">
        <f>"012854"</f>
        <v>0</v>
      </c>
      <c r="C8134" t="s">
        <v>12646</v>
      </c>
      <c r="D8134" t="s">
        <v>12647</v>
      </c>
      <c r="E8134" t="str">
        <f>"3700500205572"</f>
        <v>0</v>
      </c>
      <c r="F8134" t="str">
        <f>"001520"</f>
        <v>0</v>
      </c>
      <c r="G8134" t="s">
        <v>21</v>
      </c>
    </row>
    <row r="8135" spans="1:7">
      <c r="A8135">
        <v>8134</v>
      </c>
      <c r="B8135" t="str">
        <f>"013983"</f>
        <v>0</v>
      </c>
      <c r="C8135" t="s">
        <v>3554</v>
      </c>
      <c r="D8135" t="s">
        <v>12648</v>
      </c>
      <c r="E8135" t="str">
        <f>"3840800289711"</f>
        <v>0</v>
      </c>
      <c r="F8135" t="str">
        <f>"001520"</f>
        <v>0</v>
      </c>
      <c r="G8135" t="s">
        <v>21</v>
      </c>
    </row>
    <row r="8136" spans="1:7">
      <c r="A8136">
        <v>8135</v>
      </c>
      <c r="B8136" t="str">
        <f>"015321"</f>
        <v>0</v>
      </c>
      <c r="C8136" t="s">
        <v>4633</v>
      </c>
      <c r="D8136" t="s">
        <v>12649</v>
      </c>
      <c r="E8136" t="str">
        <f>"3102000351011"</f>
        <v>0</v>
      </c>
      <c r="F8136" t="str">
        <f>"001520"</f>
        <v>0</v>
      </c>
      <c r="G8136" t="s">
        <v>21</v>
      </c>
    </row>
    <row r="8137" spans="1:7">
      <c r="A8137">
        <v>8136</v>
      </c>
      <c r="B8137" t="str">
        <f>"015454"</f>
        <v>0</v>
      </c>
      <c r="C8137" t="s">
        <v>12650</v>
      </c>
      <c r="D8137" t="s">
        <v>12651</v>
      </c>
      <c r="E8137" t="str">
        <f>"3720500525313"</f>
        <v>0</v>
      </c>
      <c r="F8137" t="str">
        <f>"001520"</f>
        <v>0</v>
      </c>
      <c r="G8137" t="s">
        <v>21</v>
      </c>
    </row>
    <row r="8138" spans="1:7">
      <c r="A8138">
        <v>8137</v>
      </c>
      <c r="B8138" t="str">
        <f>"015455"</f>
        <v>0</v>
      </c>
      <c r="C8138" t="s">
        <v>4305</v>
      </c>
      <c r="D8138" t="s">
        <v>12652</v>
      </c>
      <c r="E8138" t="str">
        <f>"3800101607129"</f>
        <v>0</v>
      </c>
      <c r="F8138" t="str">
        <f>"001520"</f>
        <v>0</v>
      </c>
      <c r="G8138" t="s">
        <v>21</v>
      </c>
    </row>
    <row r="8139" spans="1:7">
      <c r="A8139">
        <v>8138</v>
      </c>
      <c r="B8139" t="str">
        <f>"015516"</f>
        <v>0</v>
      </c>
      <c r="C8139" t="s">
        <v>5091</v>
      </c>
      <c r="D8139" t="s">
        <v>12653</v>
      </c>
      <c r="E8139" t="str">
        <f>"3700100316989"</f>
        <v>0</v>
      </c>
      <c r="F8139" t="str">
        <f>"001520"</f>
        <v>0</v>
      </c>
      <c r="G8139" t="s">
        <v>21</v>
      </c>
    </row>
    <row r="8140" spans="1:7">
      <c r="A8140">
        <v>8139</v>
      </c>
      <c r="B8140" t="str">
        <f>"016211"</f>
        <v>0</v>
      </c>
      <c r="C8140" t="s">
        <v>370</v>
      </c>
      <c r="D8140" t="s">
        <v>12654</v>
      </c>
      <c r="E8140" t="str">
        <f>"3709900086056"</f>
        <v>0</v>
      </c>
      <c r="F8140" t="str">
        <f>"001520"</f>
        <v>0</v>
      </c>
      <c r="G8140" t="s">
        <v>21</v>
      </c>
    </row>
    <row r="8141" spans="1:7">
      <c r="A8141">
        <v>8140</v>
      </c>
      <c r="B8141" t="str">
        <f>"016286"</f>
        <v>0</v>
      </c>
      <c r="C8141" t="s">
        <v>7127</v>
      </c>
      <c r="D8141" t="s">
        <v>12655</v>
      </c>
      <c r="E8141" t="str">
        <f>"3700700201309"</f>
        <v>0</v>
      </c>
      <c r="F8141" t="str">
        <f>"001520"</f>
        <v>0</v>
      </c>
      <c r="G8141" t="s">
        <v>21</v>
      </c>
    </row>
    <row r="8142" spans="1:7">
      <c r="A8142">
        <v>8141</v>
      </c>
      <c r="B8142" t="str">
        <f>"016707"</f>
        <v>0</v>
      </c>
      <c r="C8142" t="s">
        <v>305</v>
      </c>
      <c r="D8142" t="s">
        <v>12656</v>
      </c>
      <c r="E8142" t="str">
        <f>"3160101592608"</f>
        <v>0</v>
      </c>
      <c r="F8142" t="str">
        <f>"001520"</f>
        <v>0</v>
      </c>
      <c r="G8142" t="s">
        <v>21</v>
      </c>
    </row>
    <row r="8143" spans="1:7">
      <c r="A8143">
        <v>8142</v>
      </c>
      <c r="B8143" t="str">
        <f>"017631"</f>
        <v>0</v>
      </c>
      <c r="C8143" t="s">
        <v>1162</v>
      </c>
      <c r="D8143" t="s">
        <v>12657</v>
      </c>
      <c r="E8143" t="str">
        <f>"3100502143383"</f>
        <v>0</v>
      </c>
      <c r="F8143" t="str">
        <f>"001520"</f>
        <v>0</v>
      </c>
      <c r="G8143" t="s">
        <v>21</v>
      </c>
    </row>
    <row r="8144" spans="1:7">
      <c r="A8144">
        <v>8143</v>
      </c>
      <c r="B8144" t="str">
        <f>"017944"</f>
        <v>0</v>
      </c>
      <c r="C8144" t="s">
        <v>12658</v>
      </c>
      <c r="D8144" t="s">
        <v>2926</v>
      </c>
      <c r="E8144" t="str">
        <f>"3801200259057"</f>
        <v>0</v>
      </c>
      <c r="F8144" t="str">
        <f>"001520"</f>
        <v>0</v>
      </c>
      <c r="G8144" t="s">
        <v>21</v>
      </c>
    </row>
    <row r="8145" spans="1:7">
      <c r="A8145">
        <v>8144</v>
      </c>
      <c r="B8145" t="str">
        <f>"018165"</f>
        <v>0</v>
      </c>
      <c r="C8145" t="s">
        <v>7241</v>
      </c>
      <c r="D8145" t="s">
        <v>12659</v>
      </c>
      <c r="E8145" t="str">
        <f>"3959900428010"</f>
        <v>0</v>
      </c>
      <c r="F8145" t="str">
        <f>"001520"</f>
        <v>0</v>
      </c>
      <c r="G8145" t="s">
        <v>21</v>
      </c>
    </row>
    <row r="8146" spans="1:7">
      <c r="A8146">
        <v>8145</v>
      </c>
      <c r="B8146" t="str">
        <f>"018166"</f>
        <v>0</v>
      </c>
      <c r="C8146" t="s">
        <v>2437</v>
      </c>
      <c r="D8146" t="s">
        <v>12660</v>
      </c>
      <c r="E8146" t="str">
        <f>"3930100622808"</f>
        <v>0</v>
      </c>
      <c r="F8146" t="str">
        <f>"001520"</f>
        <v>0</v>
      </c>
      <c r="G8146" t="s">
        <v>21</v>
      </c>
    </row>
    <row r="8147" spans="1:7">
      <c r="A8147">
        <v>8146</v>
      </c>
      <c r="B8147" t="str">
        <f>"018234"</f>
        <v>0</v>
      </c>
      <c r="C8147" t="s">
        <v>12661</v>
      </c>
      <c r="D8147" t="s">
        <v>12662</v>
      </c>
      <c r="E8147" t="str">
        <f>"3700700680568"</f>
        <v>0</v>
      </c>
      <c r="F8147" t="str">
        <f>"001520"</f>
        <v>0</v>
      </c>
      <c r="G8147" t="s">
        <v>21</v>
      </c>
    </row>
    <row r="8148" spans="1:7">
      <c r="A8148">
        <v>8147</v>
      </c>
      <c r="B8148" t="str">
        <f>"018280"</f>
        <v>0</v>
      </c>
      <c r="C8148" t="s">
        <v>1162</v>
      </c>
      <c r="D8148" t="s">
        <v>12612</v>
      </c>
      <c r="E8148" t="str">
        <f>"5700100005947"</f>
        <v>0</v>
      </c>
      <c r="F8148" t="str">
        <f>"001520"</f>
        <v>0</v>
      </c>
      <c r="G8148" t="s">
        <v>21</v>
      </c>
    </row>
    <row r="8149" spans="1:7">
      <c r="A8149">
        <v>8148</v>
      </c>
      <c r="B8149" t="str">
        <f>"018921"</f>
        <v>0</v>
      </c>
      <c r="C8149" t="s">
        <v>12663</v>
      </c>
      <c r="D8149" t="s">
        <v>12664</v>
      </c>
      <c r="E8149" t="str">
        <f>"3700500365120"</f>
        <v>0</v>
      </c>
      <c r="F8149" t="str">
        <f>"001520"</f>
        <v>0</v>
      </c>
      <c r="G8149" t="s">
        <v>21</v>
      </c>
    </row>
    <row r="8150" spans="1:7">
      <c r="A8150">
        <v>8149</v>
      </c>
      <c r="B8150" t="str">
        <f>"019491"</f>
        <v>0</v>
      </c>
      <c r="C8150" t="s">
        <v>6842</v>
      </c>
      <c r="D8150" t="s">
        <v>3923</v>
      </c>
      <c r="E8150" t="str">
        <f>"3760700077390"</f>
        <v>0</v>
      </c>
      <c r="F8150" t="str">
        <f>"001520"</f>
        <v>0</v>
      </c>
      <c r="G8150" t="s">
        <v>21</v>
      </c>
    </row>
    <row r="8151" spans="1:7">
      <c r="A8151">
        <v>8150</v>
      </c>
      <c r="B8151" t="str">
        <f>"019496"</f>
        <v>0</v>
      </c>
      <c r="C8151" t="s">
        <v>488</v>
      </c>
      <c r="D8151" t="s">
        <v>12665</v>
      </c>
      <c r="E8151" t="str">
        <f>"3700700372791"</f>
        <v>0</v>
      </c>
      <c r="F8151" t="str">
        <f>"001520"</f>
        <v>0</v>
      </c>
      <c r="G8151" t="s">
        <v>21</v>
      </c>
    </row>
    <row r="8152" spans="1:7">
      <c r="A8152">
        <v>8151</v>
      </c>
      <c r="B8152" t="str">
        <f>"019686"</f>
        <v>0</v>
      </c>
      <c r="C8152" t="s">
        <v>2331</v>
      </c>
      <c r="D8152" t="s">
        <v>12666</v>
      </c>
      <c r="E8152" t="str">
        <f>"3700100206920"</f>
        <v>0</v>
      </c>
      <c r="F8152" t="str">
        <f>"001520"</f>
        <v>0</v>
      </c>
      <c r="G8152" t="s">
        <v>21</v>
      </c>
    </row>
    <row r="8153" spans="1:7">
      <c r="A8153">
        <v>8152</v>
      </c>
      <c r="B8153" t="str">
        <f>"020400"</f>
        <v>0</v>
      </c>
      <c r="C8153" t="s">
        <v>12667</v>
      </c>
      <c r="D8153" t="s">
        <v>12668</v>
      </c>
      <c r="E8153" t="str">
        <f>"3700100006637"</f>
        <v>0</v>
      </c>
      <c r="F8153" t="str">
        <f>"001520"</f>
        <v>0</v>
      </c>
      <c r="G8153" t="s">
        <v>21</v>
      </c>
    </row>
    <row r="8154" spans="1:7">
      <c r="A8154">
        <v>8153</v>
      </c>
      <c r="B8154" t="str">
        <f>"020585"</f>
        <v>0</v>
      </c>
      <c r="C8154" t="s">
        <v>12669</v>
      </c>
      <c r="D8154" t="s">
        <v>4697</v>
      </c>
      <c r="E8154" t="str">
        <f>"3920600276372"</f>
        <v>0</v>
      </c>
      <c r="F8154" t="str">
        <f>"001520"</f>
        <v>0</v>
      </c>
      <c r="G8154" t="s">
        <v>21</v>
      </c>
    </row>
    <row r="8155" spans="1:7">
      <c r="A8155">
        <v>8154</v>
      </c>
      <c r="B8155" t="str">
        <f>"020925"</f>
        <v>0</v>
      </c>
      <c r="C8155" t="s">
        <v>12670</v>
      </c>
      <c r="D8155" t="s">
        <v>12671</v>
      </c>
      <c r="E8155" t="str">
        <f>"3601200374451"</f>
        <v>0</v>
      </c>
      <c r="F8155" t="str">
        <f>"001520"</f>
        <v>0</v>
      </c>
      <c r="G8155" t="s">
        <v>21</v>
      </c>
    </row>
    <row r="8156" spans="1:7">
      <c r="A8156">
        <v>8155</v>
      </c>
      <c r="B8156" t="str">
        <f>"021303"</f>
        <v>0</v>
      </c>
      <c r="C8156" t="s">
        <v>9390</v>
      </c>
      <c r="D8156" t="s">
        <v>12672</v>
      </c>
      <c r="E8156" t="str">
        <f>"3709800221237"</f>
        <v>0</v>
      </c>
      <c r="F8156" t="str">
        <f>"001520"</f>
        <v>0</v>
      </c>
      <c r="G8156" t="s">
        <v>21</v>
      </c>
    </row>
    <row r="8157" spans="1:7">
      <c r="A8157">
        <v>8156</v>
      </c>
      <c r="B8157" t="str">
        <f>"021706"</f>
        <v>0</v>
      </c>
      <c r="C8157" t="s">
        <v>12673</v>
      </c>
      <c r="D8157" t="s">
        <v>4663</v>
      </c>
      <c r="E8157" t="str">
        <f>"3700500175941"</f>
        <v>0</v>
      </c>
      <c r="F8157" t="str">
        <f>"001520"</f>
        <v>0</v>
      </c>
      <c r="G8157" t="s">
        <v>21</v>
      </c>
    </row>
    <row r="8158" spans="1:7">
      <c r="A8158">
        <v>8157</v>
      </c>
      <c r="B8158" t="str">
        <f>"021947"</f>
        <v>0</v>
      </c>
      <c r="C8158" t="s">
        <v>12674</v>
      </c>
      <c r="D8158" t="s">
        <v>12675</v>
      </c>
      <c r="E8158" t="str">
        <f>"3100100705069"</f>
        <v>0</v>
      </c>
      <c r="F8158" t="str">
        <f>"001520"</f>
        <v>0</v>
      </c>
      <c r="G8158" t="s">
        <v>21</v>
      </c>
    </row>
    <row r="8159" spans="1:7">
      <c r="A8159">
        <v>8158</v>
      </c>
      <c r="B8159" t="str">
        <f>"021972"</f>
        <v>0</v>
      </c>
      <c r="C8159" t="s">
        <v>12676</v>
      </c>
      <c r="D8159" t="s">
        <v>5081</v>
      </c>
      <c r="E8159" t="str">
        <f>"5700190000885"</f>
        <v>0</v>
      </c>
      <c r="F8159" t="str">
        <f>"001520"</f>
        <v>0</v>
      </c>
      <c r="G8159" t="s">
        <v>21</v>
      </c>
    </row>
    <row r="8160" spans="1:7">
      <c r="A8160">
        <v>8159</v>
      </c>
      <c r="B8160" t="str">
        <f>"022048"</f>
        <v>0</v>
      </c>
      <c r="C8160" t="s">
        <v>12677</v>
      </c>
      <c r="D8160" t="s">
        <v>12678</v>
      </c>
      <c r="E8160" t="str">
        <f>"3700200262511"</f>
        <v>0</v>
      </c>
      <c r="F8160" t="str">
        <f>"001520"</f>
        <v>0</v>
      </c>
      <c r="G8160" t="s">
        <v>21</v>
      </c>
    </row>
    <row r="8161" spans="1:7">
      <c r="A8161">
        <v>8160</v>
      </c>
      <c r="B8161" t="str">
        <f>"022109"</f>
        <v>0</v>
      </c>
      <c r="C8161" t="s">
        <v>3704</v>
      </c>
      <c r="D8161" t="s">
        <v>12679</v>
      </c>
      <c r="E8161" t="str">
        <f>"3900700257248"</f>
        <v>0</v>
      </c>
      <c r="F8161" t="str">
        <f>"001520"</f>
        <v>0</v>
      </c>
      <c r="G8161" t="s">
        <v>21</v>
      </c>
    </row>
    <row r="8162" spans="1:7">
      <c r="A8162">
        <v>8161</v>
      </c>
      <c r="B8162" t="str">
        <f>"022292"</f>
        <v>0</v>
      </c>
      <c r="C8162" t="s">
        <v>12680</v>
      </c>
      <c r="D8162" t="s">
        <v>12681</v>
      </c>
      <c r="E8162" t="str">
        <f>"1709900002239"</f>
        <v>0</v>
      </c>
      <c r="F8162" t="str">
        <f>"001520"</f>
        <v>0</v>
      </c>
      <c r="G8162" t="s">
        <v>21</v>
      </c>
    </row>
    <row r="8163" spans="1:7">
      <c r="A8163">
        <v>8162</v>
      </c>
      <c r="B8163" t="str">
        <f>"022482"</f>
        <v>0</v>
      </c>
      <c r="C8163" t="s">
        <v>2722</v>
      </c>
      <c r="D8163" t="s">
        <v>6985</v>
      </c>
      <c r="E8163" t="str">
        <f>"3700101028049"</f>
        <v>0</v>
      </c>
      <c r="F8163" t="str">
        <f>"001520"</f>
        <v>0</v>
      </c>
      <c r="G8163" t="s">
        <v>21</v>
      </c>
    </row>
    <row r="8164" spans="1:7">
      <c r="A8164">
        <v>8163</v>
      </c>
      <c r="B8164" t="str">
        <f>"022571"</f>
        <v>0</v>
      </c>
      <c r="C8164" t="s">
        <v>7125</v>
      </c>
      <c r="D8164" t="s">
        <v>12682</v>
      </c>
      <c r="E8164" t="str">
        <f>"1709900159197"</f>
        <v>0</v>
      </c>
      <c r="F8164" t="str">
        <f>"001520"</f>
        <v>0</v>
      </c>
      <c r="G8164" t="s">
        <v>21</v>
      </c>
    </row>
    <row r="8165" spans="1:7">
      <c r="A8165">
        <v>8164</v>
      </c>
      <c r="B8165" t="str">
        <f>"022622"</f>
        <v>0</v>
      </c>
      <c r="C8165" t="s">
        <v>12683</v>
      </c>
      <c r="D8165" t="s">
        <v>12684</v>
      </c>
      <c r="E8165" t="str">
        <f>"3700700201465"</f>
        <v>0</v>
      </c>
      <c r="F8165" t="str">
        <f>"001520"</f>
        <v>0</v>
      </c>
      <c r="G8165" t="s">
        <v>21</v>
      </c>
    </row>
    <row r="8166" spans="1:7">
      <c r="A8166">
        <v>8165</v>
      </c>
      <c r="B8166" t="str">
        <f>"022844"</f>
        <v>0</v>
      </c>
      <c r="C8166" t="s">
        <v>12685</v>
      </c>
      <c r="D8166" t="s">
        <v>12686</v>
      </c>
      <c r="E8166" t="str">
        <f>"1750200042701"</f>
        <v>0</v>
      </c>
      <c r="F8166" t="str">
        <f>"001520"</f>
        <v>0</v>
      </c>
      <c r="G8166" t="s">
        <v>21</v>
      </c>
    </row>
    <row r="8167" spans="1:7">
      <c r="A8167">
        <v>8166</v>
      </c>
      <c r="B8167" t="str">
        <f>"022846"</f>
        <v>0</v>
      </c>
      <c r="C8167" t="s">
        <v>10048</v>
      </c>
      <c r="D8167" t="s">
        <v>12687</v>
      </c>
      <c r="E8167" t="str">
        <f>"3700700530345"</f>
        <v>0</v>
      </c>
      <c r="F8167" t="str">
        <f>"001520"</f>
        <v>0</v>
      </c>
      <c r="G8167" t="s">
        <v>21</v>
      </c>
    </row>
    <row r="8168" spans="1:7">
      <c r="A8168">
        <v>8167</v>
      </c>
      <c r="B8168" t="str">
        <f>"023268"</f>
        <v>0</v>
      </c>
      <c r="C8168" t="s">
        <v>6342</v>
      </c>
      <c r="D8168" t="s">
        <v>12688</v>
      </c>
      <c r="E8168" t="str">
        <f>"1709800001656"</f>
        <v>0</v>
      </c>
      <c r="F8168" t="str">
        <f>"001520"</f>
        <v>0</v>
      </c>
      <c r="G8168" t="s">
        <v>21</v>
      </c>
    </row>
    <row r="8169" spans="1:7">
      <c r="A8169">
        <v>8168</v>
      </c>
      <c r="B8169" t="str">
        <f>"023639"</f>
        <v>0</v>
      </c>
      <c r="C8169" t="s">
        <v>12689</v>
      </c>
      <c r="D8169" t="s">
        <v>12690</v>
      </c>
      <c r="E8169" t="str">
        <f>"3180100157096"</f>
        <v>0</v>
      </c>
      <c r="F8169" t="str">
        <f>"001520"</f>
        <v>0</v>
      </c>
      <c r="G8169" t="s">
        <v>21</v>
      </c>
    </row>
    <row r="8170" spans="1:7">
      <c r="A8170">
        <v>8169</v>
      </c>
      <c r="B8170" t="str">
        <f>"023683"</f>
        <v>0</v>
      </c>
      <c r="C8170" t="s">
        <v>1697</v>
      </c>
      <c r="D8170" t="s">
        <v>6399</v>
      </c>
      <c r="E8170" t="str">
        <f>"3700100505641"</f>
        <v>0</v>
      </c>
      <c r="F8170" t="str">
        <f>"001520"</f>
        <v>0</v>
      </c>
      <c r="G8170" t="s">
        <v>21</v>
      </c>
    </row>
    <row r="8171" spans="1:7">
      <c r="A8171">
        <v>8170</v>
      </c>
      <c r="B8171" t="str">
        <f>"023809"</f>
        <v>0</v>
      </c>
      <c r="C8171" t="s">
        <v>12691</v>
      </c>
      <c r="D8171" t="s">
        <v>12692</v>
      </c>
      <c r="E8171" t="str">
        <f>"1700790004919"</f>
        <v>0</v>
      </c>
      <c r="F8171" t="str">
        <f>"001520"</f>
        <v>0</v>
      </c>
      <c r="G8171" t="s">
        <v>21</v>
      </c>
    </row>
    <row r="8172" spans="1:7">
      <c r="A8172">
        <v>8171</v>
      </c>
      <c r="B8172" t="str">
        <f>"024136"</f>
        <v>0</v>
      </c>
      <c r="C8172" t="s">
        <v>11467</v>
      </c>
      <c r="D8172" t="s">
        <v>12693</v>
      </c>
      <c r="E8172" t="str">
        <f>"1709800095499"</f>
        <v>0</v>
      </c>
      <c r="F8172" t="str">
        <f>"001520"</f>
        <v>0</v>
      </c>
      <c r="G8172" t="s">
        <v>21</v>
      </c>
    </row>
    <row r="8173" spans="1:7">
      <c r="A8173">
        <v>8172</v>
      </c>
      <c r="B8173" t="str">
        <f>"024318"</f>
        <v>0</v>
      </c>
      <c r="C8173" t="s">
        <v>1238</v>
      </c>
      <c r="D8173" t="s">
        <v>12694</v>
      </c>
      <c r="E8173" t="str">
        <f>"3700701055276"</f>
        <v>0</v>
      </c>
      <c r="F8173" t="str">
        <f>"001520"</f>
        <v>0</v>
      </c>
      <c r="G8173" t="s">
        <v>21</v>
      </c>
    </row>
    <row r="8174" spans="1:7">
      <c r="A8174">
        <v>8173</v>
      </c>
      <c r="B8174" t="str">
        <f>"024329"</f>
        <v>0</v>
      </c>
      <c r="C8174" t="s">
        <v>12695</v>
      </c>
      <c r="D8174" t="s">
        <v>12696</v>
      </c>
      <c r="E8174" t="str">
        <f>"1709900508035"</f>
        <v>0</v>
      </c>
      <c r="F8174" t="str">
        <f>"001520"</f>
        <v>0</v>
      </c>
      <c r="G8174" t="s">
        <v>21</v>
      </c>
    </row>
    <row r="8175" spans="1:7">
      <c r="A8175">
        <v>8174</v>
      </c>
      <c r="B8175" t="str">
        <f>"024850"</f>
        <v>0</v>
      </c>
      <c r="C8175" t="s">
        <v>5094</v>
      </c>
      <c r="D8175" t="s">
        <v>12697</v>
      </c>
      <c r="E8175" t="str">
        <f>"3110400277933"</f>
        <v>0</v>
      </c>
      <c r="F8175" t="str">
        <f>"001520"</f>
        <v>0</v>
      </c>
      <c r="G8175" t="s">
        <v>21</v>
      </c>
    </row>
    <row r="8176" spans="1:7">
      <c r="A8176">
        <v>8175</v>
      </c>
      <c r="B8176" t="str">
        <f>"024958"</f>
        <v>0</v>
      </c>
      <c r="C8176" t="s">
        <v>12698</v>
      </c>
      <c r="D8176" t="s">
        <v>12699</v>
      </c>
      <c r="E8176" t="str">
        <f>"1700400035415"</f>
        <v>0</v>
      </c>
      <c r="F8176" t="str">
        <f>"001520"</f>
        <v>0</v>
      </c>
      <c r="G8176" t="s">
        <v>21</v>
      </c>
    </row>
    <row r="8177" spans="1:7">
      <c r="A8177">
        <v>8176</v>
      </c>
      <c r="B8177" t="str">
        <f>"024976"</f>
        <v>0</v>
      </c>
      <c r="C8177" t="s">
        <v>12700</v>
      </c>
      <c r="D8177" t="s">
        <v>12701</v>
      </c>
      <c r="E8177" t="str">
        <f>"3700700824667"</f>
        <v>0</v>
      </c>
      <c r="F8177" t="str">
        <f>"001520"</f>
        <v>0</v>
      </c>
      <c r="G8177" t="s">
        <v>21</v>
      </c>
    </row>
    <row r="8178" spans="1:7">
      <c r="A8178">
        <v>8177</v>
      </c>
      <c r="B8178" t="str">
        <f>"025132"</f>
        <v>0</v>
      </c>
      <c r="C8178" t="s">
        <v>12702</v>
      </c>
      <c r="D8178" t="s">
        <v>12703</v>
      </c>
      <c r="E8178" t="str">
        <f>"1101401585997"</f>
        <v>0</v>
      </c>
      <c r="F8178" t="str">
        <f>"001520"</f>
        <v>0</v>
      </c>
      <c r="G8178" t="s">
        <v>21</v>
      </c>
    </row>
    <row r="8179" spans="1:7">
      <c r="A8179">
        <v>8178</v>
      </c>
      <c r="B8179" t="str">
        <f>"025643"</f>
        <v>0</v>
      </c>
      <c r="C8179" t="s">
        <v>12704</v>
      </c>
      <c r="D8179" t="s">
        <v>12705</v>
      </c>
      <c r="E8179" t="str">
        <f>"1709900149264"</f>
        <v>0</v>
      </c>
      <c r="F8179" t="str">
        <f>"001520"</f>
        <v>0</v>
      </c>
      <c r="G8179" t="s">
        <v>21</v>
      </c>
    </row>
    <row r="8180" spans="1:7">
      <c r="A8180">
        <v>8179</v>
      </c>
      <c r="B8180" t="str">
        <f>"025947"</f>
        <v>0</v>
      </c>
      <c r="C8180" t="s">
        <v>12706</v>
      </c>
      <c r="D8180" t="s">
        <v>12707</v>
      </c>
      <c r="E8180" t="str">
        <f>"3700400131283"</f>
        <v>0</v>
      </c>
      <c r="F8180" t="str">
        <f>"001520"</f>
        <v>0</v>
      </c>
      <c r="G8180" t="s">
        <v>21</v>
      </c>
    </row>
    <row r="8181" spans="1:7">
      <c r="A8181">
        <v>8180</v>
      </c>
      <c r="B8181" t="str">
        <f>"026358"</f>
        <v>0</v>
      </c>
      <c r="C8181" t="s">
        <v>2149</v>
      </c>
      <c r="D8181" t="s">
        <v>2128</v>
      </c>
      <c r="E8181" t="str">
        <f>"1709900620200"</f>
        <v>0</v>
      </c>
      <c r="F8181" t="str">
        <f>"001520"</f>
        <v>0</v>
      </c>
      <c r="G8181" t="s">
        <v>21</v>
      </c>
    </row>
    <row r="8182" spans="1:7">
      <c r="A8182">
        <v>8181</v>
      </c>
      <c r="B8182" t="str">
        <f>"026620"</f>
        <v>0</v>
      </c>
      <c r="C8182" t="s">
        <v>1664</v>
      </c>
      <c r="D8182" t="s">
        <v>12708</v>
      </c>
      <c r="E8182" t="str">
        <f>"3700800261095"</f>
        <v>0</v>
      </c>
      <c r="F8182" t="str">
        <f>"001520"</f>
        <v>0</v>
      </c>
      <c r="G8182" t="s">
        <v>21</v>
      </c>
    </row>
    <row r="8183" spans="1:7">
      <c r="A8183">
        <v>8182</v>
      </c>
      <c r="B8183" t="str">
        <f>"026783"</f>
        <v>0</v>
      </c>
      <c r="C8183" t="s">
        <v>12709</v>
      </c>
      <c r="D8183" t="s">
        <v>12710</v>
      </c>
      <c r="E8183" t="str">
        <f>"1700400140103"</f>
        <v>0</v>
      </c>
      <c r="F8183" t="str">
        <f>"001520"</f>
        <v>0</v>
      </c>
      <c r="G8183" t="s">
        <v>21</v>
      </c>
    </row>
    <row r="8184" spans="1:7">
      <c r="A8184">
        <v>8183</v>
      </c>
      <c r="B8184" t="str">
        <f>"026811"</f>
        <v>0</v>
      </c>
      <c r="C8184" t="s">
        <v>3548</v>
      </c>
      <c r="D8184" t="s">
        <v>12711</v>
      </c>
      <c r="E8184" t="str">
        <f>"3930100098157"</f>
        <v>0</v>
      </c>
      <c r="F8184" t="str">
        <f>"001520"</f>
        <v>0</v>
      </c>
      <c r="G8184" t="s">
        <v>21</v>
      </c>
    </row>
    <row r="8185" spans="1:7">
      <c r="A8185">
        <v>8184</v>
      </c>
      <c r="B8185" t="str">
        <f>"026918"</f>
        <v>0</v>
      </c>
      <c r="C8185" t="s">
        <v>3486</v>
      </c>
      <c r="D8185" t="s">
        <v>12712</v>
      </c>
      <c r="E8185" t="str">
        <f>"3700100431991"</f>
        <v>0</v>
      </c>
      <c r="F8185" t="str">
        <f>"001520"</f>
        <v>0</v>
      </c>
      <c r="G8185" t="s">
        <v>21</v>
      </c>
    </row>
    <row r="8186" spans="1:7">
      <c r="A8186">
        <v>8185</v>
      </c>
      <c r="B8186" t="str">
        <f>"022455"</f>
        <v>0</v>
      </c>
      <c r="C8186" t="s">
        <v>1337</v>
      </c>
      <c r="D8186" t="s">
        <v>12713</v>
      </c>
      <c r="E8186" t="str">
        <f>"1710600005650"</f>
        <v>0</v>
      </c>
      <c r="F8186" t="str">
        <f>"001520"</f>
        <v>0</v>
      </c>
      <c r="G8186" t="s">
        <v>21</v>
      </c>
    </row>
    <row r="8187" spans="1:7">
      <c r="A8187">
        <v>8186</v>
      </c>
      <c r="B8187" t="str">
        <f>"026781"</f>
        <v>0</v>
      </c>
      <c r="C8187" t="s">
        <v>12714</v>
      </c>
      <c r="D8187" t="s">
        <v>93</v>
      </c>
      <c r="E8187" t="str">
        <f>"3710100060313"</f>
        <v>0</v>
      </c>
      <c r="F8187" t="str">
        <f>"001520"</f>
        <v>0</v>
      </c>
      <c r="G8187" t="s">
        <v>21</v>
      </c>
    </row>
    <row r="8188" spans="1:7">
      <c r="A8188">
        <v>8187</v>
      </c>
      <c r="B8188" t="str">
        <f>"021096"</f>
        <v>0</v>
      </c>
      <c r="C8188" t="s">
        <v>725</v>
      </c>
      <c r="D8188" t="s">
        <v>12715</v>
      </c>
      <c r="E8188" t="str">
        <f>"3260100327683"</f>
        <v>0</v>
      </c>
      <c r="F8188" t="str">
        <f>"001520"</f>
        <v>0</v>
      </c>
      <c r="G8188" t="s">
        <v>21</v>
      </c>
    </row>
    <row r="8189" spans="1:7">
      <c r="A8189">
        <v>8188</v>
      </c>
      <c r="B8189" t="str">
        <f>"026402"</f>
        <v>0</v>
      </c>
      <c r="C8189" t="s">
        <v>12716</v>
      </c>
      <c r="D8189" t="s">
        <v>12717</v>
      </c>
      <c r="E8189" t="str">
        <f>"1101700077942"</f>
        <v>0</v>
      </c>
      <c r="F8189" t="str">
        <f>"001520"</f>
        <v>0</v>
      </c>
      <c r="G8189" t="s">
        <v>21</v>
      </c>
    </row>
    <row r="8190" spans="1:7">
      <c r="A8190">
        <v>8189</v>
      </c>
      <c r="B8190" t="str">
        <f>"013317"</f>
        <v>0</v>
      </c>
      <c r="C8190" t="s">
        <v>12718</v>
      </c>
      <c r="D8190" t="s">
        <v>12719</v>
      </c>
      <c r="E8190" t="str">
        <f>"3730300044419"</f>
        <v>0</v>
      </c>
      <c r="F8190" t="str">
        <f>"001520"</f>
        <v>0</v>
      </c>
      <c r="G8190" t="s">
        <v>21</v>
      </c>
    </row>
    <row r="8191" spans="1:7">
      <c r="A8191">
        <v>8190</v>
      </c>
      <c r="B8191" t="str">
        <f>"016597"</f>
        <v>0</v>
      </c>
      <c r="C8191" t="s">
        <v>12720</v>
      </c>
      <c r="D8191" t="s">
        <v>12721</v>
      </c>
      <c r="E8191" t="str">
        <f>"3709900031707"</f>
        <v>0</v>
      </c>
      <c r="F8191" t="str">
        <f>"001520"</f>
        <v>0</v>
      </c>
      <c r="G8191" t="s">
        <v>21</v>
      </c>
    </row>
    <row r="8192" spans="1:7">
      <c r="A8192">
        <v>8191</v>
      </c>
      <c r="B8192" t="str">
        <f>"022755"</f>
        <v>0</v>
      </c>
      <c r="C8192" t="s">
        <v>12722</v>
      </c>
      <c r="D8192" t="s">
        <v>12723</v>
      </c>
      <c r="E8192" t="str">
        <f>"3730600644756"</f>
        <v>0</v>
      </c>
      <c r="F8192" t="str">
        <f>"001520"</f>
        <v>0</v>
      </c>
      <c r="G8192" t="s">
        <v>21</v>
      </c>
    </row>
    <row r="8193" spans="1:7">
      <c r="A8193">
        <v>8192</v>
      </c>
      <c r="B8193" t="str">
        <f>"024657"</f>
        <v>0</v>
      </c>
      <c r="C8193" t="s">
        <v>8675</v>
      </c>
      <c r="D8193" t="s">
        <v>12724</v>
      </c>
      <c r="E8193" t="str">
        <f>"3720900715772"</f>
        <v>0</v>
      </c>
      <c r="F8193" t="str">
        <f>"001520"</f>
        <v>0</v>
      </c>
      <c r="G8193" t="s">
        <v>21</v>
      </c>
    </row>
    <row r="8194" spans="1:7">
      <c r="A8194">
        <v>8193</v>
      </c>
      <c r="B8194" t="str">
        <f>"025644"</f>
        <v>0</v>
      </c>
      <c r="C8194" t="s">
        <v>12725</v>
      </c>
      <c r="D8194" t="s">
        <v>12726</v>
      </c>
      <c r="E8194" t="str">
        <f>"1739990007731"</f>
        <v>0</v>
      </c>
      <c r="F8194" t="str">
        <f>"001520"</f>
        <v>0</v>
      </c>
      <c r="G8194" t="s">
        <v>21</v>
      </c>
    </row>
    <row r="8195" spans="1:7">
      <c r="A8195">
        <v>8194</v>
      </c>
      <c r="B8195" t="str">
        <f>"026201"</f>
        <v>0</v>
      </c>
      <c r="C8195" t="s">
        <v>10532</v>
      </c>
      <c r="D8195" t="s">
        <v>12727</v>
      </c>
      <c r="E8195" t="str">
        <f>"1250100007135"</f>
        <v>0</v>
      </c>
      <c r="F8195" t="str">
        <f>"001520"</f>
        <v>0</v>
      </c>
      <c r="G8195" t="s">
        <v>21</v>
      </c>
    </row>
    <row r="8196" spans="1:7">
      <c r="A8196">
        <v>8195</v>
      </c>
      <c r="B8196" t="str">
        <f>"026202"</f>
        <v>0</v>
      </c>
      <c r="C8196" t="s">
        <v>4184</v>
      </c>
      <c r="D8196" t="s">
        <v>2180</v>
      </c>
      <c r="E8196" t="str">
        <f>"1709900849924"</f>
        <v>0</v>
      </c>
      <c r="F8196" t="str">
        <f>"001520"</f>
        <v>0</v>
      </c>
      <c r="G8196" t="s">
        <v>21</v>
      </c>
    </row>
    <row r="8197" spans="1:7">
      <c r="A8197">
        <v>8196</v>
      </c>
      <c r="B8197" t="str">
        <f>"020442"</f>
        <v>0</v>
      </c>
      <c r="C8197" t="s">
        <v>12232</v>
      </c>
      <c r="D8197" t="s">
        <v>12728</v>
      </c>
      <c r="E8197" t="str">
        <f>"3740300574418"</f>
        <v>0</v>
      </c>
      <c r="F8197" t="str">
        <f>"001520"</f>
        <v>0</v>
      </c>
      <c r="G8197" t="s">
        <v>21</v>
      </c>
    </row>
    <row r="8198" spans="1:7">
      <c r="A8198">
        <v>8197</v>
      </c>
      <c r="B8198" t="str">
        <f>"020587"</f>
        <v>0</v>
      </c>
      <c r="C8198" t="s">
        <v>9442</v>
      </c>
      <c r="D8198" t="s">
        <v>12729</v>
      </c>
      <c r="E8198" t="str">
        <f>"3740300270796"</f>
        <v>0</v>
      </c>
      <c r="F8198" t="str">
        <f>"001520"</f>
        <v>0</v>
      </c>
      <c r="G8198" t="s">
        <v>21</v>
      </c>
    </row>
    <row r="8199" spans="1:7">
      <c r="A8199">
        <v>8198</v>
      </c>
      <c r="B8199" t="str">
        <f>"016425"</f>
        <v>0</v>
      </c>
      <c r="C8199" t="s">
        <v>12730</v>
      </c>
      <c r="D8199" t="s">
        <v>1644</v>
      </c>
      <c r="E8199" t="str">
        <f>"3959900324982"</f>
        <v>0</v>
      </c>
      <c r="F8199" t="str">
        <f>"001520"</f>
        <v>0</v>
      </c>
      <c r="G8199" t="s">
        <v>21</v>
      </c>
    </row>
    <row r="8200" spans="1:7">
      <c r="A8200">
        <v>8199</v>
      </c>
      <c r="B8200" t="str">
        <f>"016911"</f>
        <v>0</v>
      </c>
      <c r="C8200" t="s">
        <v>197</v>
      </c>
      <c r="D8200" t="s">
        <v>12731</v>
      </c>
      <c r="E8200" t="str">
        <f>"3930300342728"</f>
        <v>0</v>
      </c>
      <c r="F8200" t="str">
        <f>"001520"</f>
        <v>0</v>
      </c>
      <c r="G8200" t="s">
        <v>21</v>
      </c>
    </row>
    <row r="8201" spans="1:7">
      <c r="A8201">
        <v>8200</v>
      </c>
      <c r="B8201" t="str">
        <f>"025948"</f>
        <v>0</v>
      </c>
      <c r="C8201" t="s">
        <v>3979</v>
      </c>
      <c r="D8201" t="s">
        <v>12732</v>
      </c>
      <c r="E8201" t="str">
        <f>"1709900578041"</f>
        <v>0</v>
      </c>
      <c r="F8201" t="str">
        <f>"001520"</f>
        <v>0</v>
      </c>
      <c r="G8201" t="s">
        <v>21</v>
      </c>
    </row>
    <row r="8202" spans="1:7">
      <c r="A8202">
        <v>8201</v>
      </c>
      <c r="B8202" t="str">
        <f>"022752"</f>
        <v>0</v>
      </c>
      <c r="C8202" t="s">
        <v>12733</v>
      </c>
      <c r="D8202" t="s">
        <v>12734</v>
      </c>
      <c r="E8202" t="str">
        <f>"5601190011617"</f>
        <v>0</v>
      </c>
      <c r="F8202" t="str">
        <f>"001520"</f>
        <v>0</v>
      </c>
      <c r="G8202" t="s">
        <v>21</v>
      </c>
    </row>
    <row r="8203" spans="1:7">
      <c r="A8203">
        <v>8202</v>
      </c>
      <c r="B8203" t="str">
        <f>"024166"</f>
        <v>0</v>
      </c>
      <c r="C8203" t="s">
        <v>5073</v>
      </c>
      <c r="D8203" t="s">
        <v>12735</v>
      </c>
      <c r="E8203" t="str">
        <f>"1709900407751"</f>
        <v>0</v>
      </c>
      <c r="F8203" t="str">
        <f>"001520"</f>
        <v>0</v>
      </c>
      <c r="G8203" t="s">
        <v>21</v>
      </c>
    </row>
    <row r="8204" spans="1:7">
      <c r="A8204">
        <v>8203</v>
      </c>
      <c r="B8204" t="str">
        <f>"025318"</f>
        <v>0</v>
      </c>
      <c r="C8204" t="s">
        <v>8019</v>
      </c>
      <c r="D8204" t="s">
        <v>12736</v>
      </c>
      <c r="E8204" t="str">
        <f>"3760500875641"</f>
        <v>0</v>
      </c>
      <c r="F8204" t="str">
        <f>"001520"</f>
        <v>0</v>
      </c>
      <c r="G8204" t="s">
        <v>21</v>
      </c>
    </row>
    <row r="8205" spans="1:7">
      <c r="A8205">
        <v>8204</v>
      </c>
      <c r="B8205" t="str">
        <f>"026524"</f>
        <v>0</v>
      </c>
      <c r="C8205" t="s">
        <v>12737</v>
      </c>
      <c r="D8205" t="s">
        <v>12738</v>
      </c>
      <c r="E8205" t="str">
        <f>"1709900727934"</f>
        <v>0</v>
      </c>
      <c r="F8205" t="str">
        <f>"001520"</f>
        <v>0</v>
      </c>
      <c r="G8205" t="s">
        <v>21</v>
      </c>
    </row>
    <row r="8206" spans="1:7">
      <c r="A8206">
        <v>8205</v>
      </c>
      <c r="B8206" t="str">
        <f>"021580"</f>
        <v>0</v>
      </c>
      <c r="C8206" t="s">
        <v>10469</v>
      </c>
      <c r="D8206" t="s">
        <v>12739</v>
      </c>
      <c r="E8206" t="str">
        <f>"3700700405095"</f>
        <v>0</v>
      </c>
      <c r="F8206" t="str">
        <f>"001520"</f>
        <v>0</v>
      </c>
      <c r="G8206" t="s">
        <v>21</v>
      </c>
    </row>
    <row r="8207" spans="1:7">
      <c r="A8207">
        <v>8206</v>
      </c>
      <c r="B8207" t="str">
        <f>"025076"</f>
        <v>0</v>
      </c>
      <c r="C8207" t="s">
        <v>9132</v>
      </c>
      <c r="D8207" t="s">
        <v>12740</v>
      </c>
      <c r="E8207" t="str">
        <f>"1860400036194"</f>
        <v>0</v>
      </c>
      <c r="F8207" t="str">
        <f>"001520"</f>
        <v>0</v>
      </c>
      <c r="G8207" t="s">
        <v>21</v>
      </c>
    </row>
    <row r="8208" spans="1:7">
      <c r="A8208">
        <v>8207</v>
      </c>
      <c r="B8208" t="str">
        <f>"025727"</f>
        <v>0</v>
      </c>
      <c r="C8208" t="s">
        <v>12741</v>
      </c>
      <c r="D8208" t="s">
        <v>12742</v>
      </c>
      <c r="E8208" t="str">
        <f>"1860200068122"</f>
        <v>0</v>
      </c>
      <c r="F8208" t="str">
        <f>"001520"</f>
        <v>0</v>
      </c>
      <c r="G8208" t="s">
        <v>21</v>
      </c>
    </row>
    <row r="8209" spans="1:7">
      <c r="A8209">
        <v>8208</v>
      </c>
      <c r="B8209" t="str">
        <f>"026569"</f>
        <v>0</v>
      </c>
      <c r="C8209" t="s">
        <v>12743</v>
      </c>
      <c r="D8209" t="s">
        <v>12744</v>
      </c>
      <c r="E8209" t="str">
        <f>"2760300016646"</f>
        <v>0</v>
      </c>
      <c r="F8209" t="str">
        <f>"001520"</f>
        <v>0</v>
      </c>
      <c r="G8209" t="s">
        <v>21</v>
      </c>
    </row>
    <row r="8210" spans="1:7">
      <c r="A8210">
        <v>8209</v>
      </c>
      <c r="B8210" t="str">
        <f>"018403"</f>
        <v>0</v>
      </c>
      <c r="C8210" t="s">
        <v>11727</v>
      </c>
      <c r="D8210" t="s">
        <v>12745</v>
      </c>
      <c r="E8210" t="str">
        <f>"3450101058943"</f>
        <v>0</v>
      </c>
      <c r="F8210" t="str">
        <f>"001520"</f>
        <v>0</v>
      </c>
      <c r="G8210" t="s">
        <v>21</v>
      </c>
    </row>
    <row r="8211" spans="1:7">
      <c r="A8211">
        <v>8210</v>
      </c>
      <c r="B8211" t="str">
        <f>"022078"</f>
        <v>0</v>
      </c>
      <c r="C8211" t="s">
        <v>12746</v>
      </c>
      <c r="D8211" t="s">
        <v>12747</v>
      </c>
      <c r="E8211" t="str">
        <f>"3100200978954"</f>
        <v>0</v>
      </c>
      <c r="F8211" t="str">
        <f>"001520"</f>
        <v>0</v>
      </c>
      <c r="G8211" t="s">
        <v>21</v>
      </c>
    </row>
    <row r="8212" spans="1:7">
      <c r="A8212">
        <v>8211</v>
      </c>
      <c r="B8212" t="str">
        <f>"018840"</f>
        <v>0</v>
      </c>
      <c r="C8212" t="s">
        <v>8989</v>
      </c>
      <c r="D8212" t="s">
        <v>12748</v>
      </c>
      <c r="E8212" t="str">
        <f>"3189900100348"</f>
        <v>0</v>
      </c>
      <c r="F8212" t="str">
        <f>"001520"</f>
        <v>0</v>
      </c>
      <c r="G8212" t="s">
        <v>21</v>
      </c>
    </row>
    <row r="8213" spans="1:7">
      <c r="A8213">
        <v>8212</v>
      </c>
      <c r="B8213" t="str">
        <f>"012880"</f>
        <v>0</v>
      </c>
      <c r="C8213" t="s">
        <v>12749</v>
      </c>
      <c r="D8213" t="s">
        <v>12750</v>
      </c>
      <c r="E8213" t="str">
        <f>"3700501017125"</f>
        <v>0</v>
      </c>
      <c r="F8213" t="str">
        <f>"001520"</f>
        <v>0</v>
      </c>
      <c r="G8213" t="s">
        <v>21</v>
      </c>
    </row>
    <row r="8214" spans="1:7">
      <c r="A8214">
        <v>8213</v>
      </c>
      <c r="B8214" t="str">
        <f>"013246"</f>
        <v>0</v>
      </c>
      <c r="C8214" t="s">
        <v>12751</v>
      </c>
      <c r="D8214" t="s">
        <v>3758</v>
      </c>
      <c r="E8214" t="str">
        <f>"3700100310255"</f>
        <v>0</v>
      </c>
      <c r="F8214" t="str">
        <f>"001520"</f>
        <v>0</v>
      </c>
      <c r="G8214" t="s">
        <v>21</v>
      </c>
    </row>
    <row r="8215" spans="1:7">
      <c r="A8215">
        <v>8214</v>
      </c>
      <c r="B8215" t="str">
        <f>"015517"</f>
        <v>0</v>
      </c>
      <c r="C8215" t="s">
        <v>12752</v>
      </c>
      <c r="D8215" t="s">
        <v>12753</v>
      </c>
      <c r="E8215" t="str">
        <f>"3700500759292"</f>
        <v>0</v>
      </c>
      <c r="F8215" t="str">
        <f>"001520"</f>
        <v>0</v>
      </c>
      <c r="G8215" t="s">
        <v>21</v>
      </c>
    </row>
    <row r="8216" spans="1:7">
      <c r="A8216">
        <v>8215</v>
      </c>
      <c r="B8216" t="str">
        <f>"016580"</f>
        <v>0</v>
      </c>
      <c r="C8216" t="s">
        <v>12754</v>
      </c>
      <c r="D8216" t="s">
        <v>12755</v>
      </c>
      <c r="E8216" t="str">
        <f>"3860800085733"</f>
        <v>0</v>
      </c>
      <c r="F8216" t="str">
        <f>"001520"</f>
        <v>0</v>
      </c>
      <c r="G8216" t="s">
        <v>21</v>
      </c>
    </row>
    <row r="8217" spans="1:7">
      <c r="A8217">
        <v>8216</v>
      </c>
      <c r="B8217" t="str">
        <f>"016938"</f>
        <v>0</v>
      </c>
      <c r="C8217" t="s">
        <v>1628</v>
      </c>
      <c r="D8217" t="s">
        <v>12756</v>
      </c>
      <c r="E8217" t="str">
        <f>"3700700454207"</f>
        <v>0</v>
      </c>
      <c r="F8217" t="str">
        <f>"001520"</f>
        <v>0</v>
      </c>
      <c r="G8217" t="s">
        <v>21</v>
      </c>
    </row>
    <row r="8218" spans="1:7">
      <c r="A8218">
        <v>8217</v>
      </c>
      <c r="B8218" t="str">
        <f>"018950"</f>
        <v>0</v>
      </c>
      <c r="C8218" t="s">
        <v>1021</v>
      </c>
      <c r="D8218" t="s">
        <v>12757</v>
      </c>
      <c r="E8218" t="str">
        <f>"3700500717590"</f>
        <v>0</v>
      </c>
      <c r="F8218" t="str">
        <f>"001520"</f>
        <v>0</v>
      </c>
      <c r="G8218" t="s">
        <v>21</v>
      </c>
    </row>
    <row r="8219" spans="1:7">
      <c r="A8219">
        <v>8218</v>
      </c>
      <c r="B8219" t="str">
        <f>"019101"</f>
        <v>0</v>
      </c>
      <c r="C8219" t="s">
        <v>11060</v>
      </c>
      <c r="D8219" t="s">
        <v>12758</v>
      </c>
      <c r="E8219" t="str">
        <f>"3700500362279"</f>
        <v>0</v>
      </c>
      <c r="F8219" t="str">
        <f>"001520"</f>
        <v>0</v>
      </c>
      <c r="G8219" t="s">
        <v>21</v>
      </c>
    </row>
    <row r="8220" spans="1:7">
      <c r="A8220">
        <v>8219</v>
      </c>
      <c r="B8220" t="str">
        <f>"020249"</f>
        <v>0</v>
      </c>
      <c r="C8220" t="s">
        <v>12759</v>
      </c>
      <c r="D8220" t="s">
        <v>12760</v>
      </c>
      <c r="E8220" t="str">
        <f>"3650800532308"</f>
        <v>0</v>
      </c>
      <c r="F8220" t="str">
        <f>"001520"</f>
        <v>0</v>
      </c>
      <c r="G8220" t="s">
        <v>21</v>
      </c>
    </row>
    <row r="8221" spans="1:7">
      <c r="A8221">
        <v>8220</v>
      </c>
      <c r="B8221" t="str">
        <f>"021417"</f>
        <v>0</v>
      </c>
      <c r="C8221" t="s">
        <v>12761</v>
      </c>
      <c r="D8221" t="s">
        <v>12762</v>
      </c>
      <c r="E8221" t="str">
        <f>"3709800259544"</f>
        <v>0</v>
      </c>
      <c r="F8221" t="str">
        <f>"001520"</f>
        <v>0</v>
      </c>
      <c r="G8221" t="s">
        <v>21</v>
      </c>
    </row>
    <row r="8222" spans="1:7">
      <c r="A8222">
        <v>8221</v>
      </c>
      <c r="B8222" t="str">
        <f>"022629"</f>
        <v>0</v>
      </c>
      <c r="C8222" t="s">
        <v>12763</v>
      </c>
      <c r="D8222" t="s">
        <v>12764</v>
      </c>
      <c r="E8222" t="str">
        <f>"3700600286248"</f>
        <v>0</v>
      </c>
      <c r="F8222" t="str">
        <f>"001520"</f>
        <v>0</v>
      </c>
      <c r="G8222" t="s">
        <v>21</v>
      </c>
    </row>
    <row r="8223" spans="1:7">
      <c r="A8223">
        <v>8222</v>
      </c>
      <c r="B8223" t="str">
        <f>"024978"</f>
        <v>0</v>
      </c>
      <c r="C8223" t="s">
        <v>12765</v>
      </c>
      <c r="D8223" t="s">
        <v>12766</v>
      </c>
      <c r="E8223" t="str">
        <f>"3700500597420"</f>
        <v>0</v>
      </c>
      <c r="F8223" t="str">
        <f>"001520"</f>
        <v>0</v>
      </c>
      <c r="G8223" t="s">
        <v>21</v>
      </c>
    </row>
    <row r="8224" spans="1:7">
      <c r="A8224">
        <v>8223</v>
      </c>
      <c r="B8224" t="str">
        <f>"026069"</f>
        <v>0</v>
      </c>
      <c r="C8224" t="s">
        <v>12767</v>
      </c>
      <c r="D8224" t="s">
        <v>12768</v>
      </c>
      <c r="E8224" t="str">
        <f>"1700500005844"</f>
        <v>0</v>
      </c>
      <c r="F8224" t="str">
        <f>"001520"</f>
        <v>0</v>
      </c>
      <c r="G8224" t="s">
        <v>21</v>
      </c>
    </row>
    <row r="8225" spans="1:7">
      <c r="A8225">
        <v>8224</v>
      </c>
      <c r="B8225" t="str">
        <f>"027041"</f>
        <v>0</v>
      </c>
      <c r="C8225" t="s">
        <v>947</v>
      </c>
      <c r="D8225" t="s">
        <v>12769</v>
      </c>
      <c r="E8225" t="str">
        <f>"1102000197385"</f>
        <v>0</v>
      </c>
      <c r="F8225" t="str">
        <f>"001520"</f>
        <v>0</v>
      </c>
      <c r="G8225" t="s">
        <v>21</v>
      </c>
    </row>
    <row r="8226" spans="1:7">
      <c r="A8226">
        <v>8225</v>
      </c>
      <c r="B8226" t="str">
        <f>"009999"</f>
        <v>0</v>
      </c>
      <c r="C8226" t="s">
        <v>1849</v>
      </c>
      <c r="D8226" t="s">
        <v>1995</v>
      </c>
      <c r="E8226" t="str">
        <f>"3710500548615"</f>
        <v>0</v>
      </c>
      <c r="F8226" t="str">
        <f>"001520"</f>
        <v>0</v>
      </c>
      <c r="G8226" t="s">
        <v>21</v>
      </c>
    </row>
    <row r="8227" spans="1:7">
      <c r="A8227">
        <v>8226</v>
      </c>
      <c r="B8227" t="str">
        <f>"014666"</f>
        <v>0</v>
      </c>
      <c r="C8227" t="s">
        <v>5073</v>
      </c>
      <c r="D8227" t="s">
        <v>12770</v>
      </c>
      <c r="E8227" t="str">
        <f>"3719900025961"</f>
        <v>0</v>
      </c>
      <c r="F8227" t="str">
        <f>"001520"</f>
        <v>0</v>
      </c>
      <c r="G8227" t="s">
        <v>21</v>
      </c>
    </row>
    <row r="8228" spans="1:7">
      <c r="A8228">
        <v>8227</v>
      </c>
      <c r="B8228" t="str">
        <f>"016322"</f>
        <v>0</v>
      </c>
      <c r="C8228" t="s">
        <v>4305</v>
      </c>
      <c r="D8228" t="s">
        <v>12771</v>
      </c>
      <c r="E8228" t="str">
        <f>"3800600124522"</f>
        <v>0</v>
      </c>
      <c r="F8228" t="str">
        <f>"001520"</f>
        <v>0</v>
      </c>
      <c r="G8228" t="s">
        <v>21</v>
      </c>
    </row>
    <row r="8229" spans="1:7">
      <c r="A8229">
        <v>8228</v>
      </c>
      <c r="B8229" t="str">
        <f>"020354"</f>
        <v>0</v>
      </c>
      <c r="C8229" t="s">
        <v>12772</v>
      </c>
      <c r="D8229" t="s">
        <v>12773</v>
      </c>
      <c r="E8229" t="str">
        <f>"3710500092417"</f>
        <v>0</v>
      </c>
      <c r="F8229" t="str">
        <f>"001520"</f>
        <v>0</v>
      </c>
      <c r="G8229" t="s">
        <v>21</v>
      </c>
    </row>
    <row r="8230" spans="1:7">
      <c r="A8230">
        <v>8229</v>
      </c>
      <c r="B8230" t="str">
        <f>"025466"</f>
        <v>0</v>
      </c>
      <c r="C8230" t="s">
        <v>12774</v>
      </c>
      <c r="D8230" t="s">
        <v>12775</v>
      </c>
      <c r="E8230" t="str">
        <f>"5710200009251"</f>
        <v>0</v>
      </c>
      <c r="F8230" t="str">
        <f>"001520"</f>
        <v>0</v>
      </c>
      <c r="G8230" t="s">
        <v>21</v>
      </c>
    </row>
    <row r="8231" spans="1:7">
      <c r="A8231">
        <v>8230</v>
      </c>
      <c r="B8231" t="str">
        <f>"023284"</f>
        <v>0</v>
      </c>
      <c r="C8231" t="s">
        <v>12776</v>
      </c>
      <c r="D8231" t="s">
        <v>12777</v>
      </c>
      <c r="E8231" t="str">
        <f>"3720900532210"</f>
        <v>0</v>
      </c>
      <c r="F8231" t="str">
        <f>"001520"</f>
        <v>0</v>
      </c>
      <c r="G8231" t="s">
        <v>21</v>
      </c>
    </row>
    <row r="8232" spans="1:7">
      <c r="A8232">
        <v>8231</v>
      </c>
      <c r="B8232" t="str">
        <f>"018371"</f>
        <v>0</v>
      </c>
      <c r="C8232" t="s">
        <v>6681</v>
      </c>
      <c r="D8232" t="s">
        <v>4958</v>
      </c>
      <c r="E8232" t="str">
        <f>"5700100028301"</f>
        <v>0</v>
      </c>
      <c r="F8232" t="str">
        <f>"001520"</f>
        <v>0</v>
      </c>
      <c r="G8232" t="s">
        <v>21</v>
      </c>
    </row>
    <row r="8233" spans="1:7">
      <c r="A8233">
        <v>8232</v>
      </c>
      <c r="B8233" t="str">
        <f>"020346"</f>
        <v>0</v>
      </c>
      <c r="C8233" t="s">
        <v>12778</v>
      </c>
      <c r="D8233" t="s">
        <v>12779</v>
      </c>
      <c r="E8233" t="str">
        <f>"3749900205306"</f>
        <v>0</v>
      </c>
      <c r="F8233" t="str">
        <f>"001520"</f>
        <v>0</v>
      </c>
      <c r="G8233" t="s">
        <v>21</v>
      </c>
    </row>
    <row r="8234" spans="1:7">
      <c r="A8234">
        <v>8233</v>
      </c>
      <c r="B8234" t="str">
        <f>"019158"</f>
        <v>0</v>
      </c>
      <c r="C8234" t="s">
        <v>12780</v>
      </c>
      <c r="D8234" t="s">
        <v>12781</v>
      </c>
      <c r="E8234" t="str">
        <f>"3710600889791"</f>
        <v>0</v>
      </c>
      <c r="F8234" t="str">
        <f>"001520"</f>
        <v>0</v>
      </c>
      <c r="G8234" t="s">
        <v>21</v>
      </c>
    </row>
    <row r="8235" spans="1:7">
      <c r="A8235">
        <v>8234</v>
      </c>
      <c r="B8235" t="str">
        <f>"021949"</f>
        <v>0</v>
      </c>
      <c r="C8235" t="s">
        <v>9113</v>
      </c>
      <c r="D8235" t="s">
        <v>12782</v>
      </c>
      <c r="E8235" t="str">
        <f>"3760100296368"</f>
        <v>0</v>
      </c>
      <c r="F8235" t="str">
        <f>"001520"</f>
        <v>0</v>
      </c>
      <c r="G8235" t="s">
        <v>21</v>
      </c>
    </row>
    <row r="8236" spans="1:7">
      <c r="A8236">
        <v>8235</v>
      </c>
      <c r="B8236" t="str">
        <f>"025141"</f>
        <v>0</v>
      </c>
      <c r="C8236" t="s">
        <v>12783</v>
      </c>
      <c r="D8236" t="s">
        <v>12784</v>
      </c>
      <c r="E8236" t="str">
        <f>"1769900175028"</f>
        <v>0</v>
      </c>
      <c r="F8236" t="str">
        <f>"001520"</f>
        <v>0</v>
      </c>
      <c r="G8236" t="s">
        <v>21</v>
      </c>
    </row>
    <row r="8237" spans="1:7">
      <c r="A8237">
        <v>8236</v>
      </c>
      <c r="B8237" t="str">
        <f>"025184"</f>
        <v>0</v>
      </c>
      <c r="C8237" t="s">
        <v>12785</v>
      </c>
      <c r="D8237" t="s">
        <v>12786</v>
      </c>
      <c r="E8237" t="str">
        <f>"1930500148872"</f>
        <v>0</v>
      </c>
      <c r="F8237" t="str">
        <f>"001520"</f>
        <v>0</v>
      </c>
      <c r="G8237" t="s">
        <v>21</v>
      </c>
    </row>
    <row r="8238" spans="1:7">
      <c r="A8238">
        <v>8237</v>
      </c>
      <c r="B8238" t="str">
        <f>"027597"</f>
        <v>0</v>
      </c>
      <c r="C8238" t="s">
        <v>12787</v>
      </c>
      <c r="D8238" t="s">
        <v>12788</v>
      </c>
      <c r="E8238" t="str">
        <f>"1939900267699"</f>
        <v>0</v>
      </c>
      <c r="F8238" t="str">
        <f>"001520"</f>
        <v>0</v>
      </c>
      <c r="G8238" t="s">
        <v>21</v>
      </c>
    </row>
    <row r="8239" spans="1:7">
      <c r="A8239">
        <v>8238</v>
      </c>
      <c r="B8239" t="str">
        <f>"000581"</f>
        <v>0</v>
      </c>
      <c r="C8239" t="s">
        <v>367</v>
      </c>
      <c r="D8239" t="s">
        <v>12789</v>
      </c>
      <c r="E8239" t="str">
        <f>"3169900283396"</f>
        <v>0</v>
      </c>
      <c r="F8239" t="str">
        <f>"001550"</f>
        <v>0</v>
      </c>
      <c r="G8239" t="s">
        <v>21</v>
      </c>
    </row>
    <row r="8240" spans="1:7">
      <c r="A8240">
        <v>8239</v>
      </c>
      <c r="B8240" t="str">
        <f>"001355"</f>
        <v>0</v>
      </c>
      <c r="C8240" t="s">
        <v>185</v>
      </c>
      <c r="D8240" t="s">
        <v>12790</v>
      </c>
      <c r="E8240" t="str">
        <f>"3189900023157"</f>
        <v>0</v>
      </c>
      <c r="F8240" t="str">
        <f>"001550"</f>
        <v>0</v>
      </c>
      <c r="G8240" t="s">
        <v>21</v>
      </c>
    </row>
    <row r="8241" spans="1:7">
      <c r="A8241">
        <v>8240</v>
      </c>
      <c r="B8241" t="str">
        <f>"002510"</f>
        <v>0</v>
      </c>
      <c r="C8241" t="s">
        <v>6541</v>
      </c>
      <c r="D8241" t="s">
        <v>12791</v>
      </c>
      <c r="E8241" t="str">
        <f>"3301300568692"</f>
        <v>0</v>
      </c>
      <c r="F8241" t="str">
        <f>"001550"</f>
        <v>0</v>
      </c>
      <c r="G8241" t="s">
        <v>21</v>
      </c>
    </row>
    <row r="8242" spans="1:7">
      <c r="A8242">
        <v>8241</v>
      </c>
      <c r="B8242" t="str">
        <f>"003403"</f>
        <v>0</v>
      </c>
      <c r="C8242" t="s">
        <v>1827</v>
      </c>
      <c r="D8242" t="s">
        <v>12792</v>
      </c>
      <c r="E8242" t="str">
        <f>"3100901850768"</f>
        <v>0</v>
      </c>
      <c r="F8242" t="str">
        <f>"001550"</f>
        <v>0</v>
      </c>
      <c r="G8242" t="s">
        <v>21</v>
      </c>
    </row>
    <row r="8243" spans="1:7">
      <c r="A8243">
        <v>8242</v>
      </c>
      <c r="B8243" t="str">
        <f>"003826"</f>
        <v>0</v>
      </c>
      <c r="C8243" t="s">
        <v>12793</v>
      </c>
      <c r="D8243" t="s">
        <v>12794</v>
      </c>
      <c r="E8243" t="str">
        <f>"3169900093660"</f>
        <v>0</v>
      </c>
      <c r="F8243" t="str">
        <f>"001550"</f>
        <v>0</v>
      </c>
      <c r="G8243" t="s">
        <v>21</v>
      </c>
    </row>
    <row r="8244" spans="1:7">
      <c r="A8244">
        <v>8243</v>
      </c>
      <c r="B8244" t="str">
        <f>"003955"</f>
        <v>0</v>
      </c>
      <c r="C8244" t="s">
        <v>3783</v>
      </c>
      <c r="D8244" t="s">
        <v>12795</v>
      </c>
      <c r="E8244" t="str">
        <f>"3149900142491"</f>
        <v>0</v>
      </c>
      <c r="F8244" t="str">
        <f>"001550"</f>
        <v>0</v>
      </c>
      <c r="G8244" t="s">
        <v>21</v>
      </c>
    </row>
    <row r="8245" spans="1:7">
      <c r="A8245">
        <v>8244</v>
      </c>
      <c r="B8245" t="str">
        <f>"004115"</f>
        <v>0</v>
      </c>
      <c r="C8245" t="s">
        <v>802</v>
      </c>
      <c r="D8245" t="s">
        <v>3526</v>
      </c>
      <c r="E8245" t="str">
        <f>"3160300552037"</f>
        <v>0</v>
      </c>
      <c r="F8245" t="str">
        <f>"001550"</f>
        <v>0</v>
      </c>
      <c r="G8245" t="s">
        <v>21</v>
      </c>
    </row>
    <row r="8246" spans="1:7">
      <c r="A8246">
        <v>8245</v>
      </c>
      <c r="B8246" t="str">
        <f>"004357"</f>
        <v>0</v>
      </c>
      <c r="C8246" t="s">
        <v>2216</v>
      </c>
      <c r="D8246" t="s">
        <v>12796</v>
      </c>
      <c r="E8246" t="str">
        <f>"5100200099043"</f>
        <v>0</v>
      </c>
      <c r="F8246" t="str">
        <f>"001550"</f>
        <v>0</v>
      </c>
      <c r="G8246" t="s">
        <v>21</v>
      </c>
    </row>
    <row r="8247" spans="1:7">
      <c r="A8247">
        <v>8246</v>
      </c>
      <c r="B8247" t="str">
        <f>"004555"</f>
        <v>0</v>
      </c>
      <c r="C8247" t="s">
        <v>12797</v>
      </c>
      <c r="D8247" t="s">
        <v>12798</v>
      </c>
      <c r="E8247" t="str">
        <f>"3160300491381"</f>
        <v>0</v>
      </c>
      <c r="F8247" t="str">
        <f>"001550"</f>
        <v>0</v>
      </c>
      <c r="G8247" t="s">
        <v>21</v>
      </c>
    </row>
    <row r="8248" spans="1:7">
      <c r="A8248">
        <v>8247</v>
      </c>
      <c r="B8248" t="str">
        <f>"004664"</f>
        <v>0</v>
      </c>
      <c r="C8248" t="s">
        <v>12799</v>
      </c>
      <c r="D8248" t="s">
        <v>12800</v>
      </c>
      <c r="E8248" t="str">
        <f>"3149900335931"</f>
        <v>0</v>
      </c>
      <c r="F8248" t="str">
        <f>"001550"</f>
        <v>0</v>
      </c>
      <c r="G8248" t="s">
        <v>21</v>
      </c>
    </row>
    <row r="8249" spans="1:7">
      <c r="A8249">
        <v>8248</v>
      </c>
      <c r="B8249" t="str">
        <f>"004923"</f>
        <v>0</v>
      </c>
      <c r="C8249" t="s">
        <v>2262</v>
      </c>
      <c r="D8249" t="s">
        <v>12801</v>
      </c>
      <c r="E8249" t="str">
        <f>"3160400003922"</f>
        <v>0</v>
      </c>
      <c r="F8249" t="str">
        <f>"001550"</f>
        <v>0</v>
      </c>
      <c r="G8249" t="s">
        <v>21</v>
      </c>
    </row>
    <row r="8250" spans="1:7">
      <c r="A8250">
        <v>8249</v>
      </c>
      <c r="B8250" t="str">
        <f>"004926"</f>
        <v>0</v>
      </c>
      <c r="C8250" t="s">
        <v>130</v>
      </c>
      <c r="D8250" t="s">
        <v>12802</v>
      </c>
      <c r="E8250" t="str">
        <f>"3160400649822"</f>
        <v>0</v>
      </c>
      <c r="F8250" t="str">
        <f>"001550"</f>
        <v>0</v>
      </c>
      <c r="G8250" t="s">
        <v>21</v>
      </c>
    </row>
    <row r="8251" spans="1:7">
      <c r="A8251">
        <v>8250</v>
      </c>
      <c r="B8251" t="str">
        <f>"005094"</f>
        <v>0</v>
      </c>
      <c r="C8251" t="s">
        <v>7489</v>
      </c>
      <c r="D8251" t="s">
        <v>12803</v>
      </c>
      <c r="E8251" t="str">
        <f>"3160101351252"</f>
        <v>0</v>
      </c>
      <c r="F8251" t="str">
        <f>"001550"</f>
        <v>0</v>
      </c>
      <c r="G8251" t="s">
        <v>21</v>
      </c>
    </row>
    <row r="8252" spans="1:7">
      <c r="A8252">
        <v>8251</v>
      </c>
      <c r="B8252" t="str">
        <f>"005281"</f>
        <v>0</v>
      </c>
      <c r="C8252" t="s">
        <v>12804</v>
      </c>
      <c r="D8252" t="s">
        <v>12805</v>
      </c>
      <c r="E8252" t="str">
        <f>"3169900158591"</f>
        <v>0</v>
      </c>
      <c r="F8252" t="str">
        <f>"001550"</f>
        <v>0</v>
      </c>
      <c r="G8252" t="s">
        <v>21</v>
      </c>
    </row>
    <row r="8253" spans="1:7">
      <c r="A8253">
        <v>8252</v>
      </c>
      <c r="B8253" t="str">
        <f>"005481"</f>
        <v>0</v>
      </c>
      <c r="C8253" t="s">
        <v>4757</v>
      </c>
      <c r="D8253" t="s">
        <v>12806</v>
      </c>
      <c r="E8253" t="str">
        <f>"4199900007788"</f>
        <v>0</v>
      </c>
      <c r="F8253" t="str">
        <f>"001550"</f>
        <v>0</v>
      </c>
      <c r="G8253" t="s">
        <v>21</v>
      </c>
    </row>
    <row r="8254" spans="1:7">
      <c r="A8254">
        <v>8253</v>
      </c>
      <c r="B8254" t="str">
        <f>"005526"</f>
        <v>0</v>
      </c>
      <c r="C8254" t="s">
        <v>5878</v>
      </c>
      <c r="D8254" t="s">
        <v>12807</v>
      </c>
      <c r="E8254" t="str">
        <f>"3469900110651"</f>
        <v>0</v>
      </c>
      <c r="F8254" t="str">
        <f>"001550"</f>
        <v>0</v>
      </c>
      <c r="G8254" t="s">
        <v>21</v>
      </c>
    </row>
    <row r="8255" spans="1:7">
      <c r="A8255">
        <v>8254</v>
      </c>
      <c r="B8255" t="str">
        <f>"005663"</f>
        <v>0</v>
      </c>
      <c r="C8255" t="s">
        <v>12808</v>
      </c>
      <c r="D8255" t="s">
        <v>12809</v>
      </c>
      <c r="E8255" t="str">
        <f>"3160100453141"</f>
        <v>0</v>
      </c>
      <c r="F8255" t="str">
        <f>"001550"</f>
        <v>0</v>
      </c>
      <c r="G8255" t="s">
        <v>21</v>
      </c>
    </row>
    <row r="8256" spans="1:7">
      <c r="A8256">
        <v>8255</v>
      </c>
      <c r="B8256" t="str">
        <f>"005664"</f>
        <v>0</v>
      </c>
      <c r="C8256" t="s">
        <v>3812</v>
      </c>
      <c r="D8256" t="s">
        <v>12810</v>
      </c>
      <c r="E8256" t="str">
        <f>"3169900176735"</f>
        <v>0</v>
      </c>
      <c r="F8256" t="str">
        <f>"001550"</f>
        <v>0</v>
      </c>
      <c r="G8256" t="s">
        <v>21</v>
      </c>
    </row>
    <row r="8257" spans="1:7">
      <c r="A8257">
        <v>8256</v>
      </c>
      <c r="B8257" t="str">
        <f>"005666"</f>
        <v>0</v>
      </c>
      <c r="C8257" t="s">
        <v>2894</v>
      </c>
      <c r="D8257" t="s">
        <v>12811</v>
      </c>
      <c r="E8257" t="str">
        <f>"3169700078578"</f>
        <v>0</v>
      </c>
      <c r="F8257" t="str">
        <f>"001550"</f>
        <v>0</v>
      </c>
      <c r="G8257" t="s">
        <v>21</v>
      </c>
    </row>
    <row r="8258" spans="1:7">
      <c r="A8258">
        <v>8257</v>
      </c>
      <c r="B8258" t="str">
        <f>"005668"</f>
        <v>0</v>
      </c>
      <c r="C8258" t="s">
        <v>12812</v>
      </c>
      <c r="D8258" t="s">
        <v>12813</v>
      </c>
      <c r="E8258" t="str">
        <f>"3169700015941"</f>
        <v>0</v>
      </c>
      <c r="F8258" t="str">
        <f>"001550"</f>
        <v>0</v>
      </c>
      <c r="G8258" t="s">
        <v>21</v>
      </c>
    </row>
    <row r="8259" spans="1:7">
      <c r="A8259">
        <v>8258</v>
      </c>
      <c r="B8259" t="str">
        <f>"005670"</f>
        <v>0</v>
      </c>
      <c r="C8259" t="s">
        <v>4903</v>
      </c>
      <c r="D8259" t="s">
        <v>12814</v>
      </c>
      <c r="E8259" t="str">
        <f>"3169700071921"</f>
        <v>0</v>
      </c>
      <c r="F8259" t="str">
        <f>"001550"</f>
        <v>0</v>
      </c>
      <c r="G8259" t="s">
        <v>21</v>
      </c>
    </row>
    <row r="8260" spans="1:7">
      <c r="A8260">
        <v>8259</v>
      </c>
      <c r="B8260" t="str">
        <f>"005672"</f>
        <v>0</v>
      </c>
      <c r="C8260" t="s">
        <v>12815</v>
      </c>
      <c r="D8260" t="s">
        <v>3526</v>
      </c>
      <c r="E8260" t="str">
        <f>"3302000739549"</f>
        <v>0</v>
      </c>
      <c r="F8260" t="str">
        <f>"001550"</f>
        <v>0</v>
      </c>
      <c r="G8260" t="s">
        <v>21</v>
      </c>
    </row>
    <row r="8261" spans="1:7">
      <c r="A8261">
        <v>8260</v>
      </c>
      <c r="B8261" t="str">
        <f>"005915"</f>
        <v>0</v>
      </c>
      <c r="C8261" t="s">
        <v>12816</v>
      </c>
      <c r="D8261" t="s">
        <v>12817</v>
      </c>
      <c r="E8261" t="str">
        <f>"3189900018412"</f>
        <v>0</v>
      </c>
      <c r="F8261" t="str">
        <f>"001550"</f>
        <v>0</v>
      </c>
      <c r="G8261" t="s">
        <v>21</v>
      </c>
    </row>
    <row r="8262" spans="1:7">
      <c r="A8262">
        <v>8261</v>
      </c>
      <c r="B8262" t="str">
        <f>"006122"</f>
        <v>0</v>
      </c>
      <c r="C8262" t="s">
        <v>3783</v>
      </c>
      <c r="D8262" t="s">
        <v>12818</v>
      </c>
      <c r="E8262" t="str">
        <f>"3160101557756"</f>
        <v>0</v>
      </c>
      <c r="F8262" t="str">
        <f>"001550"</f>
        <v>0</v>
      </c>
      <c r="G8262" t="s">
        <v>21</v>
      </c>
    </row>
    <row r="8263" spans="1:7">
      <c r="A8263">
        <v>8262</v>
      </c>
      <c r="B8263" t="str">
        <f>"007327"</f>
        <v>0</v>
      </c>
      <c r="C8263" t="s">
        <v>12819</v>
      </c>
      <c r="D8263" t="s">
        <v>12820</v>
      </c>
      <c r="E8263" t="str">
        <f>"3169900312892"</f>
        <v>0</v>
      </c>
      <c r="F8263" t="str">
        <f>"001550"</f>
        <v>0</v>
      </c>
      <c r="G8263" t="s">
        <v>21</v>
      </c>
    </row>
    <row r="8264" spans="1:7">
      <c r="A8264">
        <v>8263</v>
      </c>
      <c r="B8264" t="str">
        <f>"007811"</f>
        <v>0</v>
      </c>
      <c r="C8264" t="s">
        <v>1260</v>
      </c>
      <c r="D8264" t="s">
        <v>12821</v>
      </c>
      <c r="E8264" t="str">
        <f>"3160200022648"</f>
        <v>0</v>
      </c>
      <c r="F8264" t="str">
        <f>"001550"</f>
        <v>0</v>
      </c>
      <c r="G8264" t="s">
        <v>21</v>
      </c>
    </row>
    <row r="8265" spans="1:7">
      <c r="A8265">
        <v>8264</v>
      </c>
      <c r="B8265" t="str">
        <f>"007854"</f>
        <v>0</v>
      </c>
      <c r="C8265" t="s">
        <v>48</v>
      </c>
      <c r="D8265" t="s">
        <v>12795</v>
      </c>
      <c r="E8265" t="str">
        <f>"3200200346752"</f>
        <v>0</v>
      </c>
      <c r="F8265" t="str">
        <f>"001550"</f>
        <v>0</v>
      </c>
      <c r="G8265" t="s">
        <v>21</v>
      </c>
    </row>
    <row r="8266" spans="1:7">
      <c r="A8266">
        <v>8265</v>
      </c>
      <c r="B8266" t="str">
        <f>"008023"</f>
        <v>0</v>
      </c>
      <c r="C8266" t="s">
        <v>2298</v>
      </c>
      <c r="D8266" t="s">
        <v>12822</v>
      </c>
      <c r="E8266" t="str">
        <f>"3169800010681"</f>
        <v>0</v>
      </c>
      <c r="F8266" t="str">
        <f>"001550"</f>
        <v>0</v>
      </c>
      <c r="G8266" t="s">
        <v>21</v>
      </c>
    </row>
    <row r="8267" spans="1:7">
      <c r="A8267">
        <v>8266</v>
      </c>
      <c r="B8267" t="str">
        <f>"008027"</f>
        <v>0</v>
      </c>
      <c r="C8267" t="s">
        <v>173</v>
      </c>
      <c r="D8267" t="s">
        <v>12823</v>
      </c>
      <c r="E8267" t="str">
        <f>"3170600199669"</f>
        <v>0</v>
      </c>
      <c r="F8267" t="str">
        <f>"001550"</f>
        <v>0</v>
      </c>
      <c r="G8267" t="s">
        <v>21</v>
      </c>
    </row>
    <row r="8268" spans="1:7">
      <c r="A8268">
        <v>8267</v>
      </c>
      <c r="B8268" t="str">
        <f>"008508"</f>
        <v>0</v>
      </c>
      <c r="C8268" t="s">
        <v>12824</v>
      </c>
      <c r="D8268" t="s">
        <v>12825</v>
      </c>
      <c r="E8268" t="str">
        <f>"3160200105781"</f>
        <v>0</v>
      </c>
      <c r="F8268" t="str">
        <f>"001550"</f>
        <v>0</v>
      </c>
      <c r="G8268" t="s">
        <v>21</v>
      </c>
    </row>
    <row r="8269" spans="1:7">
      <c r="A8269">
        <v>8268</v>
      </c>
      <c r="B8269" t="str">
        <f>"008616"</f>
        <v>0</v>
      </c>
      <c r="C8269" t="s">
        <v>3634</v>
      </c>
      <c r="D8269" t="s">
        <v>12826</v>
      </c>
      <c r="E8269" t="str">
        <f>"3450500337684"</f>
        <v>0</v>
      </c>
      <c r="F8269" t="str">
        <f>"001550"</f>
        <v>0</v>
      </c>
      <c r="G8269" t="s">
        <v>21</v>
      </c>
    </row>
    <row r="8270" spans="1:7">
      <c r="A8270">
        <v>8269</v>
      </c>
      <c r="B8270" t="str">
        <f>"008899"</f>
        <v>0</v>
      </c>
      <c r="C8270" t="s">
        <v>12827</v>
      </c>
      <c r="D8270" t="s">
        <v>12828</v>
      </c>
      <c r="E8270" t="str">
        <f>"3800700013854"</f>
        <v>0</v>
      </c>
      <c r="F8270" t="str">
        <f>"001550"</f>
        <v>0</v>
      </c>
      <c r="G8270" t="s">
        <v>21</v>
      </c>
    </row>
    <row r="8271" spans="1:7">
      <c r="A8271">
        <v>8270</v>
      </c>
      <c r="B8271" t="str">
        <f>"008957"</f>
        <v>0</v>
      </c>
      <c r="C8271" t="s">
        <v>482</v>
      </c>
      <c r="D8271" t="s">
        <v>12829</v>
      </c>
      <c r="E8271" t="str">
        <f>"3160300728011"</f>
        <v>0</v>
      </c>
      <c r="F8271" t="str">
        <f>"001550"</f>
        <v>0</v>
      </c>
      <c r="G8271" t="s">
        <v>21</v>
      </c>
    </row>
    <row r="8272" spans="1:7">
      <c r="A8272">
        <v>8271</v>
      </c>
      <c r="B8272" t="str">
        <f>"009064"</f>
        <v>0</v>
      </c>
      <c r="C8272" t="s">
        <v>719</v>
      </c>
      <c r="D8272" t="s">
        <v>12830</v>
      </c>
      <c r="E8272" t="str">
        <f>"3160400799328"</f>
        <v>0</v>
      </c>
      <c r="F8272" t="str">
        <f>"001550"</f>
        <v>0</v>
      </c>
      <c r="G8272" t="s">
        <v>21</v>
      </c>
    </row>
    <row r="8273" spans="1:7">
      <c r="A8273">
        <v>8272</v>
      </c>
      <c r="B8273" t="str">
        <f>"009176"</f>
        <v>0</v>
      </c>
      <c r="C8273" t="s">
        <v>4355</v>
      </c>
      <c r="D8273" t="s">
        <v>12831</v>
      </c>
      <c r="E8273" t="str">
        <f>"3420400173299"</f>
        <v>0</v>
      </c>
      <c r="F8273" t="str">
        <f>"001550"</f>
        <v>0</v>
      </c>
      <c r="G8273" t="s">
        <v>21</v>
      </c>
    </row>
    <row r="8274" spans="1:7">
      <c r="A8274">
        <v>8273</v>
      </c>
      <c r="B8274" t="str">
        <f>"009684"</f>
        <v>0</v>
      </c>
      <c r="C8274" t="s">
        <v>7140</v>
      </c>
      <c r="D8274" t="s">
        <v>12832</v>
      </c>
      <c r="E8274" t="str">
        <f>"3530300387768"</f>
        <v>0</v>
      </c>
      <c r="F8274" t="str">
        <f>"001550"</f>
        <v>0</v>
      </c>
      <c r="G8274" t="s">
        <v>21</v>
      </c>
    </row>
    <row r="8275" spans="1:7">
      <c r="A8275">
        <v>8274</v>
      </c>
      <c r="B8275" t="str">
        <f>"010517"</f>
        <v>0</v>
      </c>
      <c r="C8275" t="s">
        <v>12833</v>
      </c>
      <c r="D8275" t="s">
        <v>6094</v>
      </c>
      <c r="E8275" t="str">
        <f>"3160200024977"</f>
        <v>0</v>
      </c>
      <c r="F8275" t="str">
        <f>"001550"</f>
        <v>0</v>
      </c>
      <c r="G8275" t="s">
        <v>21</v>
      </c>
    </row>
    <row r="8276" spans="1:7">
      <c r="A8276">
        <v>8275</v>
      </c>
      <c r="B8276" t="str">
        <f>"010764"</f>
        <v>0</v>
      </c>
      <c r="C8276" t="s">
        <v>411</v>
      </c>
      <c r="D8276" t="s">
        <v>4221</v>
      </c>
      <c r="E8276" t="str">
        <f>"3160500355031"</f>
        <v>0</v>
      </c>
      <c r="F8276" t="str">
        <f>"001550"</f>
        <v>0</v>
      </c>
      <c r="G8276" t="s">
        <v>21</v>
      </c>
    </row>
    <row r="8277" spans="1:7">
      <c r="A8277">
        <v>8276</v>
      </c>
      <c r="B8277" t="str">
        <f>"011033"</f>
        <v>0</v>
      </c>
      <c r="C8277" t="s">
        <v>1634</v>
      </c>
      <c r="D8277" t="s">
        <v>12834</v>
      </c>
      <c r="E8277" t="str">
        <f>"3160101375534"</f>
        <v>0</v>
      </c>
      <c r="F8277" t="str">
        <f>"001550"</f>
        <v>0</v>
      </c>
      <c r="G8277" t="s">
        <v>21</v>
      </c>
    </row>
    <row r="8278" spans="1:7">
      <c r="A8278">
        <v>8277</v>
      </c>
      <c r="B8278" t="str">
        <f>"011226"</f>
        <v>0</v>
      </c>
      <c r="C8278" t="s">
        <v>112</v>
      </c>
      <c r="D8278" t="s">
        <v>12835</v>
      </c>
      <c r="E8278" t="str">
        <f>"3140900183121"</f>
        <v>0</v>
      </c>
      <c r="F8278" t="str">
        <f>"001550"</f>
        <v>0</v>
      </c>
      <c r="G8278" t="s">
        <v>21</v>
      </c>
    </row>
    <row r="8279" spans="1:7">
      <c r="A8279">
        <v>8278</v>
      </c>
      <c r="B8279" t="str">
        <f>"012905"</f>
        <v>0</v>
      </c>
      <c r="C8279" t="s">
        <v>44</v>
      </c>
      <c r="D8279" t="s">
        <v>12836</v>
      </c>
      <c r="E8279" t="str">
        <f>"5160400040697"</f>
        <v>0</v>
      </c>
      <c r="F8279" t="str">
        <f>"001550"</f>
        <v>0</v>
      </c>
      <c r="G8279" t="s">
        <v>21</v>
      </c>
    </row>
    <row r="8280" spans="1:7">
      <c r="A8280">
        <v>8279</v>
      </c>
      <c r="B8280" t="str">
        <f>"013611"</f>
        <v>0</v>
      </c>
      <c r="C8280" t="s">
        <v>9966</v>
      </c>
      <c r="D8280" t="s">
        <v>12835</v>
      </c>
      <c r="E8280" t="str">
        <f>"3160100137168"</f>
        <v>0</v>
      </c>
      <c r="F8280" t="str">
        <f>"001550"</f>
        <v>0</v>
      </c>
      <c r="G8280" t="s">
        <v>21</v>
      </c>
    </row>
    <row r="8281" spans="1:7">
      <c r="A8281">
        <v>8280</v>
      </c>
      <c r="B8281" t="str">
        <f>"014304"</f>
        <v>0</v>
      </c>
      <c r="C8281" t="s">
        <v>12837</v>
      </c>
      <c r="D8281" t="s">
        <v>12796</v>
      </c>
      <c r="E8281" t="str">
        <f>"3100503718398"</f>
        <v>0</v>
      </c>
      <c r="F8281" t="str">
        <f>"001550"</f>
        <v>0</v>
      </c>
      <c r="G8281" t="s">
        <v>21</v>
      </c>
    </row>
    <row r="8282" spans="1:7">
      <c r="A8282">
        <v>8281</v>
      </c>
      <c r="B8282" t="str">
        <f>"014305"</f>
        <v>0</v>
      </c>
      <c r="C8282" t="s">
        <v>260</v>
      </c>
      <c r="D8282" t="s">
        <v>43</v>
      </c>
      <c r="E8282" t="str">
        <f>"3160100031084"</f>
        <v>0</v>
      </c>
      <c r="F8282" t="str">
        <f>"001550"</f>
        <v>0</v>
      </c>
      <c r="G8282" t="s">
        <v>21</v>
      </c>
    </row>
    <row r="8283" spans="1:7">
      <c r="A8283">
        <v>8282</v>
      </c>
      <c r="B8283" t="str">
        <f>"014533"</f>
        <v>0</v>
      </c>
      <c r="C8283" t="s">
        <v>580</v>
      </c>
      <c r="D8283" t="s">
        <v>12838</v>
      </c>
      <c r="E8283" t="str">
        <f>"3909900330354"</f>
        <v>0</v>
      </c>
      <c r="F8283" t="str">
        <f>"001550"</f>
        <v>0</v>
      </c>
      <c r="G8283" t="s">
        <v>21</v>
      </c>
    </row>
    <row r="8284" spans="1:7">
      <c r="A8284">
        <v>8283</v>
      </c>
      <c r="B8284" t="str">
        <f>"015262"</f>
        <v>0</v>
      </c>
      <c r="C8284" t="s">
        <v>12839</v>
      </c>
      <c r="D8284" t="s">
        <v>12840</v>
      </c>
      <c r="E8284" t="str">
        <f>"3100501288353"</f>
        <v>0</v>
      </c>
      <c r="F8284" t="str">
        <f>"001550"</f>
        <v>0</v>
      </c>
      <c r="G8284" t="s">
        <v>21</v>
      </c>
    </row>
    <row r="8285" spans="1:7">
      <c r="A8285">
        <v>8284</v>
      </c>
      <c r="B8285" t="str">
        <f>"017809"</f>
        <v>0</v>
      </c>
      <c r="C8285" t="s">
        <v>500</v>
      </c>
      <c r="D8285" t="s">
        <v>12841</v>
      </c>
      <c r="E8285" t="str">
        <f>"3160100944489"</f>
        <v>0</v>
      </c>
      <c r="F8285" t="str">
        <f>"001550"</f>
        <v>0</v>
      </c>
      <c r="G8285" t="s">
        <v>21</v>
      </c>
    </row>
    <row r="8286" spans="1:7">
      <c r="A8286">
        <v>8285</v>
      </c>
      <c r="B8286" t="str">
        <f>"018492"</f>
        <v>0</v>
      </c>
      <c r="C8286" t="s">
        <v>2463</v>
      </c>
      <c r="D8286" t="s">
        <v>12842</v>
      </c>
      <c r="E8286" t="str">
        <f>"3160400528260"</f>
        <v>0</v>
      </c>
      <c r="F8286" t="str">
        <f>"001550"</f>
        <v>0</v>
      </c>
      <c r="G8286" t="s">
        <v>21</v>
      </c>
    </row>
    <row r="8287" spans="1:7">
      <c r="A8287">
        <v>8286</v>
      </c>
      <c r="B8287" t="str">
        <f>"019700"</f>
        <v>0</v>
      </c>
      <c r="C8287" t="s">
        <v>8078</v>
      </c>
      <c r="D8287" t="s">
        <v>12843</v>
      </c>
      <c r="E8287" t="str">
        <f>"3102001309825"</f>
        <v>0</v>
      </c>
      <c r="F8287" t="str">
        <f>"001550"</f>
        <v>0</v>
      </c>
      <c r="G8287" t="s">
        <v>21</v>
      </c>
    </row>
    <row r="8288" spans="1:7">
      <c r="A8288">
        <v>8287</v>
      </c>
      <c r="B8288" t="str">
        <f>"019780"</f>
        <v>0</v>
      </c>
      <c r="C8288" t="s">
        <v>1949</v>
      </c>
      <c r="D8288" t="s">
        <v>12844</v>
      </c>
      <c r="E8288" t="str">
        <f>"3361300003903"</f>
        <v>0</v>
      </c>
      <c r="F8288" t="str">
        <f>"001550"</f>
        <v>0</v>
      </c>
      <c r="G8288" t="s">
        <v>21</v>
      </c>
    </row>
    <row r="8289" spans="1:7">
      <c r="A8289">
        <v>8288</v>
      </c>
      <c r="B8289" t="str">
        <f>"019834"</f>
        <v>0</v>
      </c>
      <c r="C8289" t="s">
        <v>482</v>
      </c>
      <c r="D8289" t="s">
        <v>12845</v>
      </c>
      <c r="E8289" t="str">
        <f>"3160200100746"</f>
        <v>0</v>
      </c>
      <c r="F8289" t="str">
        <f>"001550"</f>
        <v>0</v>
      </c>
      <c r="G8289" t="s">
        <v>21</v>
      </c>
    </row>
    <row r="8290" spans="1:7">
      <c r="A8290">
        <v>8289</v>
      </c>
      <c r="B8290" t="str">
        <f>"019948"</f>
        <v>0</v>
      </c>
      <c r="C8290" t="s">
        <v>12846</v>
      </c>
      <c r="D8290" t="s">
        <v>12847</v>
      </c>
      <c r="E8290" t="str">
        <f>"5649800001625"</f>
        <v>0</v>
      </c>
      <c r="F8290" t="str">
        <f>"001550"</f>
        <v>0</v>
      </c>
      <c r="G8290" t="s">
        <v>21</v>
      </c>
    </row>
    <row r="8291" spans="1:7">
      <c r="A8291">
        <v>8290</v>
      </c>
      <c r="B8291" t="str">
        <f>"020327"</f>
        <v>0</v>
      </c>
      <c r="C8291" t="s">
        <v>12848</v>
      </c>
      <c r="D8291" t="s">
        <v>12849</v>
      </c>
      <c r="E8291" t="str">
        <f>"3169800009471"</f>
        <v>0</v>
      </c>
      <c r="F8291" t="str">
        <f>"001550"</f>
        <v>0</v>
      </c>
      <c r="G8291" t="s">
        <v>21</v>
      </c>
    </row>
    <row r="8292" spans="1:7">
      <c r="A8292">
        <v>8291</v>
      </c>
      <c r="B8292" t="str">
        <f>"021288"</f>
        <v>0</v>
      </c>
      <c r="C8292" t="s">
        <v>12850</v>
      </c>
      <c r="D8292" t="s">
        <v>12851</v>
      </c>
      <c r="E8292" t="str">
        <f>"3169900093601"</f>
        <v>0</v>
      </c>
      <c r="F8292" t="str">
        <f>"001550"</f>
        <v>0</v>
      </c>
      <c r="G8292" t="s">
        <v>21</v>
      </c>
    </row>
    <row r="8293" spans="1:7">
      <c r="A8293">
        <v>8292</v>
      </c>
      <c r="B8293" t="str">
        <f>"025393"</f>
        <v>0</v>
      </c>
      <c r="C8293" t="s">
        <v>9062</v>
      </c>
      <c r="D8293" t="s">
        <v>12852</v>
      </c>
      <c r="E8293" t="str">
        <f>"3169900156688"</f>
        <v>0</v>
      </c>
      <c r="F8293" t="str">
        <f>"001550"</f>
        <v>0</v>
      </c>
      <c r="G8293" t="s">
        <v>21</v>
      </c>
    </row>
    <row r="8294" spans="1:7">
      <c r="A8294">
        <v>8293</v>
      </c>
      <c r="B8294" t="str">
        <f>"027059"</f>
        <v>0</v>
      </c>
      <c r="C8294" t="s">
        <v>3815</v>
      </c>
      <c r="D8294" t="s">
        <v>12853</v>
      </c>
      <c r="E8294" t="str">
        <f>"3160100702302"</f>
        <v>0</v>
      </c>
      <c r="F8294" t="str">
        <f>"001550"</f>
        <v>0</v>
      </c>
      <c r="G8294" t="s">
        <v>21</v>
      </c>
    </row>
    <row r="8295" spans="1:7">
      <c r="A8295">
        <v>8294</v>
      </c>
      <c r="B8295" t="str">
        <f>"027060"</f>
        <v>0</v>
      </c>
      <c r="C8295" t="s">
        <v>12854</v>
      </c>
      <c r="D8295" t="s">
        <v>12855</v>
      </c>
      <c r="E8295" t="str">
        <f>"3730300614169"</f>
        <v>0</v>
      </c>
      <c r="F8295" t="str">
        <f>"001550"</f>
        <v>0</v>
      </c>
      <c r="G8295" t="s">
        <v>21</v>
      </c>
    </row>
    <row r="8296" spans="1:7">
      <c r="A8296">
        <v>8295</v>
      </c>
      <c r="B8296" t="str">
        <f>"027300"</f>
        <v>0</v>
      </c>
      <c r="C8296" t="s">
        <v>12856</v>
      </c>
      <c r="D8296" t="s">
        <v>12857</v>
      </c>
      <c r="E8296" t="str">
        <f>"3169900093651"</f>
        <v>0</v>
      </c>
      <c r="F8296" t="str">
        <f>"001550"</f>
        <v>0</v>
      </c>
      <c r="G8296" t="s">
        <v>21</v>
      </c>
    </row>
    <row r="8297" spans="1:7">
      <c r="A8297">
        <v>8296</v>
      </c>
      <c r="B8297" t="str">
        <f>"004377"</f>
        <v>0</v>
      </c>
      <c r="C8297" t="s">
        <v>12858</v>
      </c>
      <c r="D8297" t="s">
        <v>12859</v>
      </c>
      <c r="E8297" t="str">
        <f>"3160100449925"</f>
        <v>0</v>
      </c>
      <c r="F8297" t="str">
        <f>"001550"</f>
        <v>0</v>
      </c>
      <c r="G8297" t="s">
        <v>21</v>
      </c>
    </row>
    <row r="8298" spans="1:7">
      <c r="A8298">
        <v>8297</v>
      </c>
      <c r="B8298" t="str">
        <f>"011684"</f>
        <v>0</v>
      </c>
      <c r="C8298" t="s">
        <v>36</v>
      </c>
      <c r="D8298" t="s">
        <v>12860</v>
      </c>
      <c r="E8298" t="str">
        <f>"3160101308691"</f>
        <v>0</v>
      </c>
      <c r="F8298" t="str">
        <f>"001550"</f>
        <v>0</v>
      </c>
      <c r="G8298" t="s">
        <v>21</v>
      </c>
    </row>
    <row r="8299" spans="1:7">
      <c r="A8299">
        <v>8298</v>
      </c>
      <c r="B8299" t="str">
        <f>"013877"</f>
        <v>0</v>
      </c>
      <c r="C8299" t="s">
        <v>4305</v>
      </c>
      <c r="D8299" t="s">
        <v>12861</v>
      </c>
      <c r="E8299" t="str">
        <f>"3160100841817"</f>
        <v>0</v>
      </c>
      <c r="F8299" t="str">
        <f>"001550"</f>
        <v>0</v>
      </c>
      <c r="G8299" t="s">
        <v>21</v>
      </c>
    </row>
    <row r="8300" spans="1:7">
      <c r="A8300">
        <v>8299</v>
      </c>
      <c r="B8300" t="str">
        <f>"022946"</f>
        <v>0</v>
      </c>
      <c r="C8300" t="s">
        <v>12862</v>
      </c>
      <c r="D8300" t="s">
        <v>12863</v>
      </c>
      <c r="E8300" t="str">
        <f>"3160400796345"</f>
        <v>0</v>
      </c>
      <c r="F8300" t="str">
        <f>"001550"</f>
        <v>0</v>
      </c>
      <c r="G8300" t="s">
        <v>21</v>
      </c>
    </row>
    <row r="8301" spans="1:7">
      <c r="A8301">
        <v>8300</v>
      </c>
      <c r="B8301" t="str">
        <f>"003719"</f>
        <v>0</v>
      </c>
      <c r="C8301" t="s">
        <v>12864</v>
      </c>
      <c r="D8301" t="s">
        <v>12865</v>
      </c>
      <c r="E8301" t="str">
        <f>"3190600258495"</f>
        <v>0</v>
      </c>
      <c r="F8301" t="str">
        <f>"001550"</f>
        <v>0</v>
      </c>
      <c r="G8301" t="s">
        <v>21</v>
      </c>
    </row>
    <row r="8302" spans="1:7">
      <c r="A8302">
        <v>8301</v>
      </c>
      <c r="B8302" t="str">
        <f>"026896"</f>
        <v>0</v>
      </c>
      <c r="C8302" t="s">
        <v>12866</v>
      </c>
      <c r="D8302" t="s">
        <v>12867</v>
      </c>
      <c r="E8302" t="str">
        <f>"1179900255566"</f>
        <v>0</v>
      </c>
      <c r="F8302" t="str">
        <f>"001550"</f>
        <v>0</v>
      </c>
      <c r="G8302" t="s">
        <v>21</v>
      </c>
    </row>
    <row r="8303" spans="1:7">
      <c r="A8303">
        <v>8302</v>
      </c>
      <c r="B8303" t="str">
        <f>"001653"</f>
        <v>0</v>
      </c>
      <c r="C8303" t="s">
        <v>587</v>
      </c>
      <c r="D8303" t="s">
        <v>12794</v>
      </c>
      <c r="E8303" t="str">
        <f>"3169900093716"</f>
        <v>0</v>
      </c>
      <c r="F8303" t="str">
        <f>"001550"</f>
        <v>0</v>
      </c>
      <c r="G8303" t="s">
        <v>21</v>
      </c>
    </row>
    <row r="8304" spans="1:7">
      <c r="A8304">
        <v>8303</v>
      </c>
      <c r="B8304" t="str">
        <f>"002362"</f>
        <v>0</v>
      </c>
      <c r="C8304" t="s">
        <v>474</v>
      </c>
      <c r="D8304" t="s">
        <v>12868</v>
      </c>
      <c r="E8304" t="str">
        <f>"3169900122562"</f>
        <v>0</v>
      </c>
      <c r="F8304" t="str">
        <f>"001550"</f>
        <v>0</v>
      </c>
      <c r="G8304" t="s">
        <v>21</v>
      </c>
    </row>
    <row r="8305" spans="1:7">
      <c r="A8305">
        <v>8304</v>
      </c>
      <c r="B8305" t="str">
        <f>"026206"</f>
        <v>0</v>
      </c>
      <c r="C8305" t="s">
        <v>12869</v>
      </c>
      <c r="D8305" t="s">
        <v>2572</v>
      </c>
      <c r="E8305" t="str">
        <f>"1160100050830"</f>
        <v>0</v>
      </c>
      <c r="F8305" t="str">
        <f>"001550"</f>
        <v>0</v>
      </c>
      <c r="G8305" t="s">
        <v>21</v>
      </c>
    </row>
    <row r="8306" spans="1:7">
      <c r="A8306">
        <v>8305</v>
      </c>
      <c r="B8306" t="str">
        <f>"025646"</f>
        <v>0</v>
      </c>
      <c r="C8306" t="s">
        <v>12870</v>
      </c>
      <c r="D8306" t="s">
        <v>12871</v>
      </c>
      <c r="E8306" t="str">
        <f>"3901000432471"</f>
        <v>0</v>
      </c>
      <c r="F8306" t="str">
        <f>"001550"</f>
        <v>0</v>
      </c>
      <c r="G8306" t="s">
        <v>21</v>
      </c>
    </row>
    <row r="8307" spans="1:7">
      <c r="A8307">
        <v>8306</v>
      </c>
      <c r="B8307" t="str">
        <f>"025951"</f>
        <v>0</v>
      </c>
      <c r="C8307" t="s">
        <v>12872</v>
      </c>
      <c r="D8307" t="s">
        <v>12873</v>
      </c>
      <c r="E8307" t="str">
        <f>"1100200759393"</f>
        <v>0</v>
      </c>
      <c r="F8307" t="str">
        <f>"001550"</f>
        <v>0</v>
      </c>
      <c r="G8307" t="s">
        <v>21</v>
      </c>
    </row>
    <row r="8308" spans="1:7">
      <c r="A8308">
        <v>8307</v>
      </c>
      <c r="B8308" t="str">
        <f>"026526"</f>
        <v>0</v>
      </c>
      <c r="C8308" t="s">
        <v>12874</v>
      </c>
      <c r="D8308" t="s">
        <v>12875</v>
      </c>
      <c r="E8308" t="str">
        <f>"1709900762659"</f>
        <v>0</v>
      </c>
      <c r="F8308" t="str">
        <f>"001550"</f>
        <v>0</v>
      </c>
      <c r="G8308" t="s">
        <v>21</v>
      </c>
    </row>
    <row r="8309" spans="1:7">
      <c r="A8309">
        <v>8308</v>
      </c>
      <c r="B8309" t="str">
        <f>"024853"</f>
        <v>0</v>
      </c>
      <c r="C8309" t="s">
        <v>12876</v>
      </c>
      <c r="D8309" t="s">
        <v>12877</v>
      </c>
      <c r="E8309" t="str">
        <f>"1350100007681"</f>
        <v>0</v>
      </c>
      <c r="F8309" t="str">
        <f>"001550"</f>
        <v>0</v>
      </c>
      <c r="G8309" t="s">
        <v>21</v>
      </c>
    </row>
    <row r="8310" spans="1:7">
      <c r="A8310">
        <v>8309</v>
      </c>
      <c r="B8310" t="str">
        <f>"026404"</f>
        <v>0</v>
      </c>
      <c r="C8310" t="s">
        <v>12878</v>
      </c>
      <c r="D8310" t="s">
        <v>12879</v>
      </c>
      <c r="E8310" t="str">
        <f>"1169800098884"</f>
        <v>0</v>
      </c>
      <c r="F8310" t="str">
        <f>"001550"</f>
        <v>0</v>
      </c>
      <c r="G8310" t="s">
        <v>21</v>
      </c>
    </row>
    <row r="8311" spans="1:7">
      <c r="A8311">
        <v>8310</v>
      </c>
      <c r="B8311" t="str">
        <f>"021590"</f>
        <v>0</v>
      </c>
      <c r="C8311" t="s">
        <v>4967</v>
      </c>
      <c r="D8311" t="s">
        <v>12880</v>
      </c>
      <c r="E8311" t="str">
        <f>"1140900003496"</f>
        <v>0</v>
      </c>
      <c r="F8311" t="str">
        <f>"001550"</f>
        <v>0</v>
      </c>
      <c r="G8311" t="s">
        <v>21</v>
      </c>
    </row>
    <row r="8312" spans="1:7">
      <c r="A8312">
        <v>8311</v>
      </c>
      <c r="B8312" t="str">
        <f>"025950"</f>
        <v>0</v>
      </c>
      <c r="C8312" t="s">
        <v>4238</v>
      </c>
      <c r="D8312" t="s">
        <v>9307</v>
      </c>
      <c r="E8312" t="str">
        <f>"1199900372783"</f>
        <v>0</v>
      </c>
      <c r="F8312" t="str">
        <f>"001550"</f>
        <v>0</v>
      </c>
      <c r="G8312" t="s">
        <v>21</v>
      </c>
    </row>
    <row r="8313" spans="1:7">
      <c r="A8313">
        <v>8312</v>
      </c>
      <c r="B8313" t="str">
        <f>"027196"</f>
        <v>0</v>
      </c>
      <c r="C8313" t="s">
        <v>2566</v>
      </c>
      <c r="D8313" t="s">
        <v>12881</v>
      </c>
      <c r="E8313" t="str">
        <f>"3160600214471"</f>
        <v>0</v>
      </c>
      <c r="F8313" t="str">
        <f>"001550"</f>
        <v>0</v>
      </c>
      <c r="G8313" t="s">
        <v>21</v>
      </c>
    </row>
    <row r="8314" spans="1:7">
      <c r="A8314">
        <v>8313</v>
      </c>
      <c r="B8314" t="str">
        <f>"027437"</f>
        <v>0</v>
      </c>
      <c r="C8314" t="s">
        <v>12882</v>
      </c>
      <c r="D8314" t="s">
        <v>12883</v>
      </c>
      <c r="E8314" t="str">
        <f>"1719900240610"</f>
        <v>0</v>
      </c>
      <c r="F8314" t="str">
        <f>"001550"</f>
        <v>0</v>
      </c>
      <c r="G8314" t="s">
        <v>21</v>
      </c>
    </row>
    <row r="8315" spans="1:7">
      <c r="A8315">
        <v>8314</v>
      </c>
      <c r="B8315" t="str">
        <f>"026791"</f>
        <v>0</v>
      </c>
      <c r="C8315" t="s">
        <v>1315</v>
      </c>
      <c r="D8315" t="s">
        <v>12884</v>
      </c>
      <c r="E8315" t="str">
        <f>"1150400052455"</f>
        <v>0</v>
      </c>
      <c r="F8315" t="str">
        <f>"001550"</f>
        <v>0</v>
      </c>
      <c r="G8315" t="s">
        <v>21</v>
      </c>
    </row>
    <row r="8316" spans="1:7">
      <c r="A8316">
        <v>8315</v>
      </c>
      <c r="B8316" t="str">
        <f>"007838"</f>
        <v>0</v>
      </c>
      <c r="C8316" t="s">
        <v>12885</v>
      </c>
      <c r="D8316" t="s">
        <v>12807</v>
      </c>
      <c r="E8316" t="str">
        <f>"3160400130924"</f>
        <v>0</v>
      </c>
      <c r="F8316" t="str">
        <f>"001550"</f>
        <v>0</v>
      </c>
      <c r="G8316" t="s">
        <v>21</v>
      </c>
    </row>
    <row r="8317" spans="1:7">
      <c r="A8317">
        <v>8316</v>
      </c>
      <c r="B8317" t="str">
        <f>"008627"</f>
        <v>0</v>
      </c>
      <c r="C8317" t="s">
        <v>12886</v>
      </c>
      <c r="D8317" t="s">
        <v>2074</v>
      </c>
      <c r="E8317" t="str">
        <f>"3160400078574"</f>
        <v>0</v>
      </c>
      <c r="F8317" t="str">
        <f>"001550"</f>
        <v>0</v>
      </c>
      <c r="G8317" t="s">
        <v>21</v>
      </c>
    </row>
    <row r="8318" spans="1:7">
      <c r="A8318">
        <v>8317</v>
      </c>
      <c r="B8318" t="str">
        <f>"009265"</f>
        <v>0</v>
      </c>
      <c r="C8318" t="s">
        <v>9525</v>
      </c>
      <c r="D8318" t="s">
        <v>12887</v>
      </c>
      <c r="E8318" t="str">
        <f>"3160200104121"</f>
        <v>0</v>
      </c>
      <c r="F8318" t="str">
        <f>"001550"</f>
        <v>0</v>
      </c>
      <c r="G8318" t="s">
        <v>21</v>
      </c>
    </row>
    <row r="8319" spans="1:7">
      <c r="A8319">
        <v>8318</v>
      </c>
      <c r="B8319" t="str">
        <f>"010148"</f>
        <v>0</v>
      </c>
      <c r="C8319" t="s">
        <v>1415</v>
      </c>
      <c r="D8319" t="s">
        <v>12888</v>
      </c>
      <c r="E8319" t="str">
        <f>"3160300369500"</f>
        <v>0</v>
      </c>
      <c r="F8319" t="str">
        <f>"001550"</f>
        <v>0</v>
      </c>
      <c r="G8319" t="s">
        <v>21</v>
      </c>
    </row>
    <row r="8320" spans="1:7">
      <c r="A8320">
        <v>8319</v>
      </c>
      <c r="B8320" t="str">
        <f>"011227"</f>
        <v>0</v>
      </c>
      <c r="C8320" t="s">
        <v>12889</v>
      </c>
      <c r="D8320" t="s">
        <v>853</v>
      </c>
      <c r="E8320" t="str">
        <f>"3521200334558"</f>
        <v>0</v>
      </c>
      <c r="F8320" t="str">
        <f>"001550"</f>
        <v>0</v>
      </c>
      <c r="G8320" t="s">
        <v>21</v>
      </c>
    </row>
    <row r="8321" spans="1:7">
      <c r="A8321">
        <v>8320</v>
      </c>
      <c r="B8321" t="str">
        <f>"011580"</f>
        <v>0</v>
      </c>
      <c r="C8321" t="s">
        <v>126</v>
      </c>
      <c r="D8321" t="s">
        <v>12890</v>
      </c>
      <c r="E8321" t="str">
        <f>"3160600665589"</f>
        <v>0</v>
      </c>
      <c r="F8321" t="str">
        <f>"001550"</f>
        <v>0</v>
      </c>
      <c r="G8321" t="s">
        <v>21</v>
      </c>
    </row>
    <row r="8322" spans="1:7">
      <c r="A8322">
        <v>8321</v>
      </c>
      <c r="B8322" t="str">
        <f>"012782"</f>
        <v>0</v>
      </c>
      <c r="C8322" t="s">
        <v>8726</v>
      </c>
      <c r="D8322" t="s">
        <v>12891</v>
      </c>
      <c r="E8322" t="str">
        <f>"3510101053444"</f>
        <v>0</v>
      </c>
      <c r="F8322" t="str">
        <f>"001550"</f>
        <v>0</v>
      </c>
      <c r="G8322" t="s">
        <v>21</v>
      </c>
    </row>
    <row r="8323" spans="1:7">
      <c r="A8323">
        <v>8322</v>
      </c>
      <c r="B8323" t="str">
        <f>"014410"</f>
        <v>0</v>
      </c>
      <c r="C8323" t="s">
        <v>1553</v>
      </c>
      <c r="D8323" t="s">
        <v>12892</v>
      </c>
      <c r="E8323" t="str">
        <f>"3160100101449"</f>
        <v>0</v>
      </c>
      <c r="F8323" t="str">
        <f>"001550"</f>
        <v>0</v>
      </c>
      <c r="G8323" t="s">
        <v>21</v>
      </c>
    </row>
    <row r="8324" spans="1:7">
      <c r="A8324">
        <v>8323</v>
      </c>
      <c r="B8324" t="str">
        <f>"014530"</f>
        <v>0</v>
      </c>
      <c r="C8324" t="s">
        <v>4191</v>
      </c>
      <c r="D8324" t="s">
        <v>12893</v>
      </c>
      <c r="E8324" t="str">
        <f>"3160100267762"</f>
        <v>0</v>
      </c>
      <c r="F8324" t="str">
        <f>"001550"</f>
        <v>0</v>
      </c>
      <c r="G8324" t="s">
        <v>21</v>
      </c>
    </row>
    <row r="8325" spans="1:7">
      <c r="A8325">
        <v>8324</v>
      </c>
      <c r="B8325" t="str">
        <f>"015002"</f>
        <v>0</v>
      </c>
      <c r="C8325" t="s">
        <v>48</v>
      </c>
      <c r="D8325" t="s">
        <v>12894</v>
      </c>
      <c r="E8325" t="str">
        <f>"5160499012950"</f>
        <v>0</v>
      </c>
      <c r="F8325" t="str">
        <f>"001550"</f>
        <v>0</v>
      </c>
      <c r="G8325" t="s">
        <v>21</v>
      </c>
    </row>
    <row r="8326" spans="1:7">
      <c r="A8326">
        <v>8325</v>
      </c>
      <c r="B8326" t="str">
        <f>"015337"</f>
        <v>0</v>
      </c>
      <c r="C8326" t="s">
        <v>5091</v>
      </c>
      <c r="D8326" t="s">
        <v>12895</v>
      </c>
      <c r="E8326" t="str">
        <f>"3160100217552"</f>
        <v>0</v>
      </c>
      <c r="F8326" t="str">
        <f>"001550"</f>
        <v>0</v>
      </c>
      <c r="G8326" t="s">
        <v>21</v>
      </c>
    </row>
    <row r="8327" spans="1:7">
      <c r="A8327">
        <v>8326</v>
      </c>
      <c r="B8327" t="str">
        <f>"016640"</f>
        <v>0</v>
      </c>
      <c r="C8327" t="s">
        <v>12896</v>
      </c>
      <c r="D8327" t="s">
        <v>12897</v>
      </c>
      <c r="E8327" t="str">
        <f>"3160600029054"</f>
        <v>0</v>
      </c>
      <c r="F8327" t="str">
        <f>"001550"</f>
        <v>0</v>
      </c>
      <c r="G8327" t="s">
        <v>21</v>
      </c>
    </row>
    <row r="8328" spans="1:7">
      <c r="A8328">
        <v>8327</v>
      </c>
      <c r="B8328" t="str">
        <f>"017066"</f>
        <v>0</v>
      </c>
      <c r="C8328" t="s">
        <v>12898</v>
      </c>
      <c r="D8328" t="s">
        <v>12899</v>
      </c>
      <c r="E8328" t="str">
        <f>"3301600479377"</f>
        <v>0</v>
      </c>
      <c r="F8328" t="str">
        <f>"001550"</f>
        <v>0</v>
      </c>
      <c r="G8328" t="s">
        <v>21</v>
      </c>
    </row>
    <row r="8329" spans="1:7">
      <c r="A8329">
        <v>8328</v>
      </c>
      <c r="B8329" t="str">
        <f>"017503"</f>
        <v>0</v>
      </c>
      <c r="C8329" t="s">
        <v>3740</v>
      </c>
      <c r="D8329" t="s">
        <v>12900</v>
      </c>
      <c r="E8329" t="str">
        <f>"5961000001396"</f>
        <v>0</v>
      </c>
      <c r="F8329" t="str">
        <f>"001550"</f>
        <v>0</v>
      </c>
      <c r="G8329" t="s">
        <v>21</v>
      </c>
    </row>
    <row r="8330" spans="1:7">
      <c r="A8330">
        <v>8329</v>
      </c>
      <c r="B8330" t="str">
        <f>"017875"</f>
        <v>0</v>
      </c>
      <c r="C8330" t="s">
        <v>2014</v>
      </c>
      <c r="D8330" t="s">
        <v>12901</v>
      </c>
      <c r="E8330" t="str">
        <f>"3140800481210"</f>
        <v>0</v>
      </c>
      <c r="F8330" t="str">
        <f>"001550"</f>
        <v>0</v>
      </c>
      <c r="G8330" t="s">
        <v>21</v>
      </c>
    </row>
    <row r="8331" spans="1:7">
      <c r="A8331">
        <v>8330</v>
      </c>
      <c r="B8331" t="str">
        <f>"017945"</f>
        <v>0</v>
      </c>
      <c r="C8331" t="s">
        <v>12902</v>
      </c>
      <c r="D8331" t="s">
        <v>12903</v>
      </c>
      <c r="E8331" t="str">
        <f>"3191100516950"</f>
        <v>0</v>
      </c>
      <c r="F8331" t="str">
        <f>"001550"</f>
        <v>0</v>
      </c>
      <c r="G8331" t="s">
        <v>21</v>
      </c>
    </row>
    <row r="8332" spans="1:7">
      <c r="A8332">
        <v>8331</v>
      </c>
      <c r="B8332" t="str">
        <f>"018495"</f>
        <v>0</v>
      </c>
      <c r="C8332" t="s">
        <v>12904</v>
      </c>
      <c r="D8332" t="s">
        <v>12905</v>
      </c>
      <c r="E8332" t="str">
        <f>"3160100175744"</f>
        <v>0</v>
      </c>
      <c r="F8332" t="str">
        <f>"001550"</f>
        <v>0</v>
      </c>
      <c r="G8332" t="s">
        <v>21</v>
      </c>
    </row>
    <row r="8333" spans="1:7">
      <c r="A8333">
        <v>8332</v>
      </c>
      <c r="B8333" t="str">
        <f>"019414"</f>
        <v>0</v>
      </c>
      <c r="C8333" t="s">
        <v>4764</v>
      </c>
      <c r="D8333" t="s">
        <v>12794</v>
      </c>
      <c r="E8333" t="str">
        <f>"3169900093694"</f>
        <v>0</v>
      </c>
      <c r="F8333" t="str">
        <f>"001550"</f>
        <v>0</v>
      </c>
      <c r="G8333" t="s">
        <v>21</v>
      </c>
    </row>
    <row r="8334" spans="1:7">
      <c r="A8334">
        <v>8333</v>
      </c>
      <c r="B8334" t="str">
        <f>"020002"</f>
        <v>0</v>
      </c>
      <c r="C8334" t="s">
        <v>12906</v>
      </c>
      <c r="D8334" t="s">
        <v>12907</v>
      </c>
      <c r="E8334" t="str">
        <f>"3120600592514"</f>
        <v>0</v>
      </c>
      <c r="F8334" t="str">
        <f>"001550"</f>
        <v>0</v>
      </c>
      <c r="G8334" t="s">
        <v>21</v>
      </c>
    </row>
    <row r="8335" spans="1:7">
      <c r="A8335">
        <v>8334</v>
      </c>
      <c r="B8335" t="str">
        <f>"020046"</f>
        <v>0</v>
      </c>
      <c r="C8335" t="s">
        <v>11727</v>
      </c>
      <c r="D8335" t="s">
        <v>12908</v>
      </c>
      <c r="E8335" t="str">
        <f>"3160300452385"</f>
        <v>0</v>
      </c>
      <c r="F8335" t="str">
        <f>"001550"</f>
        <v>0</v>
      </c>
      <c r="G8335" t="s">
        <v>21</v>
      </c>
    </row>
    <row r="8336" spans="1:7">
      <c r="A8336">
        <v>8335</v>
      </c>
      <c r="B8336" t="str">
        <f>"020326"</f>
        <v>0</v>
      </c>
      <c r="C8336" t="s">
        <v>2907</v>
      </c>
      <c r="D8336" t="s">
        <v>12909</v>
      </c>
      <c r="E8336" t="str">
        <f>"3240300088364"</f>
        <v>0</v>
      </c>
      <c r="F8336" t="str">
        <f>"001550"</f>
        <v>0</v>
      </c>
      <c r="G8336" t="s">
        <v>21</v>
      </c>
    </row>
    <row r="8337" spans="1:7">
      <c r="A8337">
        <v>8336</v>
      </c>
      <c r="B8337" t="str">
        <f>"021330"</f>
        <v>0</v>
      </c>
      <c r="C8337" t="s">
        <v>11438</v>
      </c>
      <c r="D8337" t="s">
        <v>12910</v>
      </c>
      <c r="E8337" t="str">
        <f>"3180100142757"</f>
        <v>0</v>
      </c>
      <c r="F8337" t="str">
        <f>"001550"</f>
        <v>0</v>
      </c>
      <c r="G8337" t="s">
        <v>21</v>
      </c>
    </row>
    <row r="8338" spans="1:7">
      <c r="A8338">
        <v>8337</v>
      </c>
      <c r="B8338" t="str">
        <f>"021493"</f>
        <v>0</v>
      </c>
      <c r="C8338" t="s">
        <v>12911</v>
      </c>
      <c r="D8338" t="s">
        <v>12912</v>
      </c>
      <c r="E8338" t="str">
        <f>"3160400015823"</f>
        <v>0</v>
      </c>
      <c r="F8338" t="str">
        <f>"001550"</f>
        <v>0</v>
      </c>
      <c r="G8338" t="s">
        <v>21</v>
      </c>
    </row>
    <row r="8339" spans="1:7">
      <c r="A8339">
        <v>8338</v>
      </c>
      <c r="B8339" t="str">
        <f>"021622"</f>
        <v>0</v>
      </c>
      <c r="C8339" t="s">
        <v>12913</v>
      </c>
      <c r="D8339" t="s">
        <v>5334</v>
      </c>
      <c r="E8339" t="str">
        <f>"1160299000254"</f>
        <v>0</v>
      </c>
      <c r="F8339" t="str">
        <f>"001550"</f>
        <v>0</v>
      </c>
      <c r="G8339" t="s">
        <v>21</v>
      </c>
    </row>
    <row r="8340" spans="1:7">
      <c r="A8340">
        <v>8339</v>
      </c>
      <c r="B8340" t="str">
        <f>"022868"</f>
        <v>0</v>
      </c>
      <c r="C8340" t="s">
        <v>4504</v>
      </c>
      <c r="D8340" t="s">
        <v>12914</v>
      </c>
      <c r="E8340" t="str">
        <f>"1169800021016"</f>
        <v>0</v>
      </c>
      <c r="F8340" t="str">
        <f>"001550"</f>
        <v>0</v>
      </c>
      <c r="G8340" t="s">
        <v>21</v>
      </c>
    </row>
    <row r="8341" spans="1:7">
      <c r="A8341">
        <v>8340</v>
      </c>
      <c r="B8341" t="str">
        <f>"022900"</f>
        <v>0</v>
      </c>
      <c r="C8341" t="s">
        <v>12915</v>
      </c>
      <c r="D8341" t="s">
        <v>12916</v>
      </c>
      <c r="E8341" t="str">
        <f>"2190900002382"</f>
        <v>0</v>
      </c>
      <c r="F8341" t="str">
        <f>"001550"</f>
        <v>0</v>
      </c>
      <c r="G8341" t="s">
        <v>21</v>
      </c>
    </row>
    <row r="8342" spans="1:7">
      <c r="A8342">
        <v>8341</v>
      </c>
      <c r="B8342" t="str">
        <f>"022905"</f>
        <v>0</v>
      </c>
      <c r="C8342" t="s">
        <v>12917</v>
      </c>
      <c r="D8342" t="s">
        <v>12918</v>
      </c>
      <c r="E8342" t="str">
        <f>"3439900093624"</f>
        <v>0</v>
      </c>
      <c r="F8342" t="str">
        <f>"001550"</f>
        <v>0</v>
      </c>
      <c r="G8342" t="s">
        <v>21</v>
      </c>
    </row>
    <row r="8343" spans="1:7">
      <c r="A8343">
        <v>8342</v>
      </c>
      <c r="B8343" t="str">
        <f>"023440"</f>
        <v>0</v>
      </c>
      <c r="C8343" t="s">
        <v>8353</v>
      </c>
      <c r="D8343" t="s">
        <v>12919</v>
      </c>
      <c r="E8343" t="str">
        <f>"1160100043132"</f>
        <v>0</v>
      </c>
      <c r="F8343" t="str">
        <f>"001550"</f>
        <v>0</v>
      </c>
      <c r="G8343" t="s">
        <v>21</v>
      </c>
    </row>
    <row r="8344" spans="1:7">
      <c r="A8344">
        <v>8343</v>
      </c>
      <c r="B8344" t="str">
        <f>"023632"</f>
        <v>0</v>
      </c>
      <c r="C8344" t="s">
        <v>11732</v>
      </c>
      <c r="D8344" t="s">
        <v>12920</v>
      </c>
      <c r="E8344" t="str">
        <f>"3160700184647"</f>
        <v>0</v>
      </c>
      <c r="F8344" t="str">
        <f>"001550"</f>
        <v>0</v>
      </c>
      <c r="G8344" t="s">
        <v>21</v>
      </c>
    </row>
    <row r="8345" spans="1:7">
      <c r="A8345">
        <v>8344</v>
      </c>
      <c r="B8345" t="str">
        <f>"023956"</f>
        <v>0</v>
      </c>
      <c r="C8345" t="s">
        <v>132</v>
      </c>
      <c r="D8345" t="s">
        <v>12921</v>
      </c>
      <c r="E8345" t="str">
        <f>"1160100304475"</f>
        <v>0</v>
      </c>
      <c r="F8345" t="str">
        <f>"001550"</f>
        <v>0</v>
      </c>
      <c r="G8345" t="s">
        <v>21</v>
      </c>
    </row>
    <row r="8346" spans="1:7">
      <c r="A8346">
        <v>8345</v>
      </c>
      <c r="B8346" t="str">
        <f>"024207"</f>
        <v>0</v>
      </c>
      <c r="C8346" t="s">
        <v>322</v>
      </c>
      <c r="D8346" t="s">
        <v>12922</v>
      </c>
      <c r="E8346" t="str">
        <f>"1160100178682"</f>
        <v>0</v>
      </c>
      <c r="F8346" t="str">
        <f>"001550"</f>
        <v>0</v>
      </c>
      <c r="G8346" t="s">
        <v>21</v>
      </c>
    </row>
    <row r="8347" spans="1:7">
      <c r="A8347">
        <v>8346</v>
      </c>
      <c r="B8347" t="str">
        <f>"024306"</f>
        <v>0</v>
      </c>
      <c r="C8347" t="s">
        <v>12923</v>
      </c>
      <c r="D8347" t="s">
        <v>12924</v>
      </c>
      <c r="E8347" t="str">
        <f>"3160101155488"</f>
        <v>0</v>
      </c>
      <c r="F8347" t="str">
        <f>"001550"</f>
        <v>0</v>
      </c>
      <c r="G8347" t="s">
        <v>21</v>
      </c>
    </row>
    <row r="8348" spans="1:7">
      <c r="A8348">
        <v>8347</v>
      </c>
      <c r="B8348" t="str">
        <f>"024334"</f>
        <v>0</v>
      </c>
      <c r="C8348" t="s">
        <v>12925</v>
      </c>
      <c r="D8348" t="s">
        <v>12926</v>
      </c>
      <c r="E8348" t="str">
        <f>"5160600007677"</f>
        <v>0</v>
      </c>
      <c r="F8348" t="str">
        <f>"001550"</f>
        <v>0</v>
      </c>
      <c r="G8348" t="s">
        <v>21</v>
      </c>
    </row>
    <row r="8349" spans="1:7">
      <c r="A8349">
        <v>8348</v>
      </c>
      <c r="B8349" t="str">
        <f>"024854"</f>
        <v>0</v>
      </c>
      <c r="C8349" t="s">
        <v>12927</v>
      </c>
      <c r="D8349" t="s">
        <v>12928</v>
      </c>
      <c r="E8349" t="str">
        <f>"1160100038759"</f>
        <v>0</v>
      </c>
      <c r="F8349" t="str">
        <f>"001550"</f>
        <v>0</v>
      </c>
      <c r="G8349" t="s">
        <v>21</v>
      </c>
    </row>
    <row r="8350" spans="1:7">
      <c r="A8350">
        <v>8349</v>
      </c>
      <c r="B8350" t="str">
        <f>"024855"</f>
        <v>0</v>
      </c>
      <c r="C8350" t="s">
        <v>12929</v>
      </c>
      <c r="D8350" t="s">
        <v>12930</v>
      </c>
      <c r="E8350" t="str">
        <f>"1160100177597"</f>
        <v>0</v>
      </c>
      <c r="F8350" t="str">
        <f>"001550"</f>
        <v>0</v>
      </c>
      <c r="G8350" t="s">
        <v>21</v>
      </c>
    </row>
    <row r="8351" spans="1:7">
      <c r="A8351">
        <v>8350</v>
      </c>
      <c r="B8351" t="str">
        <f>"024980"</f>
        <v>0</v>
      </c>
      <c r="C8351" t="s">
        <v>5676</v>
      </c>
      <c r="D8351" t="s">
        <v>12931</v>
      </c>
      <c r="E8351" t="str">
        <f>"1160100242666"</f>
        <v>0</v>
      </c>
      <c r="F8351" t="str">
        <f>"001550"</f>
        <v>0</v>
      </c>
      <c r="G8351" t="s">
        <v>21</v>
      </c>
    </row>
    <row r="8352" spans="1:7">
      <c r="A8352">
        <v>8351</v>
      </c>
      <c r="B8352" t="str">
        <f>"026204"</f>
        <v>0</v>
      </c>
      <c r="C8352" t="s">
        <v>4764</v>
      </c>
      <c r="D8352" t="s">
        <v>12932</v>
      </c>
      <c r="E8352" t="str">
        <f>"3160200018705"</f>
        <v>0</v>
      </c>
      <c r="F8352" t="str">
        <f>"001550"</f>
        <v>0</v>
      </c>
      <c r="G8352" t="s">
        <v>21</v>
      </c>
    </row>
    <row r="8353" spans="1:7">
      <c r="A8353">
        <v>8352</v>
      </c>
      <c r="B8353" t="str">
        <f>"026657"</f>
        <v>0</v>
      </c>
      <c r="C8353" t="s">
        <v>9235</v>
      </c>
      <c r="D8353" t="s">
        <v>12933</v>
      </c>
      <c r="E8353" t="str">
        <f>"1670600010221"</f>
        <v>0</v>
      </c>
      <c r="F8353" t="str">
        <f>"001550"</f>
        <v>0</v>
      </c>
      <c r="G8353" t="s">
        <v>21</v>
      </c>
    </row>
    <row r="8354" spans="1:7">
      <c r="A8354">
        <v>8353</v>
      </c>
      <c r="B8354" t="str">
        <f>"026786"</f>
        <v>0</v>
      </c>
      <c r="C8354" t="s">
        <v>12934</v>
      </c>
      <c r="D8354" t="s">
        <v>12935</v>
      </c>
      <c r="E8354" t="str">
        <f>"1700400175365"</f>
        <v>0</v>
      </c>
      <c r="F8354" t="str">
        <f>"001550"</f>
        <v>0</v>
      </c>
      <c r="G8354" t="s">
        <v>21</v>
      </c>
    </row>
    <row r="8355" spans="1:7">
      <c r="A8355">
        <v>8354</v>
      </c>
      <c r="B8355" t="str">
        <f>"009768"</f>
        <v>0</v>
      </c>
      <c r="C8355" t="s">
        <v>12936</v>
      </c>
      <c r="D8355" t="s">
        <v>12937</v>
      </c>
      <c r="E8355" t="str">
        <f>"3319900049201"</f>
        <v>0</v>
      </c>
      <c r="F8355" t="str">
        <f>"001550"</f>
        <v>0</v>
      </c>
      <c r="G8355" t="s">
        <v>21</v>
      </c>
    </row>
    <row r="8356" spans="1:7">
      <c r="A8356">
        <v>8355</v>
      </c>
      <c r="B8356" t="str">
        <f>"017576"</f>
        <v>0</v>
      </c>
      <c r="C8356" t="s">
        <v>12938</v>
      </c>
      <c r="D8356" t="s">
        <v>821</v>
      </c>
      <c r="E8356" t="str">
        <f>"3170100079851"</f>
        <v>0</v>
      </c>
      <c r="F8356" t="str">
        <f>"001550"</f>
        <v>0</v>
      </c>
      <c r="G8356" t="s">
        <v>21</v>
      </c>
    </row>
    <row r="8357" spans="1:7">
      <c r="A8357">
        <v>8356</v>
      </c>
      <c r="B8357" t="str">
        <f>"021053"</f>
        <v>0</v>
      </c>
      <c r="C8357" t="s">
        <v>4026</v>
      </c>
      <c r="D8357" t="s">
        <v>12939</v>
      </c>
      <c r="E8357" t="str">
        <f>"3180500441271"</f>
        <v>0</v>
      </c>
      <c r="F8357" t="str">
        <f>"001550"</f>
        <v>0</v>
      </c>
      <c r="G8357" t="s">
        <v>21</v>
      </c>
    </row>
    <row r="8358" spans="1:7">
      <c r="A8358">
        <v>8357</v>
      </c>
      <c r="B8358" t="str">
        <f>"026788"</f>
        <v>0</v>
      </c>
      <c r="C8358" t="s">
        <v>5080</v>
      </c>
      <c r="D8358" t="s">
        <v>12940</v>
      </c>
      <c r="E8358" t="str">
        <f>"1179900196471"</f>
        <v>0</v>
      </c>
      <c r="F8358" t="str">
        <f>"001550"</f>
        <v>0</v>
      </c>
      <c r="G8358" t="s">
        <v>21</v>
      </c>
    </row>
    <row r="8359" spans="1:7">
      <c r="A8359">
        <v>8358</v>
      </c>
      <c r="B8359" t="str">
        <f>"027198"</f>
        <v>0</v>
      </c>
      <c r="C8359" t="s">
        <v>12941</v>
      </c>
      <c r="D8359" t="s">
        <v>12942</v>
      </c>
      <c r="E8359" t="str">
        <f>"1170600067553"</f>
        <v>0</v>
      </c>
      <c r="F8359" t="str">
        <f>"001550"</f>
        <v>0</v>
      </c>
      <c r="G8359" t="s">
        <v>21</v>
      </c>
    </row>
    <row r="8360" spans="1:7">
      <c r="A8360">
        <v>8359</v>
      </c>
      <c r="B8360" t="str">
        <f>"022904"</f>
        <v>0</v>
      </c>
      <c r="C8360" t="s">
        <v>12943</v>
      </c>
      <c r="D8360" t="s">
        <v>12944</v>
      </c>
      <c r="E8360" t="str">
        <f>"3190900096521"</f>
        <v>0</v>
      </c>
      <c r="F8360" t="str">
        <f>"001550"</f>
        <v>0</v>
      </c>
      <c r="G8360" t="s">
        <v>21</v>
      </c>
    </row>
    <row r="8361" spans="1:7">
      <c r="A8361">
        <v>8360</v>
      </c>
      <c r="B8361" t="str">
        <f>"026793"</f>
        <v>0</v>
      </c>
      <c r="C8361" t="s">
        <v>2123</v>
      </c>
      <c r="D8361" t="s">
        <v>12945</v>
      </c>
      <c r="E8361" t="str">
        <f>"1199900321151"</f>
        <v>0</v>
      </c>
      <c r="F8361" t="str">
        <f>"001550"</f>
        <v>0</v>
      </c>
      <c r="G8361" t="s">
        <v>21</v>
      </c>
    </row>
    <row r="8362" spans="1:7">
      <c r="A8362">
        <v>8361</v>
      </c>
      <c r="B8362" t="str">
        <f>"024851"</f>
        <v>0</v>
      </c>
      <c r="C8362" t="s">
        <v>1011</v>
      </c>
      <c r="D8362" t="s">
        <v>12946</v>
      </c>
      <c r="E8362" t="str">
        <f>"1311100134978"</f>
        <v>0</v>
      </c>
      <c r="F8362" t="str">
        <f>"001550"</f>
        <v>0</v>
      </c>
      <c r="G8362" t="s">
        <v>21</v>
      </c>
    </row>
    <row r="8363" spans="1:7">
      <c r="A8363">
        <v>8362</v>
      </c>
      <c r="B8363" t="str">
        <f>"025952"</f>
        <v>0</v>
      </c>
      <c r="C8363" t="s">
        <v>4384</v>
      </c>
      <c r="D8363" t="s">
        <v>12947</v>
      </c>
      <c r="E8363" t="str">
        <f>"1460100090766"</f>
        <v>0</v>
      </c>
      <c r="F8363" t="str">
        <f>"001550"</f>
        <v>0</v>
      </c>
      <c r="G8363" t="s">
        <v>21</v>
      </c>
    </row>
    <row r="8364" spans="1:7">
      <c r="A8364">
        <v>8363</v>
      </c>
      <c r="B8364" t="str">
        <f>"019306"</f>
        <v>0</v>
      </c>
      <c r="C8364" t="s">
        <v>5070</v>
      </c>
      <c r="D8364" t="s">
        <v>12948</v>
      </c>
      <c r="E8364" t="str">
        <f>"3170100174519"</f>
        <v>0</v>
      </c>
      <c r="F8364" t="str">
        <f>"001550"</f>
        <v>0</v>
      </c>
      <c r="G8364" t="s">
        <v>21</v>
      </c>
    </row>
    <row r="8365" spans="1:7">
      <c r="A8365">
        <v>8364</v>
      </c>
      <c r="B8365" t="str">
        <f>"027436"</f>
        <v>0</v>
      </c>
      <c r="C8365" t="s">
        <v>3404</v>
      </c>
      <c r="D8365" t="s">
        <v>12949</v>
      </c>
      <c r="E8365" t="str">
        <f>"1660600085654"</f>
        <v>0</v>
      </c>
      <c r="F8365" t="str">
        <f>"001550"</f>
        <v>0</v>
      </c>
      <c r="G8365" t="s">
        <v>21</v>
      </c>
    </row>
    <row r="8366" spans="1:7">
      <c r="A8366">
        <v>8365</v>
      </c>
      <c r="B8366" t="str">
        <f>"027438"</f>
        <v>0</v>
      </c>
      <c r="C8366" t="s">
        <v>12950</v>
      </c>
      <c r="D8366" t="s">
        <v>12951</v>
      </c>
      <c r="E8366" t="str">
        <f>"1609700101285"</f>
        <v>0</v>
      </c>
      <c r="F8366" t="str">
        <f>"001550"</f>
        <v>0</v>
      </c>
      <c r="G8366" t="s">
        <v>21</v>
      </c>
    </row>
    <row r="8367" spans="1:7">
      <c r="A8367">
        <v>8366</v>
      </c>
      <c r="B8367" t="str">
        <f>"023439"</f>
        <v>0</v>
      </c>
      <c r="C8367" t="s">
        <v>3712</v>
      </c>
      <c r="D8367" t="s">
        <v>12952</v>
      </c>
      <c r="E8367" t="str">
        <f>"3649900172956"</f>
        <v>0</v>
      </c>
      <c r="F8367" t="str">
        <f>"001550"</f>
        <v>0</v>
      </c>
      <c r="G8367" t="s">
        <v>21</v>
      </c>
    </row>
    <row r="8368" spans="1:7">
      <c r="A8368">
        <v>8367</v>
      </c>
      <c r="B8368" t="str">
        <f>"026789"</f>
        <v>0</v>
      </c>
      <c r="C8368" t="s">
        <v>12953</v>
      </c>
      <c r="D8368" t="s">
        <v>12954</v>
      </c>
      <c r="E8368" t="str">
        <f>"3650800473859"</f>
        <v>0</v>
      </c>
      <c r="F8368" t="str">
        <f>"001550"</f>
        <v>0</v>
      </c>
      <c r="G8368" t="s">
        <v>21</v>
      </c>
    </row>
    <row r="8369" spans="1:7">
      <c r="A8369">
        <v>8368</v>
      </c>
      <c r="B8369" t="str">
        <f>"020299"</f>
        <v>0</v>
      </c>
      <c r="C8369" t="s">
        <v>9282</v>
      </c>
      <c r="D8369" t="s">
        <v>12955</v>
      </c>
      <c r="E8369" t="str">
        <f>"3720100306401"</f>
        <v>0</v>
      </c>
      <c r="F8369" t="str">
        <f>"001550"</f>
        <v>0</v>
      </c>
      <c r="G8369" t="s">
        <v>21</v>
      </c>
    </row>
    <row r="8370" spans="1:7">
      <c r="A8370">
        <v>8369</v>
      </c>
      <c r="B8370" t="str">
        <f>"026911"</f>
        <v>0</v>
      </c>
      <c r="C8370" t="s">
        <v>12956</v>
      </c>
      <c r="D8370" t="s">
        <v>12957</v>
      </c>
      <c r="E8370" t="str">
        <f>"1729900279753"</f>
        <v>0</v>
      </c>
      <c r="F8370" t="str">
        <f>"001550"</f>
        <v>0</v>
      </c>
      <c r="G8370" t="s">
        <v>21</v>
      </c>
    </row>
    <row r="8371" spans="1:7">
      <c r="A8371">
        <v>8370</v>
      </c>
      <c r="B8371" t="str">
        <f>"023977"</f>
        <v>0</v>
      </c>
      <c r="C8371" t="s">
        <v>12958</v>
      </c>
      <c r="D8371" t="s">
        <v>12959</v>
      </c>
      <c r="E8371" t="str">
        <f>"1730400010111"</f>
        <v>0</v>
      </c>
      <c r="F8371" t="str">
        <f>"001550"</f>
        <v>0</v>
      </c>
      <c r="G8371" t="s">
        <v>21</v>
      </c>
    </row>
    <row r="8372" spans="1:7">
      <c r="A8372">
        <v>8371</v>
      </c>
      <c r="B8372" t="str">
        <f>"026863"</f>
        <v>0</v>
      </c>
      <c r="C8372" t="s">
        <v>12960</v>
      </c>
      <c r="D8372" t="s">
        <v>12961</v>
      </c>
      <c r="E8372" t="str">
        <f>"1650200082941"</f>
        <v>0</v>
      </c>
      <c r="F8372" t="str">
        <f>"001550"</f>
        <v>0</v>
      </c>
      <c r="G8372" t="s">
        <v>21</v>
      </c>
    </row>
    <row r="8373" spans="1:7">
      <c r="A8373">
        <v>8372</v>
      </c>
      <c r="B8373" t="str">
        <f>"026794"</f>
        <v>0</v>
      </c>
      <c r="C8373" t="s">
        <v>12962</v>
      </c>
      <c r="D8373" t="s">
        <v>12963</v>
      </c>
      <c r="E8373" t="str">
        <f>"1770600115145"</f>
        <v>0</v>
      </c>
      <c r="F8373" t="str">
        <f>"001550"</f>
        <v>0</v>
      </c>
      <c r="G8373" t="s">
        <v>21</v>
      </c>
    </row>
    <row r="8374" spans="1:7">
      <c r="A8374">
        <v>8373</v>
      </c>
      <c r="B8374" t="str">
        <f>"025321"</f>
        <v>0</v>
      </c>
      <c r="C8374" t="s">
        <v>12872</v>
      </c>
      <c r="D8374" t="s">
        <v>12964</v>
      </c>
      <c r="E8374" t="str">
        <f>"1411900136541"</f>
        <v>0</v>
      </c>
      <c r="F8374" t="str">
        <f>"001550"</f>
        <v>0</v>
      </c>
      <c r="G8374" t="s">
        <v>21</v>
      </c>
    </row>
    <row r="8375" spans="1:7">
      <c r="A8375">
        <v>8374</v>
      </c>
      <c r="B8375" t="str">
        <f>"024660"</f>
        <v>0</v>
      </c>
      <c r="C8375" t="s">
        <v>12965</v>
      </c>
      <c r="D8375" t="s">
        <v>12966</v>
      </c>
      <c r="E8375" t="str">
        <f>"1301800016081"</f>
        <v>0</v>
      </c>
      <c r="F8375" t="str">
        <f>"001550"</f>
        <v>0</v>
      </c>
      <c r="G8375" t="s">
        <v>21</v>
      </c>
    </row>
    <row r="8376" spans="1:7">
      <c r="A8376">
        <v>8375</v>
      </c>
      <c r="B8376" t="str">
        <f>"018506"</f>
        <v>0</v>
      </c>
      <c r="C8376" t="s">
        <v>7515</v>
      </c>
      <c r="D8376" t="s">
        <v>12967</v>
      </c>
      <c r="E8376" t="str">
        <f>"3169800034971"</f>
        <v>0</v>
      </c>
      <c r="F8376" t="str">
        <f>"001550"</f>
        <v>0</v>
      </c>
      <c r="G8376" t="s">
        <v>21</v>
      </c>
    </row>
    <row r="8377" spans="1:7">
      <c r="A8377">
        <v>8376</v>
      </c>
      <c r="B8377" t="str">
        <f>"023492"</f>
        <v>0</v>
      </c>
      <c r="C8377" t="s">
        <v>12968</v>
      </c>
      <c r="D8377" t="s">
        <v>12969</v>
      </c>
      <c r="E8377" t="str">
        <f>"3160101085358"</f>
        <v>0</v>
      </c>
      <c r="F8377" t="str">
        <f>"001550"</f>
        <v>0</v>
      </c>
      <c r="G8377" t="s">
        <v>21</v>
      </c>
    </row>
    <row r="8378" spans="1:7">
      <c r="A8378">
        <v>8377</v>
      </c>
      <c r="B8378" t="str">
        <f>"027599"</f>
        <v>0</v>
      </c>
      <c r="C8378" t="s">
        <v>12970</v>
      </c>
      <c r="D8378" t="s">
        <v>12971</v>
      </c>
      <c r="E8378" t="str">
        <f>"1179900203850"</f>
        <v>0</v>
      </c>
      <c r="F8378" t="str">
        <f>"001550"</f>
        <v>0</v>
      </c>
      <c r="G8378" t="s">
        <v>21</v>
      </c>
    </row>
    <row r="8379" spans="1:7">
      <c r="A8379">
        <v>8378</v>
      </c>
      <c r="B8379" t="str">
        <f>"027601"</f>
        <v>0</v>
      </c>
      <c r="C8379" t="s">
        <v>12972</v>
      </c>
      <c r="D8379" t="s">
        <v>12973</v>
      </c>
      <c r="E8379" t="str">
        <f>"1102001971611"</f>
        <v>0</v>
      </c>
      <c r="F8379" t="str">
        <f>"001550"</f>
        <v>0</v>
      </c>
      <c r="G8379" t="s">
        <v>21</v>
      </c>
    </row>
    <row r="8380" spans="1:7">
      <c r="A8380">
        <v>8379</v>
      </c>
      <c r="B8380" t="str">
        <f>"027603"</f>
        <v>0</v>
      </c>
      <c r="C8380" t="s">
        <v>12974</v>
      </c>
      <c r="D8380" t="s">
        <v>12975</v>
      </c>
      <c r="E8380" t="str">
        <f>"1809700150918"</f>
        <v>0</v>
      </c>
      <c r="F8380" t="str">
        <f>"001550"</f>
        <v>0</v>
      </c>
      <c r="G8380" t="s">
        <v>21</v>
      </c>
    </row>
    <row r="8381" spans="1:7">
      <c r="A8381">
        <v>8380</v>
      </c>
      <c r="B8381" t="str">
        <f>"001292"</f>
        <v>0</v>
      </c>
      <c r="C8381" t="s">
        <v>1983</v>
      </c>
      <c r="D8381" t="s">
        <v>12976</v>
      </c>
      <c r="E8381" t="str">
        <f>"3521300075635"</f>
        <v>0</v>
      </c>
      <c r="F8381" t="str">
        <f>"001580"</f>
        <v>0</v>
      </c>
      <c r="G8381" t="s">
        <v>21</v>
      </c>
    </row>
    <row r="8382" spans="1:7">
      <c r="A8382">
        <v>8381</v>
      </c>
      <c r="B8382" t="str">
        <f>"001740"</f>
        <v>0</v>
      </c>
      <c r="C8382" t="s">
        <v>3045</v>
      </c>
      <c r="D8382" t="s">
        <v>12977</v>
      </c>
      <c r="E8382" t="str">
        <f>"3520500369861"</f>
        <v>0</v>
      </c>
      <c r="F8382" t="str">
        <f>"001580"</f>
        <v>0</v>
      </c>
      <c r="G8382" t="s">
        <v>21</v>
      </c>
    </row>
    <row r="8383" spans="1:7">
      <c r="A8383">
        <v>8382</v>
      </c>
      <c r="B8383" t="str">
        <f>"001762"</f>
        <v>0</v>
      </c>
      <c r="C8383" t="s">
        <v>154</v>
      </c>
      <c r="D8383" t="s">
        <v>12978</v>
      </c>
      <c r="E8383" t="str">
        <f>"3540200655469"</f>
        <v>0</v>
      </c>
      <c r="F8383" t="str">
        <f>"001580"</f>
        <v>0</v>
      </c>
      <c r="G8383" t="s">
        <v>21</v>
      </c>
    </row>
    <row r="8384" spans="1:7">
      <c r="A8384">
        <v>8383</v>
      </c>
      <c r="B8384" t="str">
        <f>"001815"</f>
        <v>0</v>
      </c>
      <c r="C8384" t="s">
        <v>3638</v>
      </c>
      <c r="D8384" t="s">
        <v>5324</v>
      </c>
      <c r="E8384" t="str">
        <f>"3520200153498"</f>
        <v>0</v>
      </c>
      <c r="F8384" t="str">
        <f>"001580"</f>
        <v>0</v>
      </c>
      <c r="G8384" t="s">
        <v>21</v>
      </c>
    </row>
    <row r="8385" spans="1:7">
      <c r="A8385">
        <v>8384</v>
      </c>
      <c r="B8385" t="str">
        <f>"001821"</f>
        <v>0</v>
      </c>
      <c r="C8385" t="s">
        <v>9050</v>
      </c>
      <c r="D8385" t="s">
        <v>12979</v>
      </c>
      <c r="E8385" t="str">
        <f>"3520500091625"</f>
        <v>0</v>
      </c>
      <c r="F8385" t="str">
        <f>"001580"</f>
        <v>0</v>
      </c>
      <c r="G8385" t="s">
        <v>21</v>
      </c>
    </row>
    <row r="8386" spans="1:7">
      <c r="A8386">
        <v>8385</v>
      </c>
      <c r="B8386" t="str">
        <f>"001890"</f>
        <v>0</v>
      </c>
      <c r="C8386" t="s">
        <v>798</v>
      </c>
      <c r="D8386" t="s">
        <v>12980</v>
      </c>
      <c r="E8386" t="str">
        <f>"3520600022242"</f>
        <v>0</v>
      </c>
      <c r="F8386" t="str">
        <f>"001580"</f>
        <v>0</v>
      </c>
      <c r="G8386" t="s">
        <v>21</v>
      </c>
    </row>
    <row r="8387" spans="1:7">
      <c r="A8387">
        <v>8386</v>
      </c>
      <c r="B8387" t="str">
        <f>"002240"</f>
        <v>0</v>
      </c>
      <c r="C8387" t="s">
        <v>2445</v>
      </c>
      <c r="D8387" t="s">
        <v>12981</v>
      </c>
      <c r="E8387" t="str">
        <f>"3529900381327"</f>
        <v>0</v>
      </c>
      <c r="F8387" t="str">
        <f>"001580"</f>
        <v>0</v>
      </c>
      <c r="G8387" t="s">
        <v>21</v>
      </c>
    </row>
    <row r="8388" spans="1:7">
      <c r="A8388">
        <v>8387</v>
      </c>
      <c r="B8388" t="str">
        <f>"002571"</f>
        <v>0</v>
      </c>
      <c r="C8388" t="s">
        <v>12982</v>
      </c>
      <c r="D8388" t="s">
        <v>12983</v>
      </c>
      <c r="E8388" t="str">
        <f>"3510300421371"</f>
        <v>0</v>
      </c>
      <c r="F8388" t="str">
        <f>"001580"</f>
        <v>0</v>
      </c>
      <c r="G8388" t="s">
        <v>21</v>
      </c>
    </row>
    <row r="8389" spans="1:7">
      <c r="A8389">
        <v>8388</v>
      </c>
      <c r="B8389" t="str">
        <f>"002851"</f>
        <v>0</v>
      </c>
      <c r="C8389" t="s">
        <v>4039</v>
      </c>
      <c r="D8389" t="s">
        <v>12984</v>
      </c>
      <c r="E8389" t="str">
        <f>"3520100801200"</f>
        <v>0</v>
      </c>
      <c r="F8389" t="str">
        <f>"001580"</f>
        <v>0</v>
      </c>
      <c r="G8389" t="s">
        <v>21</v>
      </c>
    </row>
    <row r="8390" spans="1:7">
      <c r="A8390">
        <v>8389</v>
      </c>
      <c r="B8390" t="str">
        <f>"003360"</f>
        <v>0</v>
      </c>
      <c r="C8390" t="s">
        <v>197</v>
      </c>
      <c r="D8390" t="s">
        <v>12985</v>
      </c>
      <c r="E8390" t="str">
        <f>"3520300267959"</f>
        <v>0</v>
      </c>
      <c r="F8390" t="str">
        <f>"001580"</f>
        <v>0</v>
      </c>
      <c r="G8390" t="s">
        <v>21</v>
      </c>
    </row>
    <row r="8391" spans="1:7">
      <c r="A8391">
        <v>8390</v>
      </c>
      <c r="B8391" t="str">
        <f>"003571"</f>
        <v>0</v>
      </c>
      <c r="C8391" t="s">
        <v>1822</v>
      </c>
      <c r="D8391" t="s">
        <v>12986</v>
      </c>
      <c r="E8391" t="str">
        <f>"3520500054720"</f>
        <v>0</v>
      </c>
      <c r="F8391" t="str">
        <f>"001580"</f>
        <v>0</v>
      </c>
      <c r="G8391" t="s">
        <v>21</v>
      </c>
    </row>
    <row r="8392" spans="1:7">
      <c r="A8392">
        <v>8391</v>
      </c>
      <c r="B8392" t="str">
        <f>"003781"</f>
        <v>0</v>
      </c>
      <c r="C8392" t="s">
        <v>1804</v>
      </c>
      <c r="D8392" t="s">
        <v>12987</v>
      </c>
      <c r="E8392" t="str">
        <f>"3520101300719"</f>
        <v>0</v>
      </c>
      <c r="F8392" t="str">
        <f>"001580"</f>
        <v>0</v>
      </c>
      <c r="G8392" t="s">
        <v>21</v>
      </c>
    </row>
    <row r="8393" spans="1:7">
      <c r="A8393">
        <v>8392</v>
      </c>
      <c r="B8393" t="str">
        <f>"003980"</f>
        <v>0</v>
      </c>
      <c r="C8393" t="s">
        <v>12988</v>
      </c>
      <c r="D8393" t="s">
        <v>12989</v>
      </c>
      <c r="E8393" t="str">
        <f>"3529900082605"</f>
        <v>0</v>
      </c>
      <c r="F8393" t="str">
        <f>"001580"</f>
        <v>0</v>
      </c>
      <c r="G8393" t="s">
        <v>21</v>
      </c>
    </row>
    <row r="8394" spans="1:7">
      <c r="A8394">
        <v>8393</v>
      </c>
      <c r="B8394" t="str">
        <f>"004072"</f>
        <v>0</v>
      </c>
      <c r="C8394" t="s">
        <v>94</v>
      </c>
      <c r="D8394" t="s">
        <v>12990</v>
      </c>
      <c r="E8394" t="str">
        <f>"3520500020493"</f>
        <v>0</v>
      </c>
      <c r="F8394" t="str">
        <f>"001580"</f>
        <v>0</v>
      </c>
      <c r="G8394" t="s">
        <v>21</v>
      </c>
    </row>
    <row r="8395" spans="1:7">
      <c r="A8395">
        <v>8394</v>
      </c>
      <c r="B8395" t="str">
        <f>"004826"</f>
        <v>0</v>
      </c>
      <c r="C8395" t="s">
        <v>12991</v>
      </c>
      <c r="D8395" t="s">
        <v>12992</v>
      </c>
      <c r="E8395" t="str">
        <f>"3521200020162"</f>
        <v>0</v>
      </c>
      <c r="F8395" t="str">
        <f>"001580"</f>
        <v>0</v>
      </c>
      <c r="G8395" t="s">
        <v>21</v>
      </c>
    </row>
    <row r="8396" spans="1:7">
      <c r="A8396">
        <v>8395</v>
      </c>
      <c r="B8396" t="str">
        <f>"005026"</f>
        <v>0</v>
      </c>
      <c r="C8396" t="s">
        <v>12993</v>
      </c>
      <c r="D8396" t="s">
        <v>2274</v>
      </c>
      <c r="E8396" t="str">
        <f>"3520500024651"</f>
        <v>0</v>
      </c>
      <c r="F8396" t="str">
        <f>"001580"</f>
        <v>0</v>
      </c>
      <c r="G8396" t="s">
        <v>21</v>
      </c>
    </row>
    <row r="8397" spans="1:7">
      <c r="A8397">
        <v>8396</v>
      </c>
      <c r="B8397" t="str">
        <f>"005244"</f>
        <v>0</v>
      </c>
      <c r="C8397" t="s">
        <v>197</v>
      </c>
      <c r="D8397" t="s">
        <v>12994</v>
      </c>
      <c r="E8397" t="str">
        <f>"3520600251373"</f>
        <v>0</v>
      </c>
      <c r="F8397" t="str">
        <f>"001580"</f>
        <v>0</v>
      </c>
      <c r="G8397" t="s">
        <v>21</v>
      </c>
    </row>
    <row r="8398" spans="1:7">
      <c r="A8398">
        <v>8397</v>
      </c>
      <c r="B8398" t="str">
        <f>"005471"</f>
        <v>0</v>
      </c>
      <c r="C8398" t="s">
        <v>7743</v>
      </c>
      <c r="D8398" t="s">
        <v>12995</v>
      </c>
      <c r="E8398" t="str">
        <f>"3529900310012"</f>
        <v>0</v>
      </c>
      <c r="F8398" t="str">
        <f>"001580"</f>
        <v>0</v>
      </c>
      <c r="G8398" t="s">
        <v>21</v>
      </c>
    </row>
    <row r="8399" spans="1:7">
      <c r="A8399">
        <v>8398</v>
      </c>
      <c r="B8399" t="str">
        <f>"005765"</f>
        <v>0</v>
      </c>
      <c r="C8399" t="s">
        <v>3513</v>
      </c>
      <c r="D8399" t="s">
        <v>12996</v>
      </c>
      <c r="E8399" t="str">
        <f>"3520700382810"</f>
        <v>0</v>
      </c>
      <c r="F8399" t="str">
        <f>"001580"</f>
        <v>0</v>
      </c>
      <c r="G8399" t="s">
        <v>21</v>
      </c>
    </row>
    <row r="8400" spans="1:7">
      <c r="A8400">
        <v>8399</v>
      </c>
      <c r="B8400" t="str">
        <f>"005766"</f>
        <v>0</v>
      </c>
      <c r="C8400" t="s">
        <v>12997</v>
      </c>
      <c r="D8400" t="s">
        <v>12998</v>
      </c>
      <c r="E8400" t="str">
        <f>"3520700166149"</f>
        <v>0</v>
      </c>
      <c r="F8400" t="str">
        <f>"001580"</f>
        <v>0</v>
      </c>
      <c r="G8400" t="s">
        <v>21</v>
      </c>
    </row>
    <row r="8401" spans="1:7">
      <c r="A8401">
        <v>8400</v>
      </c>
      <c r="B8401" t="str">
        <f>"005802"</f>
        <v>0</v>
      </c>
      <c r="C8401" t="s">
        <v>767</v>
      </c>
      <c r="D8401" t="s">
        <v>12999</v>
      </c>
      <c r="E8401" t="str">
        <f>"3520800211367"</f>
        <v>0</v>
      </c>
      <c r="F8401" t="str">
        <f>"001580"</f>
        <v>0</v>
      </c>
      <c r="G8401" t="s">
        <v>21</v>
      </c>
    </row>
    <row r="8402" spans="1:7">
      <c r="A8402">
        <v>8401</v>
      </c>
      <c r="B8402" t="str">
        <f>"005884"</f>
        <v>0</v>
      </c>
      <c r="C8402" t="s">
        <v>1162</v>
      </c>
      <c r="D8402" t="s">
        <v>13000</v>
      </c>
      <c r="E8402" t="str">
        <f>"3520500026556"</f>
        <v>0</v>
      </c>
      <c r="F8402" t="str">
        <f>"001580"</f>
        <v>0</v>
      </c>
      <c r="G8402" t="s">
        <v>21</v>
      </c>
    </row>
    <row r="8403" spans="1:7">
      <c r="A8403">
        <v>8402</v>
      </c>
      <c r="B8403" t="str">
        <f>"006239"</f>
        <v>0</v>
      </c>
      <c r="C8403" t="s">
        <v>178</v>
      </c>
      <c r="D8403" t="s">
        <v>13001</v>
      </c>
      <c r="E8403" t="str">
        <f>"4630100005613"</f>
        <v>0</v>
      </c>
      <c r="F8403" t="str">
        <f>"001580"</f>
        <v>0</v>
      </c>
      <c r="G8403" t="s">
        <v>21</v>
      </c>
    </row>
    <row r="8404" spans="1:7">
      <c r="A8404">
        <v>8403</v>
      </c>
      <c r="B8404" t="str">
        <f>"006556"</f>
        <v>0</v>
      </c>
      <c r="C8404" t="s">
        <v>1645</v>
      </c>
      <c r="D8404" t="s">
        <v>13002</v>
      </c>
      <c r="E8404" t="str">
        <f>"3520900010649"</f>
        <v>0</v>
      </c>
      <c r="F8404" t="str">
        <f>"001580"</f>
        <v>0</v>
      </c>
      <c r="G8404" t="s">
        <v>21</v>
      </c>
    </row>
    <row r="8405" spans="1:7">
      <c r="A8405">
        <v>8404</v>
      </c>
      <c r="B8405" t="str">
        <f>"006597"</f>
        <v>0</v>
      </c>
      <c r="C8405" t="s">
        <v>13003</v>
      </c>
      <c r="D8405" t="s">
        <v>13004</v>
      </c>
      <c r="E8405" t="str">
        <f>"5520190024018"</f>
        <v>0</v>
      </c>
      <c r="F8405" t="str">
        <f>"001580"</f>
        <v>0</v>
      </c>
      <c r="G8405" t="s">
        <v>21</v>
      </c>
    </row>
    <row r="8406" spans="1:7">
      <c r="A8406">
        <v>8405</v>
      </c>
      <c r="B8406" t="str">
        <f>"006628"</f>
        <v>0</v>
      </c>
      <c r="C8406" t="s">
        <v>500</v>
      </c>
      <c r="D8406" t="s">
        <v>13005</v>
      </c>
      <c r="E8406" t="str">
        <f>"3521000149722"</f>
        <v>0</v>
      </c>
      <c r="F8406" t="str">
        <f>"001580"</f>
        <v>0</v>
      </c>
      <c r="G8406" t="s">
        <v>21</v>
      </c>
    </row>
    <row r="8407" spans="1:7">
      <c r="A8407">
        <v>8406</v>
      </c>
      <c r="B8407" t="str">
        <f>"006631"</f>
        <v>0</v>
      </c>
      <c r="C8407" t="s">
        <v>13006</v>
      </c>
      <c r="D8407" t="s">
        <v>13007</v>
      </c>
      <c r="E8407" t="str">
        <f>"3520101542577"</f>
        <v>0</v>
      </c>
      <c r="F8407" t="str">
        <f>"001580"</f>
        <v>0</v>
      </c>
      <c r="G8407" t="s">
        <v>21</v>
      </c>
    </row>
    <row r="8408" spans="1:7">
      <c r="A8408">
        <v>8407</v>
      </c>
      <c r="B8408" t="str">
        <f>"006646"</f>
        <v>0</v>
      </c>
      <c r="C8408" t="s">
        <v>13008</v>
      </c>
      <c r="D8408" t="s">
        <v>13009</v>
      </c>
      <c r="E8408" t="str">
        <f>"3529900214374"</f>
        <v>0</v>
      </c>
      <c r="F8408" t="str">
        <f>"001580"</f>
        <v>0</v>
      </c>
      <c r="G8408" t="s">
        <v>21</v>
      </c>
    </row>
    <row r="8409" spans="1:7">
      <c r="A8409">
        <v>8408</v>
      </c>
      <c r="B8409" t="str">
        <f>"006647"</f>
        <v>0</v>
      </c>
      <c r="C8409" t="s">
        <v>154</v>
      </c>
      <c r="D8409" t="s">
        <v>13010</v>
      </c>
      <c r="E8409" t="str">
        <f>"3520101269706"</f>
        <v>0</v>
      </c>
      <c r="F8409" t="str">
        <f>"001580"</f>
        <v>0</v>
      </c>
      <c r="G8409" t="s">
        <v>21</v>
      </c>
    </row>
    <row r="8410" spans="1:7">
      <c r="A8410">
        <v>8409</v>
      </c>
      <c r="B8410" t="str">
        <f>"006876"</f>
        <v>0</v>
      </c>
      <c r="C8410" t="s">
        <v>9081</v>
      </c>
      <c r="D8410" t="s">
        <v>13011</v>
      </c>
      <c r="E8410" t="str">
        <f>"3529900357531"</f>
        <v>0</v>
      </c>
      <c r="F8410" t="str">
        <f>"001580"</f>
        <v>0</v>
      </c>
      <c r="G8410" t="s">
        <v>21</v>
      </c>
    </row>
    <row r="8411" spans="1:7">
      <c r="A8411">
        <v>8410</v>
      </c>
      <c r="B8411" t="str">
        <f>"007041"</f>
        <v>0</v>
      </c>
      <c r="C8411" t="s">
        <v>13012</v>
      </c>
      <c r="D8411" t="s">
        <v>13013</v>
      </c>
      <c r="E8411" t="str">
        <f>"3520100234895"</f>
        <v>0</v>
      </c>
      <c r="F8411" t="str">
        <f>"001580"</f>
        <v>0</v>
      </c>
      <c r="G8411" t="s">
        <v>21</v>
      </c>
    </row>
    <row r="8412" spans="1:7">
      <c r="A8412">
        <v>8411</v>
      </c>
      <c r="B8412" t="str">
        <f>"007042"</f>
        <v>0</v>
      </c>
      <c r="C8412" t="s">
        <v>389</v>
      </c>
      <c r="D8412" t="s">
        <v>13014</v>
      </c>
      <c r="E8412" t="str">
        <f>"3520200152581"</f>
        <v>0</v>
      </c>
      <c r="F8412" t="str">
        <f>"001580"</f>
        <v>0</v>
      </c>
      <c r="G8412" t="s">
        <v>21</v>
      </c>
    </row>
    <row r="8413" spans="1:7">
      <c r="A8413">
        <v>8412</v>
      </c>
      <c r="B8413" t="str">
        <f>"007089"</f>
        <v>0</v>
      </c>
      <c r="C8413" t="s">
        <v>2216</v>
      </c>
      <c r="D8413" t="s">
        <v>2654</v>
      </c>
      <c r="E8413" t="str">
        <f>"3510101347049"</f>
        <v>0</v>
      </c>
      <c r="F8413" t="str">
        <f>"001580"</f>
        <v>0</v>
      </c>
      <c r="G8413" t="s">
        <v>21</v>
      </c>
    </row>
    <row r="8414" spans="1:7">
      <c r="A8414">
        <v>8413</v>
      </c>
      <c r="B8414" t="str">
        <f>"007286"</f>
        <v>0</v>
      </c>
      <c r="C8414" t="s">
        <v>1260</v>
      </c>
      <c r="D8414" t="s">
        <v>13015</v>
      </c>
      <c r="E8414" t="str">
        <f>"3520100356338"</f>
        <v>0</v>
      </c>
      <c r="F8414" t="str">
        <f>"001580"</f>
        <v>0</v>
      </c>
      <c r="G8414" t="s">
        <v>21</v>
      </c>
    </row>
    <row r="8415" spans="1:7">
      <c r="A8415">
        <v>8414</v>
      </c>
      <c r="B8415" t="str">
        <f>"007289"</f>
        <v>0</v>
      </c>
      <c r="C8415" t="s">
        <v>5247</v>
      </c>
      <c r="D8415" t="s">
        <v>13016</v>
      </c>
      <c r="E8415" t="str">
        <f>"3520100856292"</f>
        <v>0</v>
      </c>
      <c r="F8415" t="str">
        <f>"001580"</f>
        <v>0</v>
      </c>
      <c r="G8415" t="s">
        <v>21</v>
      </c>
    </row>
    <row r="8416" spans="1:7">
      <c r="A8416">
        <v>8415</v>
      </c>
      <c r="B8416" t="str">
        <f>"007291"</f>
        <v>0</v>
      </c>
      <c r="C8416" t="s">
        <v>13017</v>
      </c>
      <c r="D8416" t="s">
        <v>13018</v>
      </c>
      <c r="E8416" t="str">
        <f>"3521100266356"</f>
        <v>0</v>
      </c>
      <c r="F8416" t="str">
        <f>"001580"</f>
        <v>0</v>
      </c>
      <c r="G8416" t="s">
        <v>21</v>
      </c>
    </row>
    <row r="8417" spans="1:7">
      <c r="A8417">
        <v>8416</v>
      </c>
      <c r="B8417" t="str">
        <f>"007304"</f>
        <v>0</v>
      </c>
      <c r="C8417" t="s">
        <v>731</v>
      </c>
      <c r="D8417" t="s">
        <v>13019</v>
      </c>
      <c r="E8417" t="str">
        <f>"3521100089543"</f>
        <v>0</v>
      </c>
      <c r="F8417" t="str">
        <f>"001580"</f>
        <v>0</v>
      </c>
      <c r="G8417" t="s">
        <v>21</v>
      </c>
    </row>
    <row r="8418" spans="1:7">
      <c r="A8418">
        <v>8417</v>
      </c>
      <c r="B8418" t="str">
        <f>"007331"</f>
        <v>0</v>
      </c>
      <c r="C8418" t="s">
        <v>8846</v>
      </c>
      <c r="D8418" t="s">
        <v>13020</v>
      </c>
      <c r="E8418" t="str">
        <f>"3520101373899"</f>
        <v>0</v>
      </c>
      <c r="F8418" t="str">
        <f>"001580"</f>
        <v>0</v>
      </c>
      <c r="G8418" t="s">
        <v>21</v>
      </c>
    </row>
    <row r="8419" spans="1:7">
      <c r="A8419">
        <v>8418</v>
      </c>
      <c r="B8419" t="str">
        <f>"007423"</f>
        <v>0</v>
      </c>
      <c r="C8419" t="s">
        <v>130</v>
      </c>
      <c r="D8419" t="s">
        <v>13021</v>
      </c>
      <c r="E8419" t="str">
        <f>"3520800133731"</f>
        <v>0</v>
      </c>
      <c r="F8419" t="str">
        <f>"001580"</f>
        <v>0</v>
      </c>
      <c r="G8419" t="s">
        <v>21</v>
      </c>
    </row>
    <row r="8420" spans="1:7">
      <c r="A8420">
        <v>8419</v>
      </c>
      <c r="B8420" t="str">
        <f>"007437"</f>
        <v>0</v>
      </c>
      <c r="C8420" t="s">
        <v>13022</v>
      </c>
      <c r="D8420" t="s">
        <v>13023</v>
      </c>
      <c r="E8420" t="str">
        <f>"3199900376980"</f>
        <v>0</v>
      </c>
      <c r="F8420" t="str">
        <f>"001580"</f>
        <v>0</v>
      </c>
      <c r="G8420" t="s">
        <v>21</v>
      </c>
    </row>
    <row r="8421" spans="1:7">
      <c r="A8421">
        <v>8420</v>
      </c>
      <c r="B8421" t="str">
        <f>"007586"</f>
        <v>0</v>
      </c>
      <c r="C8421" t="s">
        <v>9390</v>
      </c>
      <c r="D8421" t="s">
        <v>13024</v>
      </c>
      <c r="E8421" t="str">
        <f>"3660700033547"</f>
        <v>0</v>
      </c>
      <c r="F8421" t="str">
        <f>"001580"</f>
        <v>0</v>
      </c>
      <c r="G8421" t="s">
        <v>21</v>
      </c>
    </row>
    <row r="8422" spans="1:7">
      <c r="A8422">
        <v>8421</v>
      </c>
      <c r="B8422" t="str">
        <f>"007628"</f>
        <v>0</v>
      </c>
      <c r="C8422" t="s">
        <v>13025</v>
      </c>
      <c r="D8422" t="s">
        <v>13026</v>
      </c>
      <c r="E8422" t="str">
        <f>"3520100455298"</f>
        <v>0</v>
      </c>
      <c r="F8422" t="str">
        <f>"001580"</f>
        <v>0</v>
      </c>
      <c r="G8422" t="s">
        <v>21</v>
      </c>
    </row>
    <row r="8423" spans="1:7">
      <c r="A8423">
        <v>8422</v>
      </c>
      <c r="B8423" t="str">
        <f>"007718"</f>
        <v>0</v>
      </c>
      <c r="C8423" t="s">
        <v>46</v>
      </c>
      <c r="D8423" t="s">
        <v>13027</v>
      </c>
      <c r="E8423" t="str">
        <f>"3520101487771"</f>
        <v>0</v>
      </c>
      <c r="F8423" t="str">
        <f>"001580"</f>
        <v>0</v>
      </c>
      <c r="G8423" t="s">
        <v>21</v>
      </c>
    </row>
    <row r="8424" spans="1:7">
      <c r="A8424">
        <v>8423</v>
      </c>
      <c r="B8424" t="str">
        <f>"007987"</f>
        <v>0</v>
      </c>
      <c r="C8424" t="s">
        <v>755</v>
      </c>
      <c r="D8424" t="s">
        <v>13028</v>
      </c>
      <c r="E8424" t="str">
        <f>"3501400623961"</f>
        <v>0</v>
      </c>
      <c r="F8424" t="str">
        <f>"001580"</f>
        <v>0</v>
      </c>
      <c r="G8424" t="s">
        <v>21</v>
      </c>
    </row>
    <row r="8425" spans="1:7">
      <c r="A8425">
        <v>8424</v>
      </c>
      <c r="B8425" t="str">
        <f>"008323"</f>
        <v>0</v>
      </c>
      <c r="C8425" t="s">
        <v>4294</v>
      </c>
      <c r="D8425" t="s">
        <v>13029</v>
      </c>
      <c r="E8425" t="str">
        <f>"3520300263210"</f>
        <v>0</v>
      </c>
      <c r="F8425" t="str">
        <f>"001580"</f>
        <v>0</v>
      </c>
      <c r="G8425" t="s">
        <v>21</v>
      </c>
    </row>
    <row r="8426" spans="1:7">
      <c r="A8426">
        <v>8425</v>
      </c>
      <c r="B8426" t="str">
        <f>"008606"</f>
        <v>0</v>
      </c>
      <c r="C8426" t="s">
        <v>167</v>
      </c>
      <c r="D8426" t="s">
        <v>1717</v>
      </c>
      <c r="E8426" t="str">
        <f>"3520101127430"</f>
        <v>0</v>
      </c>
      <c r="F8426" t="str">
        <f>"001580"</f>
        <v>0</v>
      </c>
      <c r="G8426" t="s">
        <v>21</v>
      </c>
    </row>
    <row r="8427" spans="1:7">
      <c r="A8427">
        <v>8426</v>
      </c>
      <c r="B8427" t="str">
        <f>"008700"</f>
        <v>0</v>
      </c>
      <c r="C8427" t="s">
        <v>462</v>
      </c>
      <c r="D8427" t="s">
        <v>13030</v>
      </c>
      <c r="E8427" t="str">
        <f>"3540400340674"</f>
        <v>0</v>
      </c>
      <c r="F8427" t="str">
        <f>"001580"</f>
        <v>0</v>
      </c>
      <c r="G8427" t="s">
        <v>21</v>
      </c>
    </row>
    <row r="8428" spans="1:7">
      <c r="A8428">
        <v>8427</v>
      </c>
      <c r="B8428" t="str">
        <f>"008743"</f>
        <v>0</v>
      </c>
      <c r="C8428" t="s">
        <v>46</v>
      </c>
      <c r="D8428" t="s">
        <v>13031</v>
      </c>
      <c r="E8428" t="str">
        <f>"5520390000147"</f>
        <v>0</v>
      </c>
      <c r="F8428" t="str">
        <f>"001580"</f>
        <v>0</v>
      </c>
      <c r="G8428" t="s">
        <v>21</v>
      </c>
    </row>
    <row r="8429" spans="1:7">
      <c r="A8429">
        <v>8428</v>
      </c>
      <c r="B8429" t="str">
        <f>"009145"</f>
        <v>0</v>
      </c>
      <c r="C8429" t="s">
        <v>13032</v>
      </c>
      <c r="D8429" t="s">
        <v>13033</v>
      </c>
      <c r="E8429" t="str">
        <f>"3520200239074"</f>
        <v>0</v>
      </c>
      <c r="F8429" t="str">
        <f>"001580"</f>
        <v>0</v>
      </c>
      <c r="G8429" t="s">
        <v>21</v>
      </c>
    </row>
    <row r="8430" spans="1:7">
      <c r="A8430">
        <v>8429</v>
      </c>
      <c r="B8430" t="str">
        <f>"009207"</f>
        <v>0</v>
      </c>
      <c r="C8430" t="s">
        <v>13034</v>
      </c>
      <c r="D8430" t="s">
        <v>13035</v>
      </c>
      <c r="E8430" t="str">
        <f>"3520700285873"</f>
        <v>0</v>
      </c>
      <c r="F8430" t="str">
        <f>"001580"</f>
        <v>0</v>
      </c>
      <c r="G8430" t="s">
        <v>21</v>
      </c>
    </row>
    <row r="8431" spans="1:7">
      <c r="A8431">
        <v>8430</v>
      </c>
      <c r="B8431" t="str">
        <f>"009515"</f>
        <v>0</v>
      </c>
      <c r="C8431" t="s">
        <v>13036</v>
      </c>
      <c r="D8431" t="s">
        <v>13037</v>
      </c>
      <c r="E8431" t="str">
        <f>"3520900135506"</f>
        <v>0</v>
      </c>
      <c r="F8431" t="str">
        <f>"001580"</f>
        <v>0</v>
      </c>
      <c r="G8431" t="s">
        <v>21</v>
      </c>
    </row>
    <row r="8432" spans="1:7">
      <c r="A8432">
        <v>8431</v>
      </c>
      <c r="B8432" t="str">
        <f>"009548"</f>
        <v>0</v>
      </c>
      <c r="C8432" t="s">
        <v>11216</v>
      </c>
      <c r="D8432" t="s">
        <v>4735</v>
      </c>
      <c r="E8432" t="str">
        <f>"3520500240957"</f>
        <v>0</v>
      </c>
      <c r="F8432" t="str">
        <f>"001580"</f>
        <v>0</v>
      </c>
      <c r="G8432" t="s">
        <v>21</v>
      </c>
    </row>
    <row r="8433" spans="1:7">
      <c r="A8433">
        <v>8432</v>
      </c>
      <c r="B8433" t="str">
        <f>"009759"</f>
        <v>0</v>
      </c>
      <c r="C8433" t="s">
        <v>2441</v>
      </c>
      <c r="D8433" t="s">
        <v>13038</v>
      </c>
      <c r="E8433" t="str">
        <f>"3520100690122"</f>
        <v>0</v>
      </c>
      <c r="F8433" t="str">
        <f>"001580"</f>
        <v>0</v>
      </c>
      <c r="G8433" t="s">
        <v>21</v>
      </c>
    </row>
    <row r="8434" spans="1:7">
      <c r="A8434">
        <v>8433</v>
      </c>
      <c r="B8434" t="str">
        <f>"009798"</f>
        <v>0</v>
      </c>
      <c r="C8434" t="s">
        <v>1231</v>
      </c>
      <c r="D8434" t="s">
        <v>13039</v>
      </c>
      <c r="E8434" t="str">
        <f>"3510200308254"</f>
        <v>0</v>
      </c>
      <c r="F8434" t="str">
        <f>"001580"</f>
        <v>0</v>
      </c>
      <c r="G8434" t="s">
        <v>21</v>
      </c>
    </row>
    <row r="8435" spans="1:7">
      <c r="A8435">
        <v>8434</v>
      </c>
      <c r="B8435" t="str">
        <f>"009835"</f>
        <v>0</v>
      </c>
      <c r="C8435" t="s">
        <v>13040</v>
      </c>
      <c r="D8435" t="s">
        <v>2602</v>
      </c>
      <c r="E8435" t="str">
        <f>"3521100222537"</f>
        <v>0</v>
      </c>
      <c r="F8435" t="str">
        <f>"001580"</f>
        <v>0</v>
      </c>
      <c r="G8435" t="s">
        <v>21</v>
      </c>
    </row>
    <row r="8436" spans="1:7">
      <c r="A8436">
        <v>8435</v>
      </c>
      <c r="B8436" t="str">
        <f>"010215"</f>
        <v>0</v>
      </c>
      <c r="C8436" t="s">
        <v>13041</v>
      </c>
      <c r="D8436" t="s">
        <v>13042</v>
      </c>
      <c r="E8436" t="str">
        <f>"3570700160108"</f>
        <v>0</v>
      </c>
      <c r="F8436" t="str">
        <f>"001580"</f>
        <v>0</v>
      </c>
      <c r="G8436" t="s">
        <v>21</v>
      </c>
    </row>
    <row r="8437" spans="1:7">
      <c r="A8437">
        <v>8436</v>
      </c>
      <c r="B8437" t="str">
        <f>"010253"</f>
        <v>0</v>
      </c>
      <c r="C8437" t="s">
        <v>8178</v>
      </c>
      <c r="D8437" t="s">
        <v>13043</v>
      </c>
      <c r="E8437" t="str">
        <f>"3540300420765"</f>
        <v>0</v>
      </c>
      <c r="F8437" t="str">
        <f>"001580"</f>
        <v>0</v>
      </c>
      <c r="G8437" t="s">
        <v>21</v>
      </c>
    </row>
    <row r="8438" spans="1:7">
      <c r="A8438">
        <v>8437</v>
      </c>
      <c r="B8438" t="str">
        <f>"010495"</f>
        <v>0</v>
      </c>
      <c r="C8438" t="s">
        <v>13044</v>
      </c>
      <c r="D8438" t="s">
        <v>13045</v>
      </c>
      <c r="E8438" t="str">
        <f>"3521000504352"</f>
        <v>0</v>
      </c>
      <c r="F8438" t="str">
        <f>"001580"</f>
        <v>0</v>
      </c>
      <c r="G8438" t="s">
        <v>21</v>
      </c>
    </row>
    <row r="8439" spans="1:7">
      <c r="A8439">
        <v>8438</v>
      </c>
      <c r="B8439" t="str">
        <f>"010978"</f>
        <v>0</v>
      </c>
      <c r="C8439" t="s">
        <v>1849</v>
      </c>
      <c r="D8439" t="s">
        <v>5027</v>
      </c>
      <c r="E8439" t="str">
        <f>"3521100257900"</f>
        <v>0</v>
      </c>
      <c r="F8439" t="str">
        <f>"001580"</f>
        <v>0</v>
      </c>
      <c r="G8439" t="s">
        <v>21</v>
      </c>
    </row>
    <row r="8440" spans="1:7">
      <c r="A8440">
        <v>8439</v>
      </c>
      <c r="B8440" t="str">
        <f>"011047"</f>
        <v>0</v>
      </c>
      <c r="C8440" t="s">
        <v>13046</v>
      </c>
      <c r="D8440" t="s">
        <v>13047</v>
      </c>
      <c r="E8440" t="str">
        <f>"3520101365705"</f>
        <v>0</v>
      </c>
      <c r="F8440" t="str">
        <f>"001580"</f>
        <v>0</v>
      </c>
      <c r="G8440" t="s">
        <v>21</v>
      </c>
    </row>
    <row r="8441" spans="1:7">
      <c r="A8441">
        <v>8440</v>
      </c>
      <c r="B8441" t="str">
        <f>"011049"</f>
        <v>0</v>
      </c>
      <c r="C8441" t="s">
        <v>144</v>
      </c>
      <c r="D8441" t="s">
        <v>13048</v>
      </c>
      <c r="E8441" t="str">
        <f>"3600500270961"</f>
        <v>0</v>
      </c>
      <c r="F8441" t="str">
        <f>"001580"</f>
        <v>0</v>
      </c>
      <c r="G8441" t="s">
        <v>21</v>
      </c>
    </row>
    <row r="8442" spans="1:7">
      <c r="A8442">
        <v>8441</v>
      </c>
      <c r="B8442" t="str">
        <f>"011052"</f>
        <v>0</v>
      </c>
      <c r="C8442" t="s">
        <v>447</v>
      </c>
      <c r="D8442" t="s">
        <v>13049</v>
      </c>
      <c r="E8442" t="str">
        <f>"5540390003065"</f>
        <v>0</v>
      </c>
      <c r="F8442" t="str">
        <f>"001580"</f>
        <v>0</v>
      </c>
      <c r="G8442" t="s">
        <v>21</v>
      </c>
    </row>
    <row r="8443" spans="1:7">
      <c r="A8443">
        <v>8442</v>
      </c>
      <c r="B8443" t="str">
        <f>"011145"</f>
        <v>0</v>
      </c>
      <c r="C8443" t="s">
        <v>13050</v>
      </c>
      <c r="D8443" t="s">
        <v>13051</v>
      </c>
      <c r="E8443" t="str">
        <f>"3510200093321"</f>
        <v>0</v>
      </c>
      <c r="F8443" t="str">
        <f>"001580"</f>
        <v>0</v>
      </c>
      <c r="G8443" t="s">
        <v>21</v>
      </c>
    </row>
    <row r="8444" spans="1:7">
      <c r="A8444">
        <v>8443</v>
      </c>
      <c r="B8444" t="str">
        <f>"011499"</f>
        <v>0</v>
      </c>
      <c r="C8444" t="s">
        <v>941</v>
      </c>
      <c r="D8444" t="s">
        <v>13052</v>
      </c>
      <c r="E8444" t="str">
        <f>"3529900302869"</f>
        <v>0</v>
      </c>
      <c r="F8444" t="str">
        <f>"001580"</f>
        <v>0</v>
      </c>
      <c r="G8444" t="s">
        <v>21</v>
      </c>
    </row>
    <row r="8445" spans="1:7">
      <c r="A8445">
        <v>8444</v>
      </c>
      <c r="B8445" t="str">
        <f>"011546"</f>
        <v>0</v>
      </c>
      <c r="C8445" t="s">
        <v>1983</v>
      </c>
      <c r="D8445" t="s">
        <v>13053</v>
      </c>
      <c r="E8445" t="str">
        <f>"3520700166297"</f>
        <v>0</v>
      </c>
      <c r="F8445" t="str">
        <f>"001580"</f>
        <v>0</v>
      </c>
      <c r="G8445" t="s">
        <v>21</v>
      </c>
    </row>
    <row r="8446" spans="1:7">
      <c r="A8446">
        <v>8445</v>
      </c>
      <c r="B8446" t="str">
        <f>"011693"</f>
        <v>0</v>
      </c>
      <c r="C8446" t="s">
        <v>7848</v>
      </c>
      <c r="D8446" t="s">
        <v>13051</v>
      </c>
      <c r="E8446" t="str">
        <f>"3520800395018"</f>
        <v>0</v>
      </c>
      <c r="F8446" t="str">
        <f>"001580"</f>
        <v>0</v>
      </c>
      <c r="G8446" t="s">
        <v>21</v>
      </c>
    </row>
    <row r="8447" spans="1:7">
      <c r="A8447">
        <v>8446</v>
      </c>
      <c r="B8447" t="str">
        <f>"011715"</f>
        <v>0</v>
      </c>
      <c r="C8447" t="s">
        <v>13054</v>
      </c>
      <c r="D8447" t="s">
        <v>13055</v>
      </c>
      <c r="E8447" t="str">
        <f>"3540300396686"</f>
        <v>0</v>
      </c>
      <c r="F8447" t="str">
        <f>"001580"</f>
        <v>0</v>
      </c>
      <c r="G8447" t="s">
        <v>21</v>
      </c>
    </row>
    <row r="8448" spans="1:7">
      <c r="A8448">
        <v>8447</v>
      </c>
      <c r="B8448" t="str">
        <f>"011721"</f>
        <v>0</v>
      </c>
      <c r="C8448" t="s">
        <v>217</v>
      </c>
      <c r="D8448" t="s">
        <v>13056</v>
      </c>
      <c r="E8448" t="str">
        <f>"3520101298579"</f>
        <v>0</v>
      </c>
      <c r="F8448" t="str">
        <f>"001580"</f>
        <v>0</v>
      </c>
      <c r="G8448" t="s">
        <v>21</v>
      </c>
    </row>
    <row r="8449" spans="1:7">
      <c r="A8449">
        <v>8448</v>
      </c>
      <c r="B8449" t="str">
        <f>"012087"</f>
        <v>0</v>
      </c>
      <c r="C8449" t="s">
        <v>13057</v>
      </c>
      <c r="D8449" t="s">
        <v>13058</v>
      </c>
      <c r="E8449" t="str">
        <f>"3520500111901"</f>
        <v>0</v>
      </c>
      <c r="F8449" t="str">
        <f>"001580"</f>
        <v>0</v>
      </c>
      <c r="G8449" t="s">
        <v>21</v>
      </c>
    </row>
    <row r="8450" spans="1:7">
      <c r="A8450">
        <v>8449</v>
      </c>
      <c r="B8450" t="str">
        <f>"012089"</f>
        <v>0</v>
      </c>
      <c r="C8450" t="s">
        <v>36</v>
      </c>
      <c r="D8450" t="s">
        <v>5292</v>
      </c>
      <c r="E8450" t="str">
        <f>"3520100684327"</f>
        <v>0</v>
      </c>
      <c r="F8450" t="str">
        <f>"001580"</f>
        <v>0</v>
      </c>
      <c r="G8450" t="s">
        <v>21</v>
      </c>
    </row>
    <row r="8451" spans="1:7">
      <c r="A8451">
        <v>8450</v>
      </c>
      <c r="B8451" t="str">
        <f>"012172"</f>
        <v>0</v>
      </c>
      <c r="C8451" t="s">
        <v>2193</v>
      </c>
      <c r="D8451" t="s">
        <v>13059</v>
      </c>
      <c r="E8451" t="str">
        <f>"3521200408837"</f>
        <v>0</v>
      </c>
      <c r="F8451" t="str">
        <f>"001580"</f>
        <v>0</v>
      </c>
      <c r="G8451" t="s">
        <v>21</v>
      </c>
    </row>
    <row r="8452" spans="1:7">
      <c r="A8452">
        <v>8451</v>
      </c>
      <c r="B8452" t="str">
        <f>"012262"</f>
        <v>0</v>
      </c>
      <c r="C8452" t="s">
        <v>13060</v>
      </c>
      <c r="D8452" t="s">
        <v>13061</v>
      </c>
      <c r="E8452" t="str">
        <f>"3529900082419"</f>
        <v>0</v>
      </c>
      <c r="F8452" t="str">
        <f>"001580"</f>
        <v>0</v>
      </c>
      <c r="G8452" t="s">
        <v>21</v>
      </c>
    </row>
    <row r="8453" spans="1:7">
      <c r="A8453">
        <v>8452</v>
      </c>
      <c r="B8453" t="str">
        <f>"012442"</f>
        <v>0</v>
      </c>
      <c r="C8453" t="s">
        <v>755</v>
      </c>
      <c r="D8453" t="s">
        <v>13062</v>
      </c>
      <c r="E8453" t="str">
        <f>"3170600079311"</f>
        <v>0</v>
      </c>
      <c r="F8453" t="str">
        <f>"001580"</f>
        <v>0</v>
      </c>
      <c r="G8453" t="s">
        <v>21</v>
      </c>
    </row>
    <row r="8454" spans="1:7">
      <c r="A8454">
        <v>8453</v>
      </c>
      <c r="B8454" t="str">
        <f>"012642"</f>
        <v>0</v>
      </c>
      <c r="C8454" t="s">
        <v>13063</v>
      </c>
      <c r="D8454" t="s">
        <v>13064</v>
      </c>
      <c r="E8454" t="str">
        <f>"3520100858384"</f>
        <v>0</v>
      </c>
      <c r="F8454" t="str">
        <f>"001580"</f>
        <v>0</v>
      </c>
      <c r="G8454" t="s">
        <v>21</v>
      </c>
    </row>
    <row r="8455" spans="1:7">
      <c r="A8455">
        <v>8454</v>
      </c>
      <c r="B8455" t="str">
        <f>"012750"</f>
        <v>0</v>
      </c>
      <c r="C8455" t="s">
        <v>1561</v>
      </c>
      <c r="D8455" t="s">
        <v>2330</v>
      </c>
      <c r="E8455" t="str">
        <f>"3501300780363"</f>
        <v>0</v>
      </c>
      <c r="F8455" t="str">
        <f>"001580"</f>
        <v>0</v>
      </c>
      <c r="G8455" t="s">
        <v>21</v>
      </c>
    </row>
    <row r="8456" spans="1:7">
      <c r="A8456">
        <v>8455</v>
      </c>
      <c r="B8456" t="str">
        <f>"012834"</f>
        <v>0</v>
      </c>
      <c r="C8456" t="s">
        <v>1735</v>
      </c>
      <c r="D8456" t="s">
        <v>13065</v>
      </c>
      <c r="E8456" t="str">
        <f>"3570100090346"</f>
        <v>0</v>
      </c>
      <c r="F8456" t="str">
        <f>"001580"</f>
        <v>0</v>
      </c>
      <c r="G8456" t="s">
        <v>21</v>
      </c>
    </row>
    <row r="8457" spans="1:7">
      <c r="A8457">
        <v>8456</v>
      </c>
      <c r="B8457" t="str">
        <f>"013046"</f>
        <v>0</v>
      </c>
      <c r="C8457" t="s">
        <v>13066</v>
      </c>
      <c r="D8457" t="s">
        <v>13067</v>
      </c>
      <c r="E8457" t="str">
        <f>"3520101353791"</f>
        <v>0</v>
      </c>
      <c r="F8457" t="str">
        <f>"001580"</f>
        <v>0</v>
      </c>
      <c r="G8457" t="s">
        <v>21</v>
      </c>
    </row>
    <row r="8458" spans="1:7">
      <c r="A8458">
        <v>8457</v>
      </c>
      <c r="B8458" t="str">
        <f>"013500"</f>
        <v>0</v>
      </c>
      <c r="C8458" t="s">
        <v>13068</v>
      </c>
      <c r="D8458" t="s">
        <v>13069</v>
      </c>
      <c r="E8458" t="str">
        <f>"3520800302915"</f>
        <v>0</v>
      </c>
      <c r="F8458" t="str">
        <f>"001580"</f>
        <v>0</v>
      </c>
      <c r="G8458" t="s">
        <v>21</v>
      </c>
    </row>
    <row r="8459" spans="1:7">
      <c r="A8459">
        <v>8458</v>
      </c>
      <c r="B8459" t="str">
        <f>"013541"</f>
        <v>0</v>
      </c>
      <c r="C8459" t="s">
        <v>13070</v>
      </c>
      <c r="D8459" t="s">
        <v>988</v>
      </c>
      <c r="E8459" t="str">
        <f>"3100100610416"</f>
        <v>0</v>
      </c>
      <c r="F8459" t="str">
        <f>"001580"</f>
        <v>0</v>
      </c>
      <c r="G8459" t="s">
        <v>21</v>
      </c>
    </row>
    <row r="8460" spans="1:7">
      <c r="A8460">
        <v>8459</v>
      </c>
      <c r="B8460" t="str">
        <f>"013804"</f>
        <v>0</v>
      </c>
      <c r="C8460" t="s">
        <v>58</v>
      </c>
      <c r="D8460" t="s">
        <v>13071</v>
      </c>
      <c r="E8460" t="str">
        <f>"3521000313182"</f>
        <v>0</v>
      </c>
      <c r="F8460" t="str">
        <f>"001580"</f>
        <v>0</v>
      </c>
      <c r="G8460" t="s">
        <v>21</v>
      </c>
    </row>
    <row r="8461" spans="1:7">
      <c r="A8461">
        <v>8460</v>
      </c>
      <c r="B8461" t="str">
        <f>"013935"</f>
        <v>0</v>
      </c>
      <c r="C8461" t="s">
        <v>6915</v>
      </c>
      <c r="D8461" t="s">
        <v>13062</v>
      </c>
      <c r="E8461" t="str">
        <f>"3520101226489"</f>
        <v>0</v>
      </c>
      <c r="F8461" t="str">
        <f>"001580"</f>
        <v>0</v>
      </c>
      <c r="G8461" t="s">
        <v>21</v>
      </c>
    </row>
    <row r="8462" spans="1:7">
      <c r="A8462">
        <v>8461</v>
      </c>
      <c r="B8462" t="str">
        <f>"013986"</f>
        <v>0</v>
      </c>
      <c r="C8462" t="s">
        <v>12658</v>
      </c>
      <c r="D8462" t="s">
        <v>13072</v>
      </c>
      <c r="E8462" t="str">
        <f>"5520190018131"</f>
        <v>0</v>
      </c>
      <c r="F8462" t="str">
        <f>"001580"</f>
        <v>0</v>
      </c>
      <c r="G8462" t="s">
        <v>21</v>
      </c>
    </row>
    <row r="8463" spans="1:7">
      <c r="A8463">
        <v>8462</v>
      </c>
      <c r="B8463" t="str">
        <f>"015756"</f>
        <v>0</v>
      </c>
      <c r="C8463" t="s">
        <v>1983</v>
      </c>
      <c r="D8463" t="s">
        <v>10976</v>
      </c>
      <c r="E8463" t="str">
        <f>"3670700195725"</f>
        <v>0</v>
      </c>
      <c r="F8463" t="str">
        <f>"001580"</f>
        <v>0</v>
      </c>
      <c r="G8463" t="s">
        <v>21</v>
      </c>
    </row>
    <row r="8464" spans="1:7">
      <c r="A8464">
        <v>8463</v>
      </c>
      <c r="B8464" t="str">
        <f>"015806"</f>
        <v>0</v>
      </c>
      <c r="C8464" t="s">
        <v>2320</v>
      </c>
      <c r="D8464" t="s">
        <v>13073</v>
      </c>
      <c r="E8464" t="str">
        <f>"3500500049726"</f>
        <v>0</v>
      </c>
      <c r="F8464" t="str">
        <f>"001580"</f>
        <v>0</v>
      </c>
      <c r="G8464" t="s">
        <v>21</v>
      </c>
    </row>
    <row r="8465" spans="1:7">
      <c r="A8465">
        <v>8464</v>
      </c>
      <c r="B8465" t="str">
        <f>"015907"</f>
        <v>0</v>
      </c>
      <c r="C8465" t="s">
        <v>2558</v>
      </c>
      <c r="D8465" t="s">
        <v>13074</v>
      </c>
      <c r="E8465" t="str">
        <f>"3520100659845"</f>
        <v>0</v>
      </c>
      <c r="F8465" t="str">
        <f>"001580"</f>
        <v>0</v>
      </c>
      <c r="G8465" t="s">
        <v>21</v>
      </c>
    </row>
    <row r="8466" spans="1:7">
      <c r="A8466">
        <v>8465</v>
      </c>
      <c r="B8466" t="str">
        <f>"016795"</f>
        <v>0</v>
      </c>
      <c r="C8466" t="s">
        <v>13075</v>
      </c>
      <c r="D8466" t="s">
        <v>13076</v>
      </c>
      <c r="E8466" t="str">
        <f>"3521300154233"</f>
        <v>0</v>
      </c>
      <c r="F8466" t="str">
        <f>"001580"</f>
        <v>0</v>
      </c>
      <c r="G8466" t="s">
        <v>21</v>
      </c>
    </row>
    <row r="8467" spans="1:7">
      <c r="A8467">
        <v>8466</v>
      </c>
      <c r="B8467" t="str">
        <f>"017697"</f>
        <v>0</v>
      </c>
      <c r="C8467" t="s">
        <v>171</v>
      </c>
      <c r="D8467" t="s">
        <v>13077</v>
      </c>
      <c r="E8467" t="str">
        <f>"3520300305681"</f>
        <v>0</v>
      </c>
      <c r="F8467" t="str">
        <f>"001580"</f>
        <v>0</v>
      </c>
      <c r="G8467" t="s">
        <v>21</v>
      </c>
    </row>
    <row r="8468" spans="1:7">
      <c r="A8468">
        <v>8467</v>
      </c>
      <c r="B8468" t="str">
        <f>"017801"</f>
        <v>0</v>
      </c>
      <c r="C8468" t="s">
        <v>13078</v>
      </c>
      <c r="D8468" t="s">
        <v>10793</v>
      </c>
      <c r="E8468" t="str">
        <f>"3529900057201"</f>
        <v>0</v>
      </c>
      <c r="F8468" t="str">
        <f>"001580"</f>
        <v>0</v>
      </c>
      <c r="G8468" t="s">
        <v>21</v>
      </c>
    </row>
    <row r="8469" spans="1:7">
      <c r="A8469">
        <v>8468</v>
      </c>
      <c r="B8469" t="str">
        <f>"017802"</f>
        <v>0</v>
      </c>
      <c r="C8469" t="s">
        <v>130</v>
      </c>
      <c r="D8469" t="s">
        <v>4929</v>
      </c>
      <c r="E8469" t="str">
        <f>"3521100112910"</f>
        <v>0</v>
      </c>
      <c r="F8469" t="str">
        <f>"001580"</f>
        <v>0</v>
      </c>
      <c r="G8469" t="s">
        <v>21</v>
      </c>
    </row>
    <row r="8470" spans="1:7">
      <c r="A8470">
        <v>8469</v>
      </c>
      <c r="B8470" t="str">
        <f>"018709"</f>
        <v>0</v>
      </c>
      <c r="C8470" t="s">
        <v>3082</v>
      </c>
      <c r="D8470" t="s">
        <v>13079</v>
      </c>
      <c r="E8470" t="str">
        <f>"3520100292461"</f>
        <v>0</v>
      </c>
      <c r="F8470" t="str">
        <f>"001580"</f>
        <v>0</v>
      </c>
      <c r="G8470" t="s">
        <v>21</v>
      </c>
    </row>
    <row r="8471" spans="1:7">
      <c r="A8471">
        <v>8470</v>
      </c>
      <c r="B8471" t="str">
        <f>"018999"</f>
        <v>0</v>
      </c>
      <c r="C8471" t="s">
        <v>1820</v>
      </c>
      <c r="D8471" t="s">
        <v>13080</v>
      </c>
      <c r="E8471" t="str">
        <f>"3520700165436"</f>
        <v>0</v>
      </c>
      <c r="F8471" t="str">
        <f>"001580"</f>
        <v>0</v>
      </c>
      <c r="G8471" t="s">
        <v>21</v>
      </c>
    </row>
    <row r="8472" spans="1:7">
      <c r="A8472">
        <v>8471</v>
      </c>
      <c r="B8472" t="str">
        <f>"019154"</f>
        <v>0</v>
      </c>
      <c r="C8472" t="s">
        <v>1834</v>
      </c>
      <c r="D8472" t="s">
        <v>13081</v>
      </c>
      <c r="E8472" t="str">
        <f>"5520100042585"</f>
        <v>0</v>
      </c>
      <c r="F8472" t="str">
        <f>"001580"</f>
        <v>0</v>
      </c>
      <c r="G8472" t="s">
        <v>21</v>
      </c>
    </row>
    <row r="8473" spans="1:7">
      <c r="A8473">
        <v>8472</v>
      </c>
      <c r="B8473" t="str">
        <f>"021850"</f>
        <v>0</v>
      </c>
      <c r="C8473" t="s">
        <v>8873</v>
      </c>
      <c r="D8473" t="s">
        <v>13082</v>
      </c>
      <c r="E8473" t="str">
        <f>"3521200007565"</f>
        <v>0</v>
      </c>
      <c r="F8473" t="str">
        <f>"001580"</f>
        <v>0</v>
      </c>
      <c r="G8473" t="s">
        <v>21</v>
      </c>
    </row>
    <row r="8474" spans="1:7">
      <c r="A8474">
        <v>8473</v>
      </c>
      <c r="B8474" t="str">
        <f>"021965"</f>
        <v>0</v>
      </c>
      <c r="C8474" t="s">
        <v>7700</v>
      </c>
      <c r="D8474" t="s">
        <v>13083</v>
      </c>
      <c r="E8474" t="str">
        <f>"4570800001280"</f>
        <v>0</v>
      </c>
      <c r="F8474" t="str">
        <f>"001580"</f>
        <v>0</v>
      </c>
      <c r="G8474" t="s">
        <v>21</v>
      </c>
    </row>
    <row r="8475" spans="1:7">
      <c r="A8475">
        <v>8474</v>
      </c>
      <c r="B8475" t="str">
        <f>"022456"</f>
        <v>0</v>
      </c>
      <c r="C8475" t="s">
        <v>13084</v>
      </c>
      <c r="D8475" t="s">
        <v>13085</v>
      </c>
      <c r="E8475" t="str">
        <f>"3520800012828"</f>
        <v>0</v>
      </c>
      <c r="F8475" t="str">
        <f>"001580"</f>
        <v>0</v>
      </c>
      <c r="G8475" t="s">
        <v>21</v>
      </c>
    </row>
    <row r="8476" spans="1:7">
      <c r="A8476">
        <v>8475</v>
      </c>
      <c r="B8476" t="str">
        <f>"023637"</f>
        <v>0</v>
      </c>
      <c r="C8476" t="s">
        <v>13086</v>
      </c>
      <c r="D8476" t="s">
        <v>13087</v>
      </c>
      <c r="E8476" t="str">
        <f>"3520200013840"</f>
        <v>0</v>
      </c>
      <c r="F8476" t="str">
        <f>"001580"</f>
        <v>0</v>
      </c>
      <c r="G8476" t="s">
        <v>21</v>
      </c>
    </row>
    <row r="8477" spans="1:7">
      <c r="A8477">
        <v>8476</v>
      </c>
      <c r="B8477" t="str">
        <f>"023913"</f>
        <v>0</v>
      </c>
      <c r="C8477" t="s">
        <v>822</v>
      </c>
      <c r="D8477" t="s">
        <v>13088</v>
      </c>
      <c r="E8477" t="str">
        <f>"3520100327541"</f>
        <v>0</v>
      </c>
      <c r="F8477" t="str">
        <f>"001580"</f>
        <v>0</v>
      </c>
      <c r="G8477" t="s">
        <v>21</v>
      </c>
    </row>
    <row r="8478" spans="1:7">
      <c r="A8478">
        <v>8477</v>
      </c>
      <c r="B8478" t="str">
        <f>"027043"</f>
        <v>0</v>
      </c>
      <c r="C8478" t="s">
        <v>13089</v>
      </c>
      <c r="D8478" t="s">
        <v>13090</v>
      </c>
      <c r="E8478" t="str">
        <f>"3520100762719"</f>
        <v>0</v>
      </c>
      <c r="F8478" t="str">
        <f>"001580"</f>
        <v>0</v>
      </c>
      <c r="G8478" t="s">
        <v>21</v>
      </c>
    </row>
    <row r="8479" spans="1:7">
      <c r="A8479">
        <v>8478</v>
      </c>
      <c r="B8479" t="str">
        <f>"003628"</f>
        <v>0</v>
      </c>
      <c r="C8479" t="s">
        <v>6283</v>
      </c>
      <c r="D8479" t="s">
        <v>13091</v>
      </c>
      <c r="E8479" t="str">
        <f>"3520100541747"</f>
        <v>0</v>
      </c>
      <c r="F8479" t="str">
        <f>"001580"</f>
        <v>0</v>
      </c>
      <c r="G8479" t="s">
        <v>21</v>
      </c>
    </row>
    <row r="8480" spans="1:7">
      <c r="A8480">
        <v>8479</v>
      </c>
      <c r="B8480" t="str">
        <f>"003689"</f>
        <v>0</v>
      </c>
      <c r="C8480" t="s">
        <v>3812</v>
      </c>
      <c r="D8480" t="s">
        <v>13092</v>
      </c>
      <c r="E8480" t="str">
        <f>"3520100541712"</f>
        <v>0</v>
      </c>
      <c r="F8480" t="str">
        <f>"001580"</f>
        <v>0</v>
      </c>
      <c r="G8480" t="s">
        <v>21</v>
      </c>
    </row>
    <row r="8481" spans="1:7">
      <c r="A8481">
        <v>8480</v>
      </c>
      <c r="B8481" t="str">
        <f>"004692"</f>
        <v>0</v>
      </c>
      <c r="C8481" t="s">
        <v>98</v>
      </c>
      <c r="D8481" t="s">
        <v>13093</v>
      </c>
      <c r="E8481" t="str">
        <f>"3521000039277"</f>
        <v>0</v>
      </c>
      <c r="F8481" t="str">
        <f>"001580"</f>
        <v>0</v>
      </c>
      <c r="G8481" t="s">
        <v>21</v>
      </c>
    </row>
    <row r="8482" spans="1:7">
      <c r="A8482">
        <v>8481</v>
      </c>
      <c r="B8482" t="str">
        <f>"008324"</f>
        <v>0</v>
      </c>
      <c r="C8482" t="s">
        <v>953</v>
      </c>
      <c r="D8482" t="s">
        <v>13094</v>
      </c>
      <c r="E8482" t="str">
        <f>"3520900012609"</f>
        <v>0</v>
      </c>
      <c r="F8482" t="str">
        <f>"001580"</f>
        <v>0</v>
      </c>
      <c r="G8482" t="s">
        <v>21</v>
      </c>
    </row>
    <row r="8483" spans="1:7">
      <c r="A8483">
        <v>8482</v>
      </c>
      <c r="B8483" t="str">
        <f>"008623"</f>
        <v>0</v>
      </c>
      <c r="C8483" t="s">
        <v>86</v>
      </c>
      <c r="D8483" t="s">
        <v>13095</v>
      </c>
      <c r="E8483" t="str">
        <f>"5520100045517"</f>
        <v>0</v>
      </c>
      <c r="F8483" t="str">
        <f>"001580"</f>
        <v>0</v>
      </c>
      <c r="G8483" t="s">
        <v>21</v>
      </c>
    </row>
    <row r="8484" spans="1:7">
      <c r="A8484">
        <v>8483</v>
      </c>
      <c r="B8484" t="str">
        <f>"009961"</f>
        <v>0</v>
      </c>
      <c r="C8484" t="s">
        <v>651</v>
      </c>
      <c r="D8484" t="s">
        <v>13096</v>
      </c>
      <c r="E8484" t="str">
        <f>"3100502253499"</f>
        <v>0</v>
      </c>
      <c r="F8484" t="str">
        <f>"001580"</f>
        <v>0</v>
      </c>
      <c r="G8484" t="s">
        <v>21</v>
      </c>
    </row>
    <row r="8485" spans="1:7">
      <c r="A8485">
        <v>8484</v>
      </c>
      <c r="B8485" t="str">
        <f>"016600"</f>
        <v>0</v>
      </c>
      <c r="C8485" t="s">
        <v>239</v>
      </c>
      <c r="D8485" t="s">
        <v>2658</v>
      </c>
      <c r="E8485" t="str">
        <f>"3520600088278"</f>
        <v>0</v>
      </c>
      <c r="F8485" t="str">
        <f>"001580"</f>
        <v>0</v>
      </c>
      <c r="G8485" t="s">
        <v>21</v>
      </c>
    </row>
    <row r="8486" spans="1:7">
      <c r="A8486">
        <v>8485</v>
      </c>
      <c r="B8486" t="str">
        <f>"016670"</f>
        <v>0</v>
      </c>
      <c r="C8486" t="s">
        <v>2262</v>
      </c>
      <c r="D8486" t="s">
        <v>13097</v>
      </c>
      <c r="E8486" t="str">
        <f>"3520500023565"</f>
        <v>0</v>
      </c>
      <c r="F8486" t="str">
        <f>"001580"</f>
        <v>0</v>
      </c>
      <c r="G8486" t="s">
        <v>21</v>
      </c>
    </row>
    <row r="8487" spans="1:7">
      <c r="A8487">
        <v>8486</v>
      </c>
      <c r="B8487" t="str">
        <f>"018422"</f>
        <v>0</v>
      </c>
      <c r="C8487" t="s">
        <v>1003</v>
      </c>
      <c r="D8487" t="s">
        <v>13098</v>
      </c>
      <c r="E8487" t="str">
        <f>"3520700379240"</f>
        <v>0</v>
      </c>
      <c r="F8487" t="str">
        <f>"001580"</f>
        <v>0</v>
      </c>
      <c r="G8487" t="s">
        <v>21</v>
      </c>
    </row>
    <row r="8488" spans="1:7">
      <c r="A8488">
        <v>8487</v>
      </c>
      <c r="B8488" t="str">
        <f>"020191"</f>
        <v>0</v>
      </c>
      <c r="C8488" t="s">
        <v>10028</v>
      </c>
      <c r="D8488" t="s">
        <v>13099</v>
      </c>
      <c r="E8488" t="str">
        <f>"3530800460618"</f>
        <v>0</v>
      </c>
      <c r="F8488" t="str">
        <f>"001580"</f>
        <v>0</v>
      </c>
      <c r="G8488" t="s">
        <v>21</v>
      </c>
    </row>
    <row r="8489" spans="1:7">
      <c r="A8489">
        <v>8488</v>
      </c>
      <c r="B8489" t="str">
        <f>"008321"</f>
        <v>0</v>
      </c>
      <c r="C8489" t="s">
        <v>13100</v>
      </c>
      <c r="D8489" t="s">
        <v>13101</v>
      </c>
      <c r="E8489" t="str">
        <f>"3520300263139"</f>
        <v>0</v>
      </c>
      <c r="F8489" t="str">
        <f>"001580"</f>
        <v>0</v>
      </c>
      <c r="G8489" t="s">
        <v>21</v>
      </c>
    </row>
    <row r="8490" spans="1:7">
      <c r="A8490">
        <v>8489</v>
      </c>
      <c r="B8490" t="str">
        <f>"022698"</f>
        <v>0</v>
      </c>
      <c r="C8490" t="s">
        <v>13102</v>
      </c>
      <c r="D8490" t="s">
        <v>13103</v>
      </c>
      <c r="E8490" t="str">
        <f>"1230400010298"</f>
        <v>0</v>
      </c>
      <c r="F8490" t="str">
        <f>"001580"</f>
        <v>0</v>
      </c>
      <c r="G8490" t="s">
        <v>21</v>
      </c>
    </row>
    <row r="8491" spans="1:7">
      <c r="A8491">
        <v>8490</v>
      </c>
      <c r="B8491" t="str">
        <f>"026063"</f>
        <v>0</v>
      </c>
      <c r="C8491" t="s">
        <v>13104</v>
      </c>
      <c r="D8491" t="s">
        <v>13105</v>
      </c>
      <c r="E8491" t="str">
        <f>"1529900336970"</f>
        <v>0</v>
      </c>
      <c r="F8491" t="str">
        <f>"001580"</f>
        <v>0</v>
      </c>
      <c r="G8491" t="s">
        <v>21</v>
      </c>
    </row>
    <row r="8492" spans="1:7">
      <c r="A8492">
        <v>8491</v>
      </c>
      <c r="B8492" t="str">
        <f>"019867"</f>
        <v>0</v>
      </c>
      <c r="C8492" t="s">
        <v>13106</v>
      </c>
      <c r="D8492" t="s">
        <v>13107</v>
      </c>
      <c r="E8492" t="str">
        <f>"3509900095456"</f>
        <v>0</v>
      </c>
      <c r="F8492" t="str">
        <f>"001580"</f>
        <v>0</v>
      </c>
      <c r="G8492" t="s">
        <v>21</v>
      </c>
    </row>
    <row r="8493" spans="1:7">
      <c r="A8493">
        <v>8492</v>
      </c>
      <c r="B8493" t="str">
        <f>"020745"</f>
        <v>0</v>
      </c>
      <c r="C8493" t="s">
        <v>2453</v>
      </c>
      <c r="D8493" t="s">
        <v>13108</v>
      </c>
      <c r="E8493" t="str">
        <f>"3501300638257"</f>
        <v>0</v>
      </c>
      <c r="F8493" t="str">
        <f>"001580"</f>
        <v>0</v>
      </c>
      <c r="G8493" t="s">
        <v>21</v>
      </c>
    </row>
    <row r="8494" spans="1:7">
      <c r="A8494">
        <v>8493</v>
      </c>
      <c r="B8494" t="str">
        <f>"022613"</f>
        <v>0</v>
      </c>
      <c r="C8494" t="s">
        <v>13109</v>
      </c>
      <c r="D8494" t="s">
        <v>13110</v>
      </c>
      <c r="E8494" t="str">
        <f>"3501900586801"</f>
        <v>0</v>
      </c>
      <c r="F8494" t="str">
        <f>"001580"</f>
        <v>0</v>
      </c>
      <c r="G8494" t="s">
        <v>21</v>
      </c>
    </row>
    <row r="8495" spans="1:7">
      <c r="A8495">
        <v>8494</v>
      </c>
      <c r="B8495" t="str">
        <f>"022803"</f>
        <v>0</v>
      </c>
      <c r="C8495" t="s">
        <v>13111</v>
      </c>
      <c r="D8495" t="s">
        <v>13112</v>
      </c>
      <c r="E8495" t="str">
        <f>"3500300001878"</f>
        <v>0</v>
      </c>
      <c r="F8495" t="str">
        <f>"001580"</f>
        <v>0</v>
      </c>
      <c r="G8495" t="s">
        <v>21</v>
      </c>
    </row>
    <row r="8496" spans="1:7">
      <c r="A8496">
        <v>8495</v>
      </c>
      <c r="B8496" t="str">
        <f>"023305"</f>
        <v>0</v>
      </c>
      <c r="C8496" t="s">
        <v>13113</v>
      </c>
      <c r="D8496" t="s">
        <v>13114</v>
      </c>
      <c r="E8496" t="str">
        <f>"1509900201101"</f>
        <v>0</v>
      </c>
      <c r="F8496" t="str">
        <f>"001580"</f>
        <v>0</v>
      </c>
      <c r="G8496" t="s">
        <v>21</v>
      </c>
    </row>
    <row r="8497" spans="1:7">
      <c r="A8497">
        <v>8496</v>
      </c>
      <c r="B8497" t="str">
        <f>"023344"</f>
        <v>0</v>
      </c>
      <c r="C8497" t="s">
        <v>13115</v>
      </c>
      <c r="D8497" t="s">
        <v>13116</v>
      </c>
      <c r="E8497" t="str">
        <f>"3501000409082"</f>
        <v>0</v>
      </c>
      <c r="F8497" t="str">
        <f>"001580"</f>
        <v>0</v>
      </c>
      <c r="G8497" t="s">
        <v>21</v>
      </c>
    </row>
    <row r="8498" spans="1:7">
      <c r="A8498">
        <v>8497</v>
      </c>
      <c r="B8498" t="str">
        <f>"023545"</f>
        <v>0</v>
      </c>
      <c r="C8498" t="s">
        <v>13117</v>
      </c>
      <c r="D8498" t="s">
        <v>13118</v>
      </c>
      <c r="E8498" t="str">
        <f>"1509900131219"</f>
        <v>0</v>
      </c>
      <c r="F8498" t="str">
        <f>"001580"</f>
        <v>0</v>
      </c>
      <c r="G8498" t="s">
        <v>21</v>
      </c>
    </row>
    <row r="8499" spans="1:7">
      <c r="A8499">
        <v>8498</v>
      </c>
      <c r="B8499" t="str">
        <f>"023780"</f>
        <v>0</v>
      </c>
      <c r="C8499" t="s">
        <v>6184</v>
      </c>
      <c r="D8499" t="s">
        <v>13119</v>
      </c>
      <c r="E8499" t="str">
        <f>"1500790000028"</f>
        <v>0</v>
      </c>
      <c r="F8499" t="str">
        <f>"001580"</f>
        <v>0</v>
      </c>
      <c r="G8499" t="s">
        <v>21</v>
      </c>
    </row>
    <row r="8500" spans="1:7">
      <c r="A8500">
        <v>8499</v>
      </c>
      <c r="B8500" t="str">
        <f>"023835"</f>
        <v>0</v>
      </c>
      <c r="C8500" t="s">
        <v>13120</v>
      </c>
      <c r="D8500" t="s">
        <v>13121</v>
      </c>
      <c r="E8500" t="str">
        <f>"1509900577641"</f>
        <v>0</v>
      </c>
      <c r="F8500" t="str">
        <f>"001580"</f>
        <v>0</v>
      </c>
      <c r="G8500" t="s">
        <v>21</v>
      </c>
    </row>
    <row r="8501" spans="1:7">
      <c r="A8501">
        <v>8500</v>
      </c>
      <c r="B8501" t="str">
        <f>"024489"</f>
        <v>0</v>
      </c>
      <c r="C8501" t="s">
        <v>13122</v>
      </c>
      <c r="D8501" t="s">
        <v>13123</v>
      </c>
      <c r="E8501" t="str">
        <f>"1509900024277"</f>
        <v>0</v>
      </c>
      <c r="F8501" t="str">
        <f>"001580"</f>
        <v>0</v>
      </c>
      <c r="G8501" t="s">
        <v>21</v>
      </c>
    </row>
    <row r="8502" spans="1:7">
      <c r="A8502">
        <v>8501</v>
      </c>
      <c r="B8502" t="str">
        <f>"024662"</f>
        <v>0</v>
      </c>
      <c r="C8502" t="s">
        <v>8969</v>
      </c>
      <c r="D8502" t="s">
        <v>13124</v>
      </c>
      <c r="E8502" t="str">
        <f>"1509900468175"</f>
        <v>0</v>
      </c>
      <c r="F8502" t="str">
        <f>"001580"</f>
        <v>0</v>
      </c>
      <c r="G8502" t="s">
        <v>21</v>
      </c>
    </row>
    <row r="8503" spans="1:7">
      <c r="A8503">
        <v>8502</v>
      </c>
      <c r="B8503" t="str">
        <f>"025322"</f>
        <v>0</v>
      </c>
      <c r="C8503" t="s">
        <v>2486</v>
      </c>
      <c r="D8503" t="s">
        <v>13125</v>
      </c>
      <c r="E8503" t="str">
        <f>"3510600687848"</f>
        <v>0</v>
      </c>
      <c r="F8503" t="str">
        <f>"001580"</f>
        <v>0</v>
      </c>
      <c r="G8503" t="s">
        <v>21</v>
      </c>
    </row>
    <row r="8504" spans="1:7">
      <c r="A8504">
        <v>8503</v>
      </c>
      <c r="B8504" t="str">
        <f>"025533"</f>
        <v>0</v>
      </c>
      <c r="C8504" t="s">
        <v>13126</v>
      </c>
      <c r="D8504" t="s">
        <v>13127</v>
      </c>
      <c r="E8504" t="str">
        <f>"3100400685217"</f>
        <v>0</v>
      </c>
      <c r="F8504" t="str">
        <f>"001580"</f>
        <v>0</v>
      </c>
      <c r="G8504" t="s">
        <v>21</v>
      </c>
    </row>
    <row r="8505" spans="1:7">
      <c r="A8505">
        <v>8504</v>
      </c>
      <c r="B8505" t="str">
        <f>"026208"</f>
        <v>0</v>
      </c>
      <c r="C8505" t="s">
        <v>5015</v>
      </c>
      <c r="D8505" t="s">
        <v>13128</v>
      </c>
      <c r="E8505" t="str">
        <f>"3501200393619"</f>
        <v>0</v>
      </c>
      <c r="F8505" t="str">
        <f>"001580"</f>
        <v>0</v>
      </c>
      <c r="G8505" t="s">
        <v>21</v>
      </c>
    </row>
    <row r="8506" spans="1:7">
      <c r="A8506">
        <v>8505</v>
      </c>
      <c r="B8506" t="str">
        <f>"026795"</f>
        <v>0</v>
      </c>
      <c r="C8506" t="s">
        <v>13129</v>
      </c>
      <c r="D8506" t="s">
        <v>13130</v>
      </c>
      <c r="E8506" t="str">
        <f>"1500400009572"</f>
        <v>0</v>
      </c>
      <c r="F8506" t="str">
        <f>"001580"</f>
        <v>0</v>
      </c>
      <c r="G8506" t="s">
        <v>21</v>
      </c>
    </row>
    <row r="8507" spans="1:7">
      <c r="A8507">
        <v>8506</v>
      </c>
      <c r="B8507" t="str">
        <f>"022336"</f>
        <v>0</v>
      </c>
      <c r="C8507" t="s">
        <v>13131</v>
      </c>
      <c r="D8507" t="s">
        <v>13132</v>
      </c>
      <c r="E8507" t="str">
        <f>"3510100583784"</f>
        <v>0</v>
      </c>
      <c r="F8507" t="str">
        <f>"001580"</f>
        <v>0</v>
      </c>
      <c r="G8507" t="s">
        <v>21</v>
      </c>
    </row>
    <row r="8508" spans="1:7">
      <c r="A8508">
        <v>8507</v>
      </c>
      <c r="B8508" t="str">
        <f>"023804"</f>
        <v>0</v>
      </c>
      <c r="C8508" t="s">
        <v>13133</v>
      </c>
      <c r="D8508" t="s">
        <v>13134</v>
      </c>
      <c r="E8508" t="str">
        <f>"1549900058384"</f>
        <v>0</v>
      </c>
      <c r="F8508" t="str">
        <f>"001580"</f>
        <v>0</v>
      </c>
      <c r="G8508" t="s">
        <v>21</v>
      </c>
    </row>
    <row r="8509" spans="1:7">
      <c r="A8509">
        <v>8508</v>
      </c>
      <c r="B8509" t="str">
        <f>"006404"</f>
        <v>0</v>
      </c>
      <c r="C8509" t="s">
        <v>7249</v>
      </c>
      <c r="D8509" t="s">
        <v>13135</v>
      </c>
      <c r="E8509" t="str">
        <f>"5521200017508"</f>
        <v>0</v>
      </c>
      <c r="F8509" t="str">
        <f>"001580"</f>
        <v>0</v>
      </c>
      <c r="G8509" t="s">
        <v>21</v>
      </c>
    </row>
    <row r="8510" spans="1:7">
      <c r="A8510">
        <v>8509</v>
      </c>
      <c r="B8510" t="str">
        <f>"008410"</f>
        <v>0</v>
      </c>
      <c r="C8510" t="s">
        <v>887</v>
      </c>
      <c r="D8510" t="s">
        <v>13136</v>
      </c>
      <c r="E8510" t="str">
        <f>"3520100842046"</f>
        <v>0</v>
      </c>
      <c r="F8510" t="str">
        <f>"001580"</f>
        <v>0</v>
      </c>
      <c r="G8510" t="s">
        <v>21</v>
      </c>
    </row>
    <row r="8511" spans="1:7">
      <c r="A8511">
        <v>8510</v>
      </c>
      <c r="B8511" t="str">
        <f>"008699"</f>
        <v>0</v>
      </c>
      <c r="C8511" t="s">
        <v>10031</v>
      </c>
      <c r="D8511" t="s">
        <v>13049</v>
      </c>
      <c r="E8511" t="str">
        <f>"3540300275277"</f>
        <v>0</v>
      </c>
      <c r="F8511" t="str">
        <f>"001580"</f>
        <v>0</v>
      </c>
      <c r="G8511" t="s">
        <v>21</v>
      </c>
    </row>
    <row r="8512" spans="1:7">
      <c r="A8512">
        <v>8511</v>
      </c>
      <c r="B8512" t="str">
        <f>"009066"</f>
        <v>0</v>
      </c>
      <c r="C8512" t="s">
        <v>13137</v>
      </c>
      <c r="D8512" t="s">
        <v>13138</v>
      </c>
      <c r="E8512" t="str">
        <f>"3521200032098"</f>
        <v>0</v>
      </c>
      <c r="F8512" t="str">
        <f>"001580"</f>
        <v>0</v>
      </c>
      <c r="G8512" t="s">
        <v>21</v>
      </c>
    </row>
    <row r="8513" spans="1:7">
      <c r="A8513">
        <v>8512</v>
      </c>
      <c r="B8513" t="str">
        <f>"010044"</f>
        <v>0</v>
      </c>
      <c r="C8513" t="s">
        <v>2303</v>
      </c>
      <c r="D8513" t="s">
        <v>13139</v>
      </c>
      <c r="E8513" t="str">
        <f>"3520500022712"</f>
        <v>0</v>
      </c>
      <c r="F8513" t="str">
        <f>"001580"</f>
        <v>0</v>
      </c>
      <c r="G8513" t="s">
        <v>21</v>
      </c>
    </row>
    <row r="8514" spans="1:7">
      <c r="A8514">
        <v>8513</v>
      </c>
      <c r="B8514" t="str">
        <f>"011900"</f>
        <v>0</v>
      </c>
      <c r="C8514" t="s">
        <v>13140</v>
      </c>
      <c r="D8514" t="s">
        <v>13141</v>
      </c>
      <c r="E8514" t="str">
        <f>"3510101350503"</f>
        <v>0</v>
      </c>
      <c r="F8514" t="str">
        <f>"001580"</f>
        <v>0</v>
      </c>
      <c r="G8514" t="s">
        <v>21</v>
      </c>
    </row>
    <row r="8515" spans="1:7">
      <c r="A8515">
        <v>8514</v>
      </c>
      <c r="B8515" t="str">
        <f>"011922"</f>
        <v>0</v>
      </c>
      <c r="C8515" t="s">
        <v>4577</v>
      </c>
      <c r="D8515" t="s">
        <v>13142</v>
      </c>
      <c r="E8515" t="str">
        <f>"3570300671032"</f>
        <v>0</v>
      </c>
      <c r="F8515" t="str">
        <f>"001580"</f>
        <v>0</v>
      </c>
      <c r="G8515" t="s">
        <v>21</v>
      </c>
    </row>
    <row r="8516" spans="1:7">
      <c r="A8516">
        <v>8515</v>
      </c>
      <c r="B8516" t="str">
        <f>"012893"</f>
        <v>0</v>
      </c>
      <c r="C8516" t="s">
        <v>8637</v>
      </c>
      <c r="D8516" t="s">
        <v>13143</v>
      </c>
      <c r="E8516" t="str">
        <f>"5341600033065"</f>
        <v>0</v>
      </c>
      <c r="F8516" t="str">
        <f>"001580"</f>
        <v>0</v>
      </c>
      <c r="G8516" t="s">
        <v>21</v>
      </c>
    </row>
    <row r="8517" spans="1:7">
      <c r="A8517">
        <v>8516</v>
      </c>
      <c r="B8517" t="str">
        <f>"013495"</f>
        <v>0</v>
      </c>
      <c r="C8517" t="s">
        <v>13144</v>
      </c>
      <c r="D8517" t="s">
        <v>13145</v>
      </c>
      <c r="E8517" t="str">
        <f>"3521200018141"</f>
        <v>0</v>
      </c>
      <c r="F8517" t="str">
        <f>"001580"</f>
        <v>0</v>
      </c>
      <c r="G8517" t="s">
        <v>21</v>
      </c>
    </row>
    <row r="8518" spans="1:7">
      <c r="A8518">
        <v>8517</v>
      </c>
      <c r="B8518" t="str">
        <f>"014291"</f>
        <v>0</v>
      </c>
      <c r="C8518" t="s">
        <v>2894</v>
      </c>
      <c r="D8518" t="s">
        <v>13146</v>
      </c>
      <c r="E8518" t="str">
        <f>"3521000271048"</f>
        <v>0</v>
      </c>
      <c r="F8518" t="str">
        <f>"001580"</f>
        <v>0</v>
      </c>
      <c r="G8518" t="s">
        <v>21</v>
      </c>
    </row>
    <row r="8519" spans="1:7">
      <c r="A8519">
        <v>8518</v>
      </c>
      <c r="B8519" t="str">
        <f>"015338"</f>
        <v>0</v>
      </c>
      <c r="C8519" t="s">
        <v>13147</v>
      </c>
      <c r="D8519" t="s">
        <v>13148</v>
      </c>
      <c r="E8519" t="str">
        <f>"3501200372794"</f>
        <v>0</v>
      </c>
      <c r="F8519" t="str">
        <f>"001580"</f>
        <v>0</v>
      </c>
      <c r="G8519" t="s">
        <v>21</v>
      </c>
    </row>
    <row r="8520" spans="1:7">
      <c r="A8520">
        <v>8519</v>
      </c>
      <c r="B8520" t="str">
        <f>"015370"</f>
        <v>0</v>
      </c>
      <c r="C8520" t="s">
        <v>13149</v>
      </c>
      <c r="D8520" t="s">
        <v>13150</v>
      </c>
      <c r="E8520" t="str">
        <f>"3520300598831"</f>
        <v>0</v>
      </c>
      <c r="F8520" t="str">
        <f>"001580"</f>
        <v>0</v>
      </c>
      <c r="G8520" t="s">
        <v>21</v>
      </c>
    </row>
    <row r="8521" spans="1:7">
      <c r="A8521">
        <v>8520</v>
      </c>
      <c r="B8521" t="str">
        <f>"015805"</f>
        <v>0</v>
      </c>
      <c r="C8521" t="s">
        <v>197</v>
      </c>
      <c r="D8521" t="s">
        <v>13151</v>
      </c>
      <c r="E8521" t="str">
        <f>"3521000434478"</f>
        <v>0</v>
      </c>
      <c r="F8521" t="str">
        <f>"001580"</f>
        <v>0</v>
      </c>
      <c r="G8521" t="s">
        <v>21</v>
      </c>
    </row>
    <row r="8522" spans="1:7">
      <c r="A8522">
        <v>8521</v>
      </c>
      <c r="B8522" t="str">
        <f>"016703"</f>
        <v>0</v>
      </c>
      <c r="C8522" t="s">
        <v>3057</v>
      </c>
      <c r="D8522" t="s">
        <v>13152</v>
      </c>
      <c r="E8522" t="str">
        <f>"3520100044808"</f>
        <v>0</v>
      </c>
      <c r="F8522" t="str">
        <f>"001580"</f>
        <v>0</v>
      </c>
      <c r="G8522" t="s">
        <v>21</v>
      </c>
    </row>
    <row r="8523" spans="1:7">
      <c r="A8523">
        <v>8522</v>
      </c>
      <c r="B8523" t="str">
        <f>"016879"</f>
        <v>0</v>
      </c>
      <c r="C8523" t="s">
        <v>6323</v>
      </c>
      <c r="D8523" t="s">
        <v>13153</v>
      </c>
      <c r="E8523" t="str">
        <f>"3520100760236"</f>
        <v>0</v>
      </c>
      <c r="F8523" t="str">
        <f>"001580"</f>
        <v>0</v>
      </c>
      <c r="G8523" t="s">
        <v>21</v>
      </c>
    </row>
    <row r="8524" spans="1:7">
      <c r="A8524">
        <v>8523</v>
      </c>
      <c r="B8524" t="str">
        <f>"017599"</f>
        <v>0</v>
      </c>
      <c r="C8524" t="s">
        <v>13154</v>
      </c>
      <c r="D8524" t="s">
        <v>13155</v>
      </c>
      <c r="E8524" t="str">
        <f>"3501200629426"</f>
        <v>0</v>
      </c>
      <c r="F8524" t="str">
        <f>"001580"</f>
        <v>0</v>
      </c>
      <c r="G8524" t="s">
        <v>21</v>
      </c>
    </row>
    <row r="8525" spans="1:7">
      <c r="A8525">
        <v>8524</v>
      </c>
      <c r="B8525" t="str">
        <f>"018170"</f>
        <v>0</v>
      </c>
      <c r="C8525" t="s">
        <v>13156</v>
      </c>
      <c r="D8525" t="s">
        <v>13157</v>
      </c>
      <c r="E8525" t="str">
        <f>"3520700178970"</f>
        <v>0</v>
      </c>
      <c r="F8525" t="str">
        <f>"001580"</f>
        <v>0</v>
      </c>
      <c r="G8525" t="s">
        <v>21</v>
      </c>
    </row>
    <row r="8526" spans="1:7">
      <c r="A8526">
        <v>8525</v>
      </c>
      <c r="B8526" t="str">
        <f>"019389"</f>
        <v>0</v>
      </c>
      <c r="C8526" t="s">
        <v>13158</v>
      </c>
      <c r="D8526" t="s">
        <v>7512</v>
      </c>
      <c r="E8526" t="str">
        <f>"3521000021921"</f>
        <v>0</v>
      </c>
      <c r="F8526" t="str">
        <f>"001580"</f>
        <v>0</v>
      </c>
      <c r="G8526" t="s">
        <v>21</v>
      </c>
    </row>
    <row r="8527" spans="1:7">
      <c r="A8527">
        <v>8526</v>
      </c>
      <c r="B8527" t="str">
        <f>"019904"</f>
        <v>0</v>
      </c>
      <c r="C8527" t="s">
        <v>13159</v>
      </c>
      <c r="D8527" t="s">
        <v>13160</v>
      </c>
      <c r="E8527" t="str">
        <f>"3520101420587"</f>
        <v>0</v>
      </c>
      <c r="F8527" t="str">
        <f>"001580"</f>
        <v>0</v>
      </c>
      <c r="G8527" t="s">
        <v>21</v>
      </c>
    </row>
    <row r="8528" spans="1:7">
      <c r="A8528">
        <v>8527</v>
      </c>
      <c r="B8528" t="str">
        <f>"019986"</f>
        <v>0</v>
      </c>
      <c r="C8528" t="s">
        <v>13161</v>
      </c>
      <c r="D8528" t="s">
        <v>13162</v>
      </c>
      <c r="E8528" t="str">
        <f>"3520100563210"</f>
        <v>0</v>
      </c>
      <c r="F8528" t="str">
        <f>"001580"</f>
        <v>0</v>
      </c>
      <c r="G8528" t="s">
        <v>21</v>
      </c>
    </row>
    <row r="8529" spans="1:7">
      <c r="A8529">
        <v>8528</v>
      </c>
      <c r="B8529" t="str">
        <f>"019996"</f>
        <v>0</v>
      </c>
      <c r="C8529" t="s">
        <v>341</v>
      </c>
      <c r="D8529" t="s">
        <v>13163</v>
      </c>
      <c r="E8529" t="str">
        <f>"3521100024506"</f>
        <v>0</v>
      </c>
      <c r="F8529" t="str">
        <f>"001580"</f>
        <v>0</v>
      </c>
      <c r="G8529" t="s">
        <v>21</v>
      </c>
    </row>
    <row r="8530" spans="1:7">
      <c r="A8530">
        <v>8529</v>
      </c>
      <c r="B8530" t="str">
        <f>"020014"</f>
        <v>0</v>
      </c>
      <c r="C8530" t="s">
        <v>1317</v>
      </c>
      <c r="D8530" t="s">
        <v>13164</v>
      </c>
      <c r="E8530" t="str">
        <f>"5521290000481"</f>
        <v>0</v>
      </c>
      <c r="F8530" t="str">
        <f>"001580"</f>
        <v>0</v>
      </c>
      <c r="G8530" t="s">
        <v>21</v>
      </c>
    </row>
    <row r="8531" spans="1:7">
      <c r="A8531">
        <v>8530</v>
      </c>
      <c r="B8531" t="str">
        <f>"020292"</f>
        <v>0</v>
      </c>
      <c r="C8531" t="s">
        <v>13165</v>
      </c>
      <c r="D8531" t="s">
        <v>13166</v>
      </c>
      <c r="E8531" t="str">
        <f>"3521000167071"</f>
        <v>0</v>
      </c>
      <c r="F8531" t="str">
        <f>"001580"</f>
        <v>0</v>
      </c>
      <c r="G8531" t="s">
        <v>21</v>
      </c>
    </row>
    <row r="8532" spans="1:7">
      <c r="A8532">
        <v>8531</v>
      </c>
      <c r="B8532" t="str">
        <f>"020449"</f>
        <v>0</v>
      </c>
      <c r="C8532" t="s">
        <v>13167</v>
      </c>
      <c r="D8532" t="s">
        <v>13168</v>
      </c>
      <c r="E8532" t="str">
        <f>"3521200409655"</f>
        <v>0</v>
      </c>
      <c r="F8532" t="str">
        <f>"001580"</f>
        <v>0</v>
      </c>
      <c r="G8532" t="s">
        <v>21</v>
      </c>
    </row>
    <row r="8533" spans="1:7">
      <c r="A8533">
        <v>8532</v>
      </c>
      <c r="B8533" t="str">
        <f>"020535"</f>
        <v>0</v>
      </c>
      <c r="C8533" t="s">
        <v>5445</v>
      </c>
      <c r="D8533" t="s">
        <v>13169</v>
      </c>
      <c r="E8533" t="str">
        <f>"3800600048079"</f>
        <v>0</v>
      </c>
      <c r="F8533" t="str">
        <f>"001580"</f>
        <v>0</v>
      </c>
      <c r="G8533" t="s">
        <v>21</v>
      </c>
    </row>
    <row r="8534" spans="1:7">
      <c r="A8534">
        <v>8533</v>
      </c>
      <c r="B8534" t="str">
        <f>"020822"</f>
        <v>0</v>
      </c>
      <c r="C8534" t="s">
        <v>2894</v>
      </c>
      <c r="D8534" t="s">
        <v>13170</v>
      </c>
      <c r="E8534" t="str">
        <f>"3510200351605"</f>
        <v>0</v>
      </c>
      <c r="F8534" t="str">
        <f>"001580"</f>
        <v>0</v>
      </c>
      <c r="G8534" t="s">
        <v>21</v>
      </c>
    </row>
    <row r="8535" spans="1:7">
      <c r="A8535">
        <v>8534</v>
      </c>
      <c r="B8535" t="str">
        <f>"021256"</f>
        <v>0</v>
      </c>
      <c r="C8535" t="s">
        <v>3799</v>
      </c>
      <c r="D8535" t="s">
        <v>13171</v>
      </c>
      <c r="E8535" t="str">
        <f>"3960200345351"</f>
        <v>0</v>
      </c>
      <c r="F8535" t="str">
        <f>"001580"</f>
        <v>0</v>
      </c>
      <c r="G8535" t="s">
        <v>21</v>
      </c>
    </row>
    <row r="8536" spans="1:7">
      <c r="A8536">
        <v>8535</v>
      </c>
      <c r="B8536" t="str">
        <f>"021281"</f>
        <v>0</v>
      </c>
      <c r="C8536" t="s">
        <v>24</v>
      </c>
      <c r="D8536" t="s">
        <v>13172</v>
      </c>
      <c r="E8536" t="str">
        <f>"3520101587287"</f>
        <v>0</v>
      </c>
      <c r="F8536" t="str">
        <f>"001580"</f>
        <v>0</v>
      </c>
      <c r="G8536" t="s">
        <v>21</v>
      </c>
    </row>
    <row r="8537" spans="1:7">
      <c r="A8537">
        <v>8536</v>
      </c>
      <c r="B8537" t="str">
        <f>"021359"</f>
        <v>0</v>
      </c>
      <c r="C8537" t="s">
        <v>13173</v>
      </c>
      <c r="D8537" t="s">
        <v>13174</v>
      </c>
      <c r="E8537" t="str">
        <f>"3510400022354"</f>
        <v>0</v>
      </c>
      <c r="F8537" t="str">
        <f>"001580"</f>
        <v>0</v>
      </c>
      <c r="G8537" t="s">
        <v>21</v>
      </c>
    </row>
    <row r="8538" spans="1:7">
      <c r="A8538">
        <v>8537</v>
      </c>
      <c r="B8538" t="str">
        <f>"021447"</f>
        <v>0</v>
      </c>
      <c r="C8538" t="s">
        <v>2815</v>
      </c>
      <c r="D8538" t="s">
        <v>10903</v>
      </c>
      <c r="E8538" t="str">
        <f>"3540100751695"</f>
        <v>0</v>
      </c>
      <c r="F8538" t="str">
        <f>"001580"</f>
        <v>0</v>
      </c>
      <c r="G8538" t="s">
        <v>21</v>
      </c>
    </row>
    <row r="8539" spans="1:7">
      <c r="A8539">
        <v>8538</v>
      </c>
      <c r="B8539" t="str">
        <f>"021523"</f>
        <v>0</v>
      </c>
      <c r="C8539" t="s">
        <v>957</v>
      </c>
      <c r="D8539" t="s">
        <v>13175</v>
      </c>
      <c r="E8539" t="str">
        <f>"3520200096109"</f>
        <v>0</v>
      </c>
      <c r="F8539" t="str">
        <f>"001580"</f>
        <v>0</v>
      </c>
      <c r="G8539" t="s">
        <v>21</v>
      </c>
    </row>
    <row r="8540" spans="1:7">
      <c r="A8540">
        <v>8539</v>
      </c>
      <c r="B8540" t="str">
        <f>"021650"</f>
        <v>0</v>
      </c>
      <c r="C8540" t="s">
        <v>10829</v>
      </c>
      <c r="D8540" t="s">
        <v>10940</v>
      </c>
      <c r="E8540" t="str">
        <f>"3520800027949"</f>
        <v>0</v>
      </c>
      <c r="F8540" t="str">
        <f>"001580"</f>
        <v>0</v>
      </c>
      <c r="G8540" t="s">
        <v>21</v>
      </c>
    </row>
    <row r="8541" spans="1:7">
      <c r="A8541">
        <v>8540</v>
      </c>
      <c r="B8541" t="str">
        <f>"021881"</f>
        <v>0</v>
      </c>
      <c r="C8541" t="s">
        <v>1880</v>
      </c>
      <c r="D8541" t="s">
        <v>13176</v>
      </c>
      <c r="E8541" t="str">
        <f>"3540300334729"</f>
        <v>0</v>
      </c>
      <c r="F8541" t="str">
        <f>"001580"</f>
        <v>0</v>
      </c>
      <c r="G8541" t="s">
        <v>21</v>
      </c>
    </row>
    <row r="8542" spans="1:7">
      <c r="A8542">
        <v>8541</v>
      </c>
      <c r="B8542" t="str">
        <f>"021917"</f>
        <v>0</v>
      </c>
      <c r="C8542" t="s">
        <v>13177</v>
      </c>
      <c r="D8542" t="s">
        <v>13178</v>
      </c>
      <c r="E8542" t="str">
        <f>"1529900121574"</f>
        <v>0</v>
      </c>
      <c r="F8542" t="str">
        <f>"001580"</f>
        <v>0</v>
      </c>
      <c r="G8542" t="s">
        <v>21</v>
      </c>
    </row>
    <row r="8543" spans="1:7">
      <c r="A8543">
        <v>8542</v>
      </c>
      <c r="B8543" t="str">
        <f>"022420"</f>
        <v>0</v>
      </c>
      <c r="C8543" t="s">
        <v>13179</v>
      </c>
      <c r="D8543" t="s">
        <v>13132</v>
      </c>
      <c r="E8543" t="str">
        <f>"3520100881297"</f>
        <v>0</v>
      </c>
      <c r="F8543" t="str">
        <f>"001580"</f>
        <v>0</v>
      </c>
      <c r="G8543" t="s">
        <v>21</v>
      </c>
    </row>
    <row r="8544" spans="1:7">
      <c r="A8544">
        <v>8543</v>
      </c>
      <c r="B8544" t="str">
        <f>"022429"</f>
        <v>0</v>
      </c>
      <c r="C8544" t="s">
        <v>13180</v>
      </c>
      <c r="D8544" t="s">
        <v>13181</v>
      </c>
      <c r="E8544" t="str">
        <f>"3520100666086"</f>
        <v>0</v>
      </c>
      <c r="F8544" t="str">
        <f>"001580"</f>
        <v>0</v>
      </c>
      <c r="G8544" t="s">
        <v>21</v>
      </c>
    </row>
    <row r="8545" spans="1:7">
      <c r="A8545">
        <v>8544</v>
      </c>
      <c r="B8545" t="str">
        <f>"022485"</f>
        <v>0</v>
      </c>
      <c r="C8545" t="s">
        <v>13182</v>
      </c>
      <c r="D8545" t="s">
        <v>13183</v>
      </c>
      <c r="E8545" t="str">
        <f>"1420500015729"</f>
        <v>0</v>
      </c>
      <c r="F8545" t="str">
        <f>"001580"</f>
        <v>0</v>
      </c>
      <c r="G8545" t="s">
        <v>21</v>
      </c>
    </row>
    <row r="8546" spans="1:7">
      <c r="A8546">
        <v>8545</v>
      </c>
      <c r="B8546" t="str">
        <f>"022860"</f>
        <v>0</v>
      </c>
      <c r="C8546" t="s">
        <v>11761</v>
      </c>
      <c r="D8546" t="s">
        <v>13103</v>
      </c>
      <c r="E8546" t="str">
        <f>"1529900210844"</f>
        <v>0</v>
      </c>
      <c r="F8546" t="str">
        <f>"001580"</f>
        <v>0</v>
      </c>
      <c r="G8546" t="s">
        <v>21</v>
      </c>
    </row>
    <row r="8547" spans="1:7">
      <c r="A8547">
        <v>8546</v>
      </c>
      <c r="B8547" t="str">
        <f>"022880"</f>
        <v>0</v>
      </c>
      <c r="C8547" t="s">
        <v>13184</v>
      </c>
      <c r="D8547" t="s">
        <v>13185</v>
      </c>
      <c r="E8547" t="str">
        <f>"3521000179443"</f>
        <v>0</v>
      </c>
      <c r="F8547" t="str">
        <f>"001580"</f>
        <v>0</v>
      </c>
      <c r="G8547" t="s">
        <v>21</v>
      </c>
    </row>
    <row r="8548" spans="1:7">
      <c r="A8548">
        <v>8547</v>
      </c>
      <c r="B8548" t="str">
        <f>"022926"</f>
        <v>0</v>
      </c>
      <c r="C8548" t="s">
        <v>13186</v>
      </c>
      <c r="D8548" t="s">
        <v>13187</v>
      </c>
      <c r="E8548" t="str">
        <f>"3520500001090"</f>
        <v>0</v>
      </c>
      <c r="F8548" t="str">
        <f>"001580"</f>
        <v>0</v>
      </c>
      <c r="G8548" t="s">
        <v>21</v>
      </c>
    </row>
    <row r="8549" spans="1:7">
      <c r="A8549">
        <v>8548</v>
      </c>
      <c r="B8549" t="str">
        <f>"022970"</f>
        <v>0</v>
      </c>
      <c r="C8549" t="s">
        <v>4492</v>
      </c>
      <c r="D8549" t="s">
        <v>2962</v>
      </c>
      <c r="E8549" t="str">
        <f>"3521000234541"</f>
        <v>0</v>
      </c>
      <c r="F8549" t="str">
        <f>"001580"</f>
        <v>0</v>
      </c>
      <c r="G8549" t="s">
        <v>21</v>
      </c>
    </row>
    <row r="8550" spans="1:7">
      <c r="A8550">
        <v>8549</v>
      </c>
      <c r="B8550" t="str">
        <f>"023064"</f>
        <v>0</v>
      </c>
      <c r="C8550" t="s">
        <v>13188</v>
      </c>
      <c r="D8550" t="s">
        <v>13189</v>
      </c>
      <c r="E8550" t="str">
        <f>"1520200004852"</f>
        <v>0</v>
      </c>
      <c r="F8550" t="str">
        <f>"001580"</f>
        <v>0</v>
      </c>
      <c r="G8550" t="s">
        <v>21</v>
      </c>
    </row>
    <row r="8551" spans="1:7">
      <c r="A8551">
        <v>8550</v>
      </c>
      <c r="B8551" t="str">
        <f>"023069"</f>
        <v>0</v>
      </c>
      <c r="C8551" t="s">
        <v>620</v>
      </c>
      <c r="D8551" t="s">
        <v>13190</v>
      </c>
      <c r="E8551" t="str">
        <f>"3521000007758"</f>
        <v>0</v>
      </c>
      <c r="F8551" t="str">
        <f>"001580"</f>
        <v>0</v>
      </c>
      <c r="G8551" t="s">
        <v>21</v>
      </c>
    </row>
    <row r="8552" spans="1:7">
      <c r="A8552">
        <v>8551</v>
      </c>
      <c r="B8552" t="str">
        <f>"023153"</f>
        <v>0</v>
      </c>
      <c r="C8552" t="s">
        <v>13191</v>
      </c>
      <c r="D8552" t="s">
        <v>13183</v>
      </c>
      <c r="E8552" t="str">
        <f>"1521000006615"</f>
        <v>0</v>
      </c>
      <c r="F8552" t="str">
        <f>"001580"</f>
        <v>0</v>
      </c>
      <c r="G8552" t="s">
        <v>21</v>
      </c>
    </row>
    <row r="8553" spans="1:7">
      <c r="A8553">
        <v>8552</v>
      </c>
      <c r="B8553" t="str">
        <f>"023329"</f>
        <v>0</v>
      </c>
      <c r="C8553" t="s">
        <v>13192</v>
      </c>
      <c r="D8553" t="s">
        <v>13193</v>
      </c>
      <c r="E8553" t="str">
        <f>"1521000006623"</f>
        <v>0</v>
      </c>
      <c r="F8553" t="str">
        <f>"001580"</f>
        <v>0</v>
      </c>
      <c r="G8553" t="s">
        <v>21</v>
      </c>
    </row>
    <row r="8554" spans="1:7">
      <c r="A8554">
        <v>8553</v>
      </c>
      <c r="B8554" t="str">
        <f>"023330"</f>
        <v>0</v>
      </c>
      <c r="C8554" t="s">
        <v>13194</v>
      </c>
      <c r="D8554" t="s">
        <v>6985</v>
      </c>
      <c r="E8554" t="str">
        <f>"1529900124310"</f>
        <v>0</v>
      </c>
      <c r="F8554" t="str">
        <f>"001580"</f>
        <v>0</v>
      </c>
      <c r="G8554" t="s">
        <v>21</v>
      </c>
    </row>
    <row r="8555" spans="1:7">
      <c r="A8555">
        <v>8554</v>
      </c>
      <c r="B8555" t="str">
        <f>"023601"</f>
        <v>0</v>
      </c>
      <c r="C8555" t="s">
        <v>13195</v>
      </c>
      <c r="D8555" t="s">
        <v>13196</v>
      </c>
      <c r="E8555" t="str">
        <f>"3520101351852"</f>
        <v>0</v>
      </c>
      <c r="F8555" t="str">
        <f>"001580"</f>
        <v>0</v>
      </c>
      <c r="G8555" t="s">
        <v>21</v>
      </c>
    </row>
    <row r="8556" spans="1:7">
      <c r="A8556">
        <v>8555</v>
      </c>
      <c r="B8556" t="str">
        <f>"023642"</f>
        <v>0</v>
      </c>
      <c r="C8556" t="s">
        <v>5776</v>
      </c>
      <c r="D8556" t="s">
        <v>13197</v>
      </c>
      <c r="E8556" t="str">
        <f>"3521000326560"</f>
        <v>0</v>
      </c>
      <c r="F8556" t="str">
        <f>"001580"</f>
        <v>0</v>
      </c>
      <c r="G8556" t="s">
        <v>21</v>
      </c>
    </row>
    <row r="8557" spans="1:7">
      <c r="A8557">
        <v>8556</v>
      </c>
      <c r="B8557" t="str">
        <f>"023724"</f>
        <v>0</v>
      </c>
      <c r="C8557" t="s">
        <v>701</v>
      </c>
      <c r="D8557" t="s">
        <v>13198</v>
      </c>
      <c r="E8557" t="str">
        <f>"3570101114265"</f>
        <v>0</v>
      </c>
      <c r="F8557" t="str">
        <f>"001580"</f>
        <v>0</v>
      </c>
      <c r="G8557" t="s">
        <v>21</v>
      </c>
    </row>
    <row r="8558" spans="1:7">
      <c r="A8558">
        <v>8557</v>
      </c>
      <c r="B8558" t="str">
        <f>"023857"</f>
        <v>0</v>
      </c>
      <c r="C8558" t="s">
        <v>2490</v>
      </c>
      <c r="D8558" t="s">
        <v>13199</v>
      </c>
      <c r="E8558" t="str">
        <f>"1520700057726"</f>
        <v>0</v>
      </c>
      <c r="F8558" t="str">
        <f>"001580"</f>
        <v>0</v>
      </c>
      <c r="G8558" t="s">
        <v>21</v>
      </c>
    </row>
    <row r="8559" spans="1:7">
      <c r="A8559">
        <v>8558</v>
      </c>
      <c r="B8559" t="str">
        <f>"024101"</f>
        <v>0</v>
      </c>
      <c r="C8559" t="s">
        <v>13200</v>
      </c>
      <c r="D8559" t="s">
        <v>13201</v>
      </c>
      <c r="E8559" t="str">
        <f>"3520100089721"</f>
        <v>0</v>
      </c>
      <c r="F8559" t="str">
        <f>"001580"</f>
        <v>0</v>
      </c>
      <c r="G8559" t="s">
        <v>21</v>
      </c>
    </row>
    <row r="8560" spans="1:7">
      <c r="A8560">
        <v>8559</v>
      </c>
      <c r="B8560" t="str">
        <f>"024146"</f>
        <v>0</v>
      </c>
      <c r="C8560" t="s">
        <v>7797</v>
      </c>
      <c r="D8560" t="s">
        <v>13202</v>
      </c>
      <c r="E8560" t="str">
        <f>"1521100006528"</f>
        <v>0</v>
      </c>
      <c r="F8560" t="str">
        <f>"001580"</f>
        <v>0</v>
      </c>
      <c r="G8560" t="s">
        <v>21</v>
      </c>
    </row>
    <row r="8561" spans="1:7">
      <c r="A8561">
        <v>8560</v>
      </c>
      <c r="B8561" t="str">
        <f>"024175"</f>
        <v>0</v>
      </c>
      <c r="C8561" t="s">
        <v>1190</v>
      </c>
      <c r="D8561" t="s">
        <v>13203</v>
      </c>
      <c r="E8561" t="str">
        <f>"1529900258987"</f>
        <v>0</v>
      </c>
      <c r="F8561" t="str">
        <f>"001580"</f>
        <v>0</v>
      </c>
      <c r="G8561" t="s">
        <v>21</v>
      </c>
    </row>
    <row r="8562" spans="1:7">
      <c r="A8562">
        <v>8561</v>
      </c>
      <c r="B8562" t="str">
        <f>"024368"</f>
        <v>0</v>
      </c>
      <c r="C8562" t="s">
        <v>13204</v>
      </c>
      <c r="D8562" t="s">
        <v>13205</v>
      </c>
      <c r="E8562" t="str">
        <f>"1529900440068"</f>
        <v>0</v>
      </c>
      <c r="F8562" t="str">
        <f>"001580"</f>
        <v>0</v>
      </c>
      <c r="G8562" t="s">
        <v>21</v>
      </c>
    </row>
    <row r="8563" spans="1:7">
      <c r="A8563">
        <v>8562</v>
      </c>
      <c r="B8563" t="str">
        <f>"024485"</f>
        <v>0</v>
      </c>
      <c r="C8563" t="s">
        <v>13206</v>
      </c>
      <c r="D8563" t="s">
        <v>13207</v>
      </c>
      <c r="E8563" t="str">
        <f>"3521000437698"</f>
        <v>0</v>
      </c>
      <c r="F8563" t="str">
        <f>"001580"</f>
        <v>0</v>
      </c>
      <c r="G8563" t="s">
        <v>21</v>
      </c>
    </row>
    <row r="8564" spans="1:7">
      <c r="A8564">
        <v>8563</v>
      </c>
      <c r="B8564" t="str">
        <f>"024517"</f>
        <v>0</v>
      </c>
      <c r="C8564" t="s">
        <v>13208</v>
      </c>
      <c r="D8564" t="s">
        <v>13209</v>
      </c>
      <c r="E8564" t="str">
        <f>"3520700011595"</f>
        <v>0</v>
      </c>
      <c r="F8564" t="str">
        <f>"001580"</f>
        <v>0</v>
      </c>
      <c r="G8564" t="s">
        <v>21</v>
      </c>
    </row>
    <row r="8565" spans="1:7">
      <c r="A8565">
        <v>8564</v>
      </c>
      <c r="B8565" t="str">
        <f>"024875"</f>
        <v>0</v>
      </c>
      <c r="C8565" t="s">
        <v>13210</v>
      </c>
      <c r="D8565" t="s">
        <v>13211</v>
      </c>
      <c r="E8565" t="str">
        <f>"1529900089140"</f>
        <v>0</v>
      </c>
      <c r="F8565" t="str">
        <f>"001580"</f>
        <v>0</v>
      </c>
      <c r="G8565" t="s">
        <v>21</v>
      </c>
    </row>
    <row r="8566" spans="1:7">
      <c r="A8566">
        <v>8565</v>
      </c>
      <c r="B8566" t="str">
        <f>"024922"</f>
        <v>0</v>
      </c>
      <c r="C8566" t="s">
        <v>2560</v>
      </c>
      <c r="D8566" t="s">
        <v>13212</v>
      </c>
      <c r="E8566" t="str">
        <f>"1529900083613"</f>
        <v>0</v>
      </c>
      <c r="F8566" t="str">
        <f>"001580"</f>
        <v>0</v>
      </c>
      <c r="G8566" t="s">
        <v>21</v>
      </c>
    </row>
    <row r="8567" spans="1:7">
      <c r="A8567">
        <v>8566</v>
      </c>
      <c r="B8567" t="str">
        <f>"024981"</f>
        <v>0</v>
      </c>
      <c r="C8567" t="s">
        <v>13213</v>
      </c>
      <c r="D8567" t="s">
        <v>13214</v>
      </c>
      <c r="E8567" t="str">
        <f>"3521000213021"</f>
        <v>0</v>
      </c>
      <c r="F8567" t="str">
        <f>"001580"</f>
        <v>0</v>
      </c>
      <c r="G8567" t="s">
        <v>21</v>
      </c>
    </row>
    <row r="8568" spans="1:7">
      <c r="A8568">
        <v>8567</v>
      </c>
      <c r="B8568" t="str">
        <f>"025449"</f>
        <v>0</v>
      </c>
      <c r="C8568" t="s">
        <v>2543</v>
      </c>
      <c r="D8568" t="s">
        <v>13215</v>
      </c>
      <c r="E8568" t="str">
        <f>"1529900263948"</f>
        <v>0</v>
      </c>
      <c r="F8568" t="str">
        <f>"001580"</f>
        <v>0</v>
      </c>
      <c r="G8568" t="s">
        <v>21</v>
      </c>
    </row>
    <row r="8569" spans="1:7">
      <c r="A8569">
        <v>8568</v>
      </c>
      <c r="B8569" t="str">
        <f>"025469"</f>
        <v>0</v>
      </c>
      <c r="C8569" t="s">
        <v>614</v>
      </c>
      <c r="D8569" t="s">
        <v>13216</v>
      </c>
      <c r="E8569" t="str">
        <f>"1659900042584"</f>
        <v>0</v>
      </c>
      <c r="F8569" t="str">
        <f>"001580"</f>
        <v>0</v>
      </c>
      <c r="G8569" t="s">
        <v>21</v>
      </c>
    </row>
    <row r="8570" spans="1:7">
      <c r="A8570">
        <v>8569</v>
      </c>
      <c r="B8570" t="str">
        <f>"025955"</f>
        <v>0</v>
      </c>
      <c r="C8570" t="s">
        <v>13217</v>
      </c>
      <c r="D8570" t="s">
        <v>13218</v>
      </c>
      <c r="E8570" t="str">
        <f>"3520800339738"</f>
        <v>0</v>
      </c>
      <c r="F8570" t="str">
        <f>"001580"</f>
        <v>0</v>
      </c>
      <c r="G8570" t="s">
        <v>21</v>
      </c>
    </row>
    <row r="8571" spans="1:7">
      <c r="A8571">
        <v>8570</v>
      </c>
      <c r="B8571" t="str">
        <f>"026057"</f>
        <v>0</v>
      </c>
      <c r="C8571" t="s">
        <v>13219</v>
      </c>
      <c r="D8571" t="s">
        <v>13220</v>
      </c>
      <c r="E8571" t="str">
        <f>"1521000053303"</f>
        <v>0</v>
      </c>
      <c r="F8571" t="str">
        <f>"001580"</f>
        <v>0</v>
      </c>
      <c r="G8571" t="s">
        <v>21</v>
      </c>
    </row>
    <row r="8572" spans="1:7">
      <c r="A8572">
        <v>8571</v>
      </c>
      <c r="B8572" t="str">
        <f>"026207"</f>
        <v>0</v>
      </c>
      <c r="C8572" t="s">
        <v>13221</v>
      </c>
      <c r="D8572" t="s">
        <v>13222</v>
      </c>
      <c r="E8572" t="str">
        <f>"3580400038196"</f>
        <v>0</v>
      </c>
      <c r="F8572" t="str">
        <f>"001580"</f>
        <v>0</v>
      </c>
      <c r="G8572" t="s">
        <v>21</v>
      </c>
    </row>
    <row r="8573" spans="1:7">
      <c r="A8573">
        <v>8572</v>
      </c>
      <c r="B8573" t="str">
        <f>"026538"</f>
        <v>0</v>
      </c>
      <c r="C8573" t="s">
        <v>13223</v>
      </c>
      <c r="D8573" t="s">
        <v>13224</v>
      </c>
      <c r="E8573" t="str">
        <f>"1529900520193"</f>
        <v>0</v>
      </c>
      <c r="F8573" t="str">
        <f>"001580"</f>
        <v>0</v>
      </c>
      <c r="G8573" t="s">
        <v>21</v>
      </c>
    </row>
    <row r="8574" spans="1:7">
      <c r="A8574">
        <v>8573</v>
      </c>
      <c r="B8574" t="str">
        <f>"027472"</f>
        <v>0</v>
      </c>
      <c r="C8574" t="s">
        <v>13225</v>
      </c>
      <c r="D8574" t="s">
        <v>13226</v>
      </c>
      <c r="E8574" t="str">
        <f>"1529900355800"</f>
        <v>0</v>
      </c>
      <c r="F8574" t="str">
        <f>"001580"</f>
        <v>0</v>
      </c>
      <c r="G8574" t="s">
        <v>21</v>
      </c>
    </row>
    <row r="8575" spans="1:7">
      <c r="A8575">
        <v>8574</v>
      </c>
      <c r="B8575" t="str">
        <f>"022430"</f>
        <v>0</v>
      </c>
      <c r="C8575" t="s">
        <v>13227</v>
      </c>
      <c r="D8575" t="s">
        <v>13228</v>
      </c>
      <c r="E8575" t="str">
        <f>"3520300260296"</f>
        <v>0</v>
      </c>
      <c r="F8575" t="str">
        <f>"001580"</f>
        <v>0</v>
      </c>
      <c r="G8575" t="s">
        <v>21</v>
      </c>
    </row>
    <row r="8576" spans="1:7">
      <c r="A8576">
        <v>8575</v>
      </c>
      <c r="B8576" t="str">
        <f>"024143"</f>
        <v>0</v>
      </c>
      <c r="C8576" t="s">
        <v>9489</v>
      </c>
      <c r="D8576" t="s">
        <v>13229</v>
      </c>
      <c r="E8576" t="str">
        <f>"1580400011640"</f>
        <v>0</v>
      </c>
      <c r="F8576" t="str">
        <f>"001580"</f>
        <v>0</v>
      </c>
      <c r="G8576" t="s">
        <v>21</v>
      </c>
    </row>
    <row r="8577" spans="1:7">
      <c r="A8577">
        <v>8576</v>
      </c>
      <c r="B8577" t="str">
        <f>"020465"</f>
        <v>0</v>
      </c>
      <c r="C8577" t="s">
        <v>4716</v>
      </c>
      <c r="D8577" t="s">
        <v>13230</v>
      </c>
      <c r="E8577" t="str">
        <f>"3540400189992"</f>
        <v>0</v>
      </c>
      <c r="F8577" t="str">
        <f>"001580"</f>
        <v>0</v>
      </c>
      <c r="G8577" t="s">
        <v>21</v>
      </c>
    </row>
    <row r="8578" spans="1:7">
      <c r="A8578">
        <v>8577</v>
      </c>
      <c r="B8578" t="str">
        <f>"025362"</f>
        <v>0</v>
      </c>
      <c r="C8578" t="s">
        <v>13231</v>
      </c>
      <c r="D8578" t="s">
        <v>13232</v>
      </c>
      <c r="E8578" t="str">
        <f>"3540100651429"</f>
        <v>0</v>
      </c>
      <c r="F8578" t="str">
        <f>"001580"</f>
        <v>0</v>
      </c>
      <c r="G8578" t="s">
        <v>21</v>
      </c>
    </row>
    <row r="8579" spans="1:7">
      <c r="A8579">
        <v>8578</v>
      </c>
      <c r="B8579" t="str">
        <f>"022558"</f>
        <v>0</v>
      </c>
      <c r="C8579" t="s">
        <v>3690</v>
      </c>
      <c r="D8579" t="s">
        <v>13233</v>
      </c>
      <c r="E8579" t="str">
        <f>"3550400110491"</f>
        <v>0</v>
      </c>
      <c r="F8579" t="str">
        <f>"001580"</f>
        <v>0</v>
      </c>
      <c r="G8579" t="s">
        <v>21</v>
      </c>
    </row>
    <row r="8580" spans="1:7">
      <c r="A8580">
        <v>8579</v>
      </c>
      <c r="B8580" t="str">
        <f>"024982"</f>
        <v>0</v>
      </c>
      <c r="C8580" t="s">
        <v>2678</v>
      </c>
      <c r="D8580" t="s">
        <v>13234</v>
      </c>
      <c r="E8580" t="str">
        <f>"1560100008589"</f>
        <v>0</v>
      </c>
      <c r="F8580" t="str">
        <f>"001580"</f>
        <v>0</v>
      </c>
      <c r="G8580" t="s">
        <v>21</v>
      </c>
    </row>
    <row r="8581" spans="1:7">
      <c r="A8581">
        <v>8580</v>
      </c>
      <c r="B8581" t="str">
        <f>"016819"</f>
        <v>0</v>
      </c>
      <c r="C8581" t="s">
        <v>13235</v>
      </c>
      <c r="D8581" t="s">
        <v>13236</v>
      </c>
      <c r="E8581" t="str">
        <f>"3570500066817"</f>
        <v>0</v>
      </c>
      <c r="F8581" t="str">
        <f>"001580"</f>
        <v>0</v>
      </c>
      <c r="G8581" t="s">
        <v>21</v>
      </c>
    </row>
    <row r="8582" spans="1:7">
      <c r="A8582">
        <v>8581</v>
      </c>
      <c r="B8582" t="str">
        <f>"018958"</f>
        <v>0</v>
      </c>
      <c r="C8582" t="s">
        <v>13237</v>
      </c>
      <c r="D8582" t="s">
        <v>13238</v>
      </c>
      <c r="E8582" t="str">
        <f>"3570400949563"</f>
        <v>0</v>
      </c>
      <c r="F8582" t="str">
        <f>"001580"</f>
        <v>0</v>
      </c>
      <c r="G8582" t="s">
        <v>21</v>
      </c>
    </row>
    <row r="8583" spans="1:7">
      <c r="A8583">
        <v>8582</v>
      </c>
      <c r="B8583" t="str">
        <f>"012561"</f>
        <v>0</v>
      </c>
      <c r="C8583" t="s">
        <v>13239</v>
      </c>
      <c r="D8583" t="s">
        <v>13240</v>
      </c>
      <c r="E8583" t="str">
        <f>"3521200013395"</f>
        <v>0</v>
      </c>
      <c r="F8583" t="str">
        <f>"001580"</f>
        <v>0</v>
      </c>
      <c r="G8583" t="s">
        <v>21</v>
      </c>
    </row>
    <row r="8584" spans="1:7">
      <c r="A8584">
        <v>8583</v>
      </c>
      <c r="B8584" t="str">
        <f>"021396"</f>
        <v>0</v>
      </c>
      <c r="C8584" t="s">
        <v>4041</v>
      </c>
      <c r="D8584" t="s">
        <v>13241</v>
      </c>
      <c r="E8584" t="str">
        <f>"3920300291538"</f>
        <v>0</v>
      </c>
      <c r="F8584" t="str">
        <f>"001580"</f>
        <v>0</v>
      </c>
      <c r="G8584" t="s">
        <v>21</v>
      </c>
    </row>
    <row r="8585" spans="1:7">
      <c r="A8585">
        <v>8584</v>
      </c>
      <c r="B8585" t="str">
        <f>"016469"</f>
        <v>0</v>
      </c>
      <c r="C8585" t="s">
        <v>7935</v>
      </c>
      <c r="D8585" t="s">
        <v>13242</v>
      </c>
      <c r="E8585" t="str">
        <f>"3901000450020"</f>
        <v>0</v>
      </c>
      <c r="F8585" t="str">
        <f>"001580"</f>
        <v>0</v>
      </c>
      <c r="G8585" t="s">
        <v>21</v>
      </c>
    </row>
    <row r="8586" spans="1:7">
      <c r="A8586">
        <v>8585</v>
      </c>
      <c r="B8586" t="str">
        <f>"000221"</f>
        <v>0</v>
      </c>
      <c r="C8586" t="s">
        <v>13243</v>
      </c>
      <c r="D8586" t="s">
        <v>13244</v>
      </c>
      <c r="E8586" t="str">
        <f>"3510600177629"</f>
        <v>0</v>
      </c>
      <c r="F8586" t="str">
        <f>"001600"</f>
        <v>0</v>
      </c>
      <c r="G8586" t="s">
        <v>21</v>
      </c>
    </row>
    <row r="8587" spans="1:7">
      <c r="A8587">
        <v>8586</v>
      </c>
      <c r="B8587" t="str">
        <f>"001624"</f>
        <v>0</v>
      </c>
      <c r="C8587" t="s">
        <v>2445</v>
      </c>
      <c r="D8587" t="s">
        <v>13245</v>
      </c>
      <c r="E8587" t="str">
        <f>"3519900084543"</f>
        <v>0</v>
      </c>
      <c r="F8587" t="str">
        <f>"001600"</f>
        <v>0</v>
      </c>
      <c r="G8587" t="s">
        <v>21</v>
      </c>
    </row>
    <row r="8588" spans="1:7">
      <c r="A8588">
        <v>8587</v>
      </c>
      <c r="B8588" t="str">
        <f>"002776"</f>
        <v>0</v>
      </c>
      <c r="C8588" t="s">
        <v>4022</v>
      </c>
      <c r="D8588" t="s">
        <v>13246</v>
      </c>
      <c r="E8588" t="str">
        <f>"3509901393477"</f>
        <v>0</v>
      </c>
      <c r="F8588" t="str">
        <f>"001600"</f>
        <v>0</v>
      </c>
      <c r="G8588" t="s">
        <v>21</v>
      </c>
    </row>
    <row r="8589" spans="1:7">
      <c r="A8589">
        <v>8588</v>
      </c>
      <c r="B8589" t="str">
        <f>"003083"</f>
        <v>0</v>
      </c>
      <c r="C8589" t="s">
        <v>13247</v>
      </c>
      <c r="D8589" t="s">
        <v>13248</v>
      </c>
      <c r="E8589" t="str">
        <f>"3510100256678"</f>
        <v>0</v>
      </c>
      <c r="F8589" t="str">
        <f>"001600"</f>
        <v>0</v>
      </c>
      <c r="G8589" t="s">
        <v>21</v>
      </c>
    </row>
    <row r="8590" spans="1:7">
      <c r="A8590">
        <v>8589</v>
      </c>
      <c r="B8590" t="str">
        <f>"003549"</f>
        <v>0</v>
      </c>
      <c r="C8590" t="s">
        <v>130</v>
      </c>
      <c r="D8590" t="s">
        <v>13249</v>
      </c>
      <c r="E8590" t="str">
        <f>"3510600603547"</f>
        <v>0</v>
      </c>
      <c r="F8590" t="str">
        <f>"001600"</f>
        <v>0</v>
      </c>
      <c r="G8590" t="s">
        <v>21</v>
      </c>
    </row>
    <row r="8591" spans="1:7">
      <c r="A8591">
        <v>8590</v>
      </c>
      <c r="B8591" t="str">
        <f>"004608"</f>
        <v>0</v>
      </c>
      <c r="C8591" t="s">
        <v>13250</v>
      </c>
      <c r="D8591" t="s">
        <v>13251</v>
      </c>
      <c r="E8591" t="str">
        <f>"3510101139101"</f>
        <v>0</v>
      </c>
      <c r="F8591" t="str">
        <f>"001600"</f>
        <v>0</v>
      </c>
      <c r="G8591" t="s">
        <v>21</v>
      </c>
    </row>
    <row r="8592" spans="1:7">
      <c r="A8592">
        <v>8591</v>
      </c>
      <c r="B8592" t="str">
        <f>"004609"</f>
        <v>0</v>
      </c>
      <c r="C8592" t="s">
        <v>13252</v>
      </c>
      <c r="D8592" t="s">
        <v>716</v>
      </c>
      <c r="E8592" t="str">
        <f>"3510300103662"</f>
        <v>0</v>
      </c>
      <c r="F8592" t="str">
        <f>"001600"</f>
        <v>0</v>
      </c>
      <c r="G8592" t="s">
        <v>21</v>
      </c>
    </row>
    <row r="8593" spans="1:7">
      <c r="A8593">
        <v>8592</v>
      </c>
      <c r="B8593" t="str">
        <f>"004928"</f>
        <v>0</v>
      </c>
      <c r="C8593" t="s">
        <v>1978</v>
      </c>
      <c r="D8593" t="s">
        <v>13253</v>
      </c>
      <c r="E8593" t="str">
        <f>"3510100410260"</f>
        <v>0</v>
      </c>
      <c r="F8593" t="str">
        <f>"001600"</f>
        <v>0</v>
      </c>
      <c r="G8593" t="s">
        <v>21</v>
      </c>
    </row>
    <row r="8594" spans="1:7">
      <c r="A8594">
        <v>8593</v>
      </c>
      <c r="B8594" t="str">
        <f>"005384"</f>
        <v>0</v>
      </c>
      <c r="C8594" t="s">
        <v>4948</v>
      </c>
      <c r="D8594" t="s">
        <v>13254</v>
      </c>
      <c r="E8594" t="str">
        <f>"3510300036647"</f>
        <v>0</v>
      </c>
      <c r="F8594" t="str">
        <f>"001600"</f>
        <v>0</v>
      </c>
      <c r="G8594" t="s">
        <v>21</v>
      </c>
    </row>
    <row r="8595" spans="1:7">
      <c r="A8595">
        <v>8594</v>
      </c>
      <c r="B8595" t="str">
        <f>"005871"</f>
        <v>0</v>
      </c>
      <c r="C8595" t="s">
        <v>6522</v>
      </c>
      <c r="D8595" t="s">
        <v>13255</v>
      </c>
      <c r="E8595" t="str">
        <f>"3639900066412"</f>
        <v>0</v>
      </c>
      <c r="F8595" t="str">
        <f>"001600"</f>
        <v>0</v>
      </c>
      <c r="G8595" t="s">
        <v>21</v>
      </c>
    </row>
    <row r="8596" spans="1:7">
      <c r="A8596">
        <v>8595</v>
      </c>
      <c r="B8596" t="str">
        <f>"005906"</f>
        <v>0</v>
      </c>
      <c r="C8596" t="s">
        <v>104</v>
      </c>
      <c r="D8596" t="s">
        <v>13256</v>
      </c>
      <c r="E8596" t="str">
        <f>"3510100717551"</f>
        <v>0</v>
      </c>
      <c r="F8596" t="str">
        <f>"001600"</f>
        <v>0</v>
      </c>
      <c r="G8596" t="s">
        <v>21</v>
      </c>
    </row>
    <row r="8597" spans="1:7">
      <c r="A8597">
        <v>8596</v>
      </c>
      <c r="B8597" t="str">
        <f>"006124"</f>
        <v>0</v>
      </c>
      <c r="C8597" t="s">
        <v>442</v>
      </c>
      <c r="D8597" t="s">
        <v>13257</v>
      </c>
      <c r="E8597" t="str">
        <f>"3510101191308"</f>
        <v>0</v>
      </c>
      <c r="F8597" t="str">
        <f>"001600"</f>
        <v>0</v>
      </c>
      <c r="G8597" t="s">
        <v>21</v>
      </c>
    </row>
    <row r="8598" spans="1:7">
      <c r="A8598">
        <v>8597</v>
      </c>
      <c r="B8598" t="str">
        <f>"006693"</f>
        <v>0</v>
      </c>
      <c r="C8598" t="s">
        <v>2239</v>
      </c>
      <c r="D8598" t="s">
        <v>13258</v>
      </c>
      <c r="E8598" t="str">
        <f>"3510300215037"</f>
        <v>0</v>
      </c>
      <c r="F8598" t="str">
        <f>"001600"</f>
        <v>0</v>
      </c>
      <c r="G8598" t="s">
        <v>21</v>
      </c>
    </row>
    <row r="8599" spans="1:7">
      <c r="A8599">
        <v>8598</v>
      </c>
      <c r="B8599" t="str">
        <f>"007186"</f>
        <v>0</v>
      </c>
      <c r="C8599" t="s">
        <v>13259</v>
      </c>
      <c r="D8599" t="s">
        <v>2267</v>
      </c>
      <c r="E8599" t="str">
        <f>"3520100700837"</f>
        <v>0</v>
      </c>
      <c r="F8599" t="str">
        <f>"001600"</f>
        <v>0</v>
      </c>
      <c r="G8599" t="s">
        <v>21</v>
      </c>
    </row>
    <row r="8600" spans="1:7">
      <c r="A8600">
        <v>8599</v>
      </c>
      <c r="B8600" t="str">
        <f>"007335"</f>
        <v>0</v>
      </c>
      <c r="C8600" t="s">
        <v>76</v>
      </c>
      <c r="D8600" t="s">
        <v>13260</v>
      </c>
      <c r="E8600" t="str">
        <f>"3510101365021"</f>
        <v>0</v>
      </c>
      <c r="F8600" t="str">
        <f>"001600"</f>
        <v>0</v>
      </c>
      <c r="G8600" t="s">
        <v>21</v>
      </c>
    </row>
    <row r="8601" spans="1:7">
      <c r="A8601">
        <v>8600</v>
      </c>
      <c r="B8601" t="str">
        <f>"007585"</f>
        <v>0</v>
      </c>
      <c r="C8601" t="s">
        <v>7830</v>
      </c>
      <c r="D8601" t="s">
        <v>13261</v>
      </c>
      <c r="E8601" t="str">
        <f>"3660700027288"</f>
        <v>0</v>
      </c>
      <c r="F8601" t="str">
        <f>"001600"</f>
        <v>0</v>
      </c>
      <c r="G8601" t="s">
        <v>21</v>
      </c>
    </row>
    <row r="8602" spans="1:7">
      <c r="A8602">
        <v>8601</v>
      </c>
      <c r="B8602" t="str">
        <f>"007773"</f>
        <v>0</v>
      </c>
      <c r="C8602" t="s">
        <v>13262</v>
      </c>
      <c r="D8602" t="s">
        <v>13263</v>
      </c>
      <c r="E8602" t="str">
        <f>"3510100998127"</f>
        <v>0</v>
      </c>
      <c r="F8602" t="str">
        <f>"001600"</f>
        <v>0</v>
      </c>
      <c r="G8602" t="s">
        <v>21</v>
      </c>
    </row>
    <row r="8603" spans="1:7">
      <c r="A8603">
        <v>8602</v>
      </c>
      <c r="B8603" t="str">
        <f>"007794"</f>
        <v>0</v>
      </c>
      <c r="C8603" t="s">
        <v>6146</v>
      </c>
      <c r="D8603" t="s">
        <v>13264</v>
      </c>
      <c r="E8603" t="str">
        <f>"3501200198727"</f>
        <v>0</v>
      </c>
      <c r="F8603" t="str">
        <f>"001600"</f>
        <v>0</v>
      </c>
      <c r="G8603" t="s">
        <v>21</v>
      </c>
    </row>
    <row r="8604" spans="1:7">
      <c r="A8604">
        <v>8603</v>
      </c>
      <c r="B8604" t="str">
        <f>"008029"</f>
        <v>0</v>
      </c>
      <c r="C8604" t="s">
        <v>4395</v>
      </c>
      <c r="D8604" t="s">
        <v>13265</v>
      </c>
      <c r="E8604" t="str">
        <f>"3510300019149"</f>
        <v>0</v>
      </c>
      <c r="F8604" t="str">
        <f>"001600"</f>
        <v>0</v>
      </c>
      <c r="G8604" t="s">
        <v>21</v>
      </c>
    </row>
    <row r="8605" spans="1:7">
      <c r="A8605">
        <v>8604</v>
      </c>
      <c r="B8605" t="str">
        <f>"008278"</f>
        <v>0</v>
      </c>
      <c r="C8605" t="s">
        <v>11658</v>
      </c>
      <c r="D8605" t="s">
        <v>13266</v>
      </c>
      <c r="E8605" t="str">
        <f>"5660400008942"</f>
        <v>0</v>
      </c>
      <c r="F8605" t="str">
        <f>"001600"</f>
        <v>0</v>
      </c>
      <c r="G8605" t="s">
        <v>21</v>
      </c>
    </row>
    <row r="8606" spans="1:7">
      <c r="A8606">
        <v>8605</v>
      </c>
      <c r="B8606" t="str">
        <f>"008405"</f>
        <v>0</v>
      </c>
      <c r="C8606" t="s">
        <v>13267</v>
      </c>
      <c r="D8606" t="s">
        <v>13264</v>
      </c>
      <c r="E8606" t="str">
        <f>"3530700247858"</f>
        <v>0</v>
      </c>
      <c r="F8606" t="str">
        <f>"001600"</f>
        <v>0</v>
      </c>
      <c r="G8606" t="s">
        <v>21</v>
      </c>
    </row>
    <row r="8607" spans="1:7">
      <c r="A8607">
        <v>8606</v>
      </c>
      <c r="B8607" t="str">
        <f>"008463"</f>
        <v>0</v>
      </c>
      <c r="C8607" t="s">
        <v>13268</v>
      </c>
      <c r="D8607" t="s">
        <v>2654</v>
      </c>
      <c r="E8607" t="str">
        <f>"3510100519831"</f>
        <v>0</v>
      </c>
      <c r="F8607" t="str">
        <f>"001600"</f>
        <v>0</v>
      </c>
      <c r="G8607" t="s">
        <v>21</v>
      </c>
    </row>
    <row r="8608" spans="1:7">
      <c r="A8608">
        <v>8607</v>
      </c>
      <c r="B8608" t="str">
        <f>"008746"</f>
        <v>0</v>
      </c>
      <c r="C8608" t="s">
        <v>5962</v>
      </c>
      <c r="D8608" t="s">
        <v>13269</v>
      </c>
      <c r="E8608" t="str">
        <f>"3510200094599"</f>
        <v>0</v>
      </c>
      <c r="F8608" t="str">
        <f>"001600"</f>
        <v>0</v>
      </c>
      <c r="G8608" t="s">
        <v>21</v>
      </c>
    </row>
    <row r="8609" spans="1:7">
      <c r="A8609">
        <v>8608</v>
      </c>
      <c r="B8609" t="str">
        <f>"008924"</f>
        <v>0</v>
      </c>
      <c r="C8609" t="s">
        <v>32</v>
      </c>
      <c r="D8609" t="s">
        <v>4778</v>
      </c>
      <c r="E8609" t="str">
        <f>"3501500209457"</f>
        <v>0</v>
      </c>
      <c r="F8609" t="str">
        <f>"001600"</f>
        <v>0</v>
      </c>
      <c r="G8609" t="s">
        <v>21</v>
      </c>
    </row>
    <row r="8610" spans="1:7">
      <c r="A8610">
        <v>8609</v>
      </c>
      <c r="B8610" t="str">
        <f>"009129"</f>
        <v>0</v>
      </c>
      <c r="C8610" t="s">
        <v>13270</v>
      </c>
      <c r="D8610" t="s">
        <v>13271</v>
      </c>
      <c r="E8610" t="str">
        <f>"3510100052746"</f>
        <v>0</v>
      </c>
      <c r="F8610" t="str">
        <f>"001600"</f>
        <v>0</v>
      </c>
      <c r="G8610" t="s">
        <v>21</v>
      </c>
    </row>
    <row r="8611" spans="1:7">
      <c r="A8611">
        <v>8610</v>
      </c>
      <c r="B8611" t="str">
        <f>"009140"</f>
        <v>0</v>
      </c>
      <c r="C8611" t="s">
        <v>13272</v>
      </c>
      <c r="D8611" t="s">
        <v>13273</v>
      </c>
      <c r="E8611" t="str">
        <f>"3500500026700"</f>
        <v>0</v>
      </c>
      <c r="F8611" t="str">
        <f>"001600"</f>
        <v>0</v>
      </c>
      <c r="G8611" t="s">
        <v>21</v>
      </c>
    </row>
    <row r="8612" spans="1:7">
      <c r="A8612">
        <v>8611</v>
      </c>
      <c r="B8612" t="str">
        <f>"009299"</f>
        <v>0</v>
      </c>
      <c r="C8612" t="s">
        <v>11860</v>
      </c>
      <c r="D8612" t="s">
        <v>13274</v>
      </c>
      <c r="E8612" t="str">
        <f>"3510100361617"</f>
        <v>0</v>
      </c>
      <c r="F8612" t="str">
        <f>"001600"</f>
        <v>0</v>
      </c>
      <c r="G8612" t="s">
        <v>21</v>
      </c>
    </row>
    <row r="8613" spans="1:7">
      <c r="A8613">
        <v>8612</v>
      </c>
      <c r="B8613" t="str">
        <f>"009732"</f>
        <v>0</v>
      </c>
      <c r="C8613" t="s">
        <v>13275</v>
      </c>
      <c r="D8613" t="s">
        <v>716</v>
      </c>
      <c r="E8613" t="str">
        <f>"3510100709427"</f>
        <v>0</v>
      </c>
      <c r="F8613" t="str">
        <f>"001600"</f>
        <v>0</v>
      </c>
      <c r="G8613" t="s">
        <v>21</v>
      </c>
    </row>
    <row r="8614" spans="1:7">
      <c r="A8614">
        <v>8613</v>
      </c>
      <c r="B8614" t="str">
        <f>"009787"</f>
        <v>0</v>
      </c>
      <c r="C8614" t="s">
        <v>2928</v>
      </c>
      <c r="D8614" t="s">
        <v>13276</v>
      </c>
      <c r="E8614" t="str">
        <f>"3480300157313"</f>
        <v>0</v>
      </c>
      <c r="F8614" t="str">
        <f>"001600"</f>
        <v>0</v>
      </c>
      <c r="G8614" t="s">
        <v>21</v>
      </c>
    </row>
    <row r="8615" spans="1:7">
      <c r="A8615">
        <v>8614</v>
      </c>
      <c r="B8615" t="str">
        <f>"010006"</f>
        <v>0</v>
      </c>
      <c r="C8615" t="s">
        <v>802</v>
      </c>
      <c r="D8615" t="s">
        <v>13277</v>
      </c>
      <c r="E8615" t="str">
        <f>"3510101190093"</f>
        <v>0</v>
      </c>
      <c r="F8615" t="str">
        <f>"001600"</f>
        <v>0</v>
      </c>
      <c r="G8615" t="s">
        <v>21</v>
      </c>
    </row>
    <row r="8616" spans="1:7">
      <c r="A8616">
        <v>8615</v>
      </c>
      <c r="B8616" t="str">
        <f>"010076"</f>
        <v>0</v>
      </c>
      <c r="C8616" t="s">
        <v>2733</v>
      </c>
      <c r="D8616" t="s">
        <v>13278</v>
      </c>
      <c r="E8616" t="str">
        <f>"3510600320375"</f>
        <v>0</v>
      </c>
      <c r="F8616" t="str">
        <f>"001600"</f>
        <v>0</v>
      </c>
      <c r="G8616" t="s">
        <v>21</v>
      </c>
    </row>
    <row r="8617" spans="1:7">
      <c r="A8617">
        <v>8616</v>
      </c>
      <c r="B8617" t="str">
        <f>"010078"</f>
        <v>0</v>
      </c>
      <c r="C8617" t="s">
        <v>13279</v>
      </c>
      <c r="D8617" t="s">
        <v>13280</v>
      </c>
      <c r="E8617" t="str">
        <f>"3510101306598"</f>
        <v>0</v>
      </c>
      <c r="F8617" t="str">
        <f>"001600"</f>
        <v>0</v>
      </c>
      <c r="G8617" t="s">
        <v>21</v>
      </c>
    </row>
    <row r="8618" spans="1:7">
      <c r="A8618">
        <v>8617</v>
      </c>
      <c r="B8618" t="str">
        <f>"010154"</f>
        <v>0</v>
      </c>
      <c r="C8618" t="s">
        <v>13281</v>
      </c>
      <c r="D8618" t="s">
        <v>13282</v>
      </c>
      <c r="E8618" t="str">
        <f>"3510600412342"</f>
        <v>0</v>
      </c>
      <c r="F8618" t="str">
        <f>"001600"</f>
        <v>0</v>
      </c>
      <c r="G8618" t="s">
        <v>21</v>
      </c>
    </row>
    <row r="8619" spans="1:7">
      <c r="A8619">
        <v>8618</v>
      </c>
      <c r="B8619" t="str">
        <f>"010200"</f>
        <v>0</v>
      </c>
      <c r="C8619" t="s">
        <v>2107</v>
      </c>
      <c r="D8619" t="s">
        <v>13283</v>
      </c>
      <c r="E8619" t="str">
        <f>"3510400248620"</f>
        <v>0</v>
      </c>
      <c r="F8619" t="str">
        <f>"001600"</f>
        <v>0</v>
      </c>
      <c r="G8619" t="s">
        <v>21</v>
      </c>
    </row>
    <row r="8620" spans="1:7">
      <c r="A8620">
        <v>8619</v>
      </c>
      <c r="B8620" t="str">
        <f>"010375"</f>
        <v>0</v>
      </c>
      <c r="C8620" t="s">
        <v>178</v>
      </c>
      <c r="D8620" t="s">
        <v>13284</v>
      </c>
      <c r="E8620" t="str">
        <f>"3510600051293"</f>
        <v>0</v>
      </c>
      <c r="F8620" t="str">
        <f>"001600"</f>
        <v>0</v>
      </c>
      <c r="G8620" t="s">
        <v>21</v>
      </c>
    </row>
    <row r="8621" spans="1:7">
      <c r="A8621">
        <v>8620</v>
      </c>
      <c r="B8621" t="str">
        <f>"010532"</f>
        <v>0</v>
      </c>
      <c r="C8621" t="s">
        <v>520</v>
      </c>
      <c r="D8621" t="s">
        <v>13285</v>
      </c>
      <c r="E8621" t="str">
        <f>"3580400163900"</f>
        <v>0</v>
      </c>
      <c r="F8621" t="str">
        <f>"001600"</f>
        <v>0</v>
      </c>
      <c r="G8621" t="s">
        <v>21</v>
      </c>
    </row>
    <row r="8622" spans="1:7">
      <c r="A8622">
        <v>8621</v>
      </c>
      <c r="B8622" t="str">
        <f>"010666"</f>
        <v>0</v>
      </c>
      <c r="C8622" t="s">
        <v>13286</v>
      </c>
      <c r="D8622" t="s">
        <v>13287</v>
      </c>
      <c r="E8622" t="str">
        <f>"3519900029453"</f>
        <v>0</v>
      </c>
      <c r="F8622" t="str">
        <f>"001600"</f>
        <v>0</v>
      </c>
      <c r="G8622" t="s">
        <v>21</v>
      </c>
    </row>
    <row r="8623" spans="1:7">
      <c r="A8623">
        <v>8622</v>
      </c>
      <c r="B8623" t="str">
        <f>"010705"</f>
        <v>0</v>
      </c>
      <c r="C8623" t="s">
        <v>1162</v>
      </c>
      <c r="D8623" t="s">
        <v>13288</v>
      </c>
      <c r="E8623" t="str">
        <f>"3180400479102"</f>
        <v>0</v>
      </c>
      <c r="F8623" t="str">
        <f>"001600"</f>
        <v>0</v>
      </c>
      <c r="G8623" t="s">
        <v>21</v>
      </c>
    </row>
    <row r="8624" spans="1:7">
      <c r="A8624">
        <v>8623</v>
      </c>
      <c r="B8624" t="str">
        <f>"010917"</f>
        <v>0</v>
      </c>
      <c r="C8624" t="s">
        <v>13289</v>
      </c>
      <c r="D8624" t="s">
        <v>13290</v>
      </c>
      <c r="E8624" t="str">
        <f>"3510101348185"</f>
        <v>0</v>
      </c>
      <c r="F8624" t="str">
        <f>"001600"</f>
        <v>0</v>
      </c>
      <c r="G8624" t="s">
        <v>21</v>
      </c>
    </row>
    <row r="8625" spans="1:7">
      <c r="A8625">
        <v>8624</v>
      </c>
      <c r="B8625" t="str">
        <f>"010948"</f>
        <v>0</v>
      </c>
      <c r="C8625" t="s">
        <v>13291</v>
      </c>
      <c r="D8625" t="s">
        <v>13292</v>
      </c>
      <c r="E8625" t="str">
        <f>"3510600302610"</f>
        <v>0</v>
      </c>
      <c r="F8625" t="str">
        <f>"001600"</f>
        <v>0</v>
      </c>
      <c r="G8625" t="s">
        <v>21</v>
      </c>
    </row>
    <row r="8626" spans="1:7">
      <c r="A8626">
        <v>8625</v>
      </c>
      <c r="B8626" t="str">
        <f>"011622"</f>
        <v>0</v>
      </c>
      <c r="C8626" t="s">
        <v>13293</v>
      </c>
      <c r="D8626" t="s">
        <v>13294</v>
      </c>
      <c r="E8626" t="str">
        <f>"5510600033259"</f>
        <v>0</v>
      </c>
      <c r="F8626" t="str">
        <f>"001600"</f>
        <v>0</v>
      </c>
      <c r="G8626" t="s">
        <v>21</v>
      </c>
    </row>
    <row r="8627" spans="1:7">
      <c r="A8627">
        <v>8626</v>
      </c>
      <c r="B8627" t="str">
        <f>"012088"</f>
        <v>0</v>
      </c>
      <c r="C8627" t="s">
        <v>239</v>
      </c>
      <c r="D8627" t="s">
        <v>13295</v>
      </c>
      <c r="E8627" t="str">
        <f>"3510600840204"</f>
        <v>0</v>
      </c>
      <c r="F8627" t="str">
        <f>"001600"</f>
        <v>0</v>
      </c>
      <c r="G8627" t="s">
        <v>21</v>
      </c>
    </row>
    <row r="8628" spans="1:7">
      <c r="A8628">
        <v>8627</v>
      </c>
      <c r="B8628" t="str">
        <f>"013220"</f>
        <v>0</v>
      </c>
      <c r="C8628" t="s">
        <v>13296</v>
      </c>
      <c r="D8628" t="s">
        <v>13297</v>
      </c>
      <c r="E8628" t="str">
        <f>"3579900374614"</f>
        <v>0</v>
      </c>
      <c r="F8628" t="str">
        <f>"001600"</f>
        <v>0</v>
      </c>
      <c r="G8628" t="s">
        <v>21</v>
      </c>
    </row>
    <row r="8629" spans="1:7">
      <c r="A8629">
        <v>8628</v>
      </c>
      <c r="B8629" t="str">
        <f>"013725"</f>
        <v>0</v>
      </c>
      <c r="C8629" t="s">
        <v>13298</v>
      </c>
      <c r="D8629" t="s">
        <v>13299</v>
      </c>
      <c r="E8629" t="str">
        <f>"3510600018148"</f>
        <v>0</v>
      </c>
      <c r="F8629" t="str">
        <f>"001600"</f>
        <v>0</v>
      </c>
      <c r="G8629" t="s">
        <v>21</v>
      </c>
    </row>
    <row r="8630" spans="1:7">
      <c r="A8630">
        <v>8629</v>
      </c>
      <c r="B8630" t="str">
        <f>"015120"</f>
        <v>0</v>
      </c>
      <c r="C8630" t="s">
        <v>239</v>
      </c>
      <c r="D8630" t="s">
        <v>13300</v>
      </c>
      <c r="E8630" t="str">
        <f>"3510200186612"</f>
        <v>0</v>
      </c>
      <c r="F8630" t="str">
        <f>"001600"</f>
        <v>0</v>
      </c>
      <c r="G8630" t="s">
        <v>21</v>
      </c>
    </row>
    <row r="8631" spans="1:7">
      <c r="A8631">
        <v>8630</v>
      </c>
      <c r="B8631" t="str">
        <f>"015173"</f>
        <v>0</v>
      </c>
      <c r="C8631" t="s">
        <v>4700</v>
      </c>
      <c r="D8631" t="s">
        <v>13301</v>
      </c>
      <c r="E8631" t="str">
        <f>"3500100434681"</f>
        <v>0</v>
      </c>
      <c r="F8631" t="str">
        <f>"001600"</f>
        <v>0</v>
      </c>
      <c r="G8631" t="s">
        <v>21</v>
      </c>
    </row>
    <row r="8632" spans="1:7">
      <c r="A8632">
        <v>8631</v>
      </c>
      <c r="B8632" t="str">
        <f>"016466"</f>
        <v>0</v>
      </c>
      <c r="C8632" t="s">
        <v>5347</v>
      </c>
      <c r="D8632" t="s">
        <v>7852</v>
      </c>
      <c r="E8632" t="str">
        <f>"3510600424154"</f>
        <v>0</v>
      </c>
      <c r="F8632" t="str">
        <f>"001600"</f>
        <v>0</v>
      </c>
      <c r="G8632" t="s">
        <v>21</v>
      </c>
    </row>
    <row r="8633" spans="1:7">
      <c r="A8633">
        <v>8632</v>
      </c>
      <c r="B8633" t="str">
        <f>"016643"</f>
        <v>0</v>
      </c>
      <c r="C8633" t="s">
        <v>2353</v>
      </c>
      <c r="D8633" t="s">
        <v>13302</v>
      </c>
      <c r="E8633" t="str">
        <f>"3510200098519"</f>
        <v>0</v>
      </c>
      <c r="F8633" t="str">
        <f>"001600"</f>
        <v>0</v>
      </c>
      <c r="G8633" t="s">
        <v>21</v>
      </c>
    </row>
    <row r="8634" spans="1:7">
      <c r="A8634">
        <v>8633</v>
      </c>
      <c r="B8634" t="str">
        <f>"016689"</f>
        <v>0</v>
      </c>
      <c r="C8634" t="s">
        <v>1878</v>
      </c>
      <c r="D8634" t="s">
        <v>11068</v>
      </c>
      <c r="E8634" t="str">
        <f>"3519900035691"</f>
        <v>0</v>
      </c>
      <c r="F8634" t="str">
        <f>"001600"</f>
        <v>0</v>
      </c>
      <c r="G8634" t="s">
        <v>21</v>
      </c>
    </row>
    <row r="8635" spans="1:7">
      <c r="A8635">
        <v>8634</v>
      </c>
      <c r="B8635" t="str">
        <f>"018520"</f>
        <v>0</v>
      </c>
      <c r="C8635" t="s">
        <v>13303</v>
      </c>
      <c r="D8635" t="s">
        <v>13304</v>
      </c>
      <c r="E8635" t="str">
        <f>"3519900078152"</f>
        <v>0</v>
      </c>
      <c r="F8635" t="str">
        <f>"001600"</f>
        <v>0</v>
      </c>
      <c r="G8635" t="s">
        <v>21</v>
      </c>
    </row>
    <row r="8636" spans="1:7">
      <c r="A8636">
        <v>8635</v>
      </c>
      <c r="B8636" t="str">
        <f>"019729"</f>
        <v>0</v>
      </c>
      <c r="C8636" t="s">
        <v>12982</v>
      </c>
      <c r="D8636" t="s">
        <v>13305</v>
      </c>
      <c r="E8636" t="str">
        <f>"3510100350798"</f>
        <v>0</v>
      </c>
      <c r="F8636" t="str">
        <f>"001600"</f>
        <v>0</v>
      </c>
      <c r="G8636" t="s">
        <v>21</v>
      </c>
    </row>
    <row r="8637" spans="1:7">
      <c r="A8637">
        <v>8636</v>
      </c>
      <c r="B8637" t="str">
        <f>"019730"</f>
        <v>0</v>
      </c>
      <c r="C8637" t="s">
        <v>187</v>
      </c>
      <c r="D8637" t="s">
        <v>13306</v>
      </c>
      <c r="E8637" t="str">
        <f>"3501400595665"</f>
        <v>0</v>
      </c>
      <c r="F8637" t="str">
        <f>"001600"</f>
        <v>0</v>
      </c>
      <c r="G8637" t="s">
        <v>21</v>
      </c>
    </row>
    <row r="8638" spans="1:7">
      <c r="A8638">
        <v>8637</v>
      </c>
      <c r="B8638" t="str">
        <f>"019782"</f>
        <v>0</v>
      </c>
      <c r="C8638" t="s">
        <v>13307</v>
      </c>
      <c r="D8638" t="s">
        <v>5259</v>
      </c>
      <c r="E8638" t="str">
        <f>"3510600119408"</f>
        <v>0</v>
      </c>
      <c r="F8638" t="str">
        <f>"001600"</f>
        <v>0</v>
      </c>
      <c r="G8638" t="s">
        <v>21</v>
      </c>
    </row>
    <row r="8639" spans="1:7">
      <c r="A8639">
        <v>8638</v>
      </c>
      <c r="B8639" t="str">
        <f>"020019"</f>
        <v>0</v>
      </c>
      <c r="C8639" t="s">
        <v>13308</v>
      </c>
      <c r="D8639" t="s">
        <v>13249</v>
      </c>
      <c r="E8639" t="str">
        <f>"3510600603555"</f>
        <v>0</v>
      </c>
      <c r="F8639" t="str">
        <f>"001600"</f>
        <v>0</v>
      </c>
      <c r="G8639" t="s">
        <v>21</v>
      </c>
    </row>
    <row r="8640" spans="1:7">
      <c r="A8640">
        <v>8639</v>
      </c>
      <c r="B8640" t="str">
        <f>"020468"</f>
        <v>0</v>
      </c>
      <c r="C8640" t="s">
        <v>13075</v>
      </c>
      <c r="D8640" t="s">
        <v>13309</v>
      </c>
      <c r="E8640" t="str">
        <f>"3510100440452"</f>
        <v>0</v>
      </c>
      <c r="F8640" t="str">
        <f>"001600"</f>
        <v>0</v>
      </c>
      <c r="G8640" t="s">
        <v>21</v>
      </c>
    </row>
    <row r="8641" spans="1:7">
      <c r="A8641">
        <v>8640</v>
      </c>
      <c r="B8641" t="str">
        <f>"020732"</f>
        <v>0</v>
      </c>
      <c r="C8641" t="s">
        <v>305</v>
      </c>
      <c r="D8641" t="s">
        <v>13310</v>
      </c>
      <c r="E8641" t="str">
        <f>"3509900290241"</f>
        <v>0</v>
      </c>
      <c r="F8641" t="str">
        <f>"001600"</f>
        <v>0</v>
      </c>
      <c r="G8641" t="s">
        <v>21</v>
      </c>
    </row>
    <row r="8642" spans="1:7">
      <c r="A8642">
        <v>8641</v>
      </c>
      <c r="B8642" t="str">
        <f>"021270"</f>
        <v>0</v>
      </c>
      <c r="C8642" t="s">
        <v>10224</v>
      </c>
      <c r="D8642" t="s">
        <v>13311</v>
      </c>
      <c r="E8642" t="str">
        <f>"3429900103280"</f>
        <v>0</v>
      </c>
      <c r="F8642" t="str">
        <f>"001600"</f>
        <v>0</v>
      </c>
      <c r="G8642" t="s">
        <v>21</v>
      </c>
    </row>
    <row r="8643" spans="1:7">
      <c r="A8643">
        <v>8642</v>
      </c>
      <c r="B8643" t="str">
        <f>"021639"</f>
        <v>0</v>
      </c>
      <c r="C8643" t="s">
        <v>449</v>
      </c>
      <c r="D8643" t="s">
        <v>13067</v>
      </c>
      <c r="E8643" t="str">
        <f>"3510200189484"</f>
        <v>0</v>
      </c>
      <c r="F8643" t="str">
        <f>"001600"</f>
        <v>0</v>
      </c>
      <c r="G8643" t="s">
        <v>21</v>
      </c>
    </row>
    <row r="8644" spans="1:7">
      <c r="A8644">
        <v>8643</v>
      </c>
      <c r="B8644" t="str">
        <f>"024194"</f>
        <v>0</v>
      </c>
      <c r="C8644" t="s">
        <v>3354</v>
      </c>
      <c r="D8644" t="s">
        <v>2267</v>
      </c>
      <c r="E8644" t="str">
        <f>"3549900141717"</f>
        <v>0</v>
      </c>
      <c r="F8644" t="str">
        <f>"001600"</f>
        <v>0</v>
      </c>
      <c r="G8644" t="s">
        <v>21</v>
      </c>
    </row>
    <row r="8645" spans="1:7">
      <c r="A8645">
        <v>8644</v>
      </c>
      <c r="B8645" t="str">
        <f>"024315"</f>
        <v>0</v>
      </c>
      <c r="C8645" t="s">
        <v>2443</v>
      </c>
      <c r="D8645" t="s">
        <v>13312</v>
      </c>
      <c r="E8645" t="str">
        <f>"1509900584051"</f>
        <v>0</v>
      </c>
      <c r="F8645" t="str">
        <f>"001600"</f>
        <v>0</v>
      </c>
      <c r="G8645" t="s">
        <v>21</v>
      </c>
    </row>
    <row r="8646" spans="1:7">
      <c r="A8646">
        <v>8645</v>
      </c>
      <c r="B8646" t="str">
        <f>"022988"</f>
        <v>0</v>
      </c>
      <c r="C8646" t="s">
        <v>13313</v>
      </c>
      <c r="D8646" t="s">
        <v>13314</v>
      </c>
      <c r="E8646" t="str">
        <f>"1510200001691"</f>
        <v>0</v>
      </c>
      <c r="F8646" t="str">
        <f>"001600"</f>
        <v>0</v>
      </c>
      <c r="G8646" t="s">
        <v>21</v>
      </c>
    </row>
    <row r="8647" spans="1:7">
      <c r="A8647">
        <v>8646</v>
      </c>
      <c r="B8647" t="str">
        <f>"022462"</f>
        <v>0</v>
      </c>
      <c r="C8647" t="s">
        <v>13315</v>
      </c>
      <c r="D8647" t="s">
        <v>13316</v>
      </c>
      <c r="E8647" t="str">
        <f>"3510101055811"</f>
        <v>0</v>
      </c>
      <c r="F8647" t="str">
        <f>"001600"</f>
        <v>0</v>
      </c>
      <c r="G8647" t="s">
        <v>21</v>
      </c>
    </row>
    <row r="8648" spans="1:7">
      <c r="A8648">
        <v>8647</v>
      </c>
      <c r="B8648" t="str">
        <f>"013758"</f>
        <v>0</v>
      </c>
      <c r="C8648" t="s">
        <v>13317</v>
      </c>
      <c r="D8648" t="s">
        <v>13318</v>
      </c>
      <c r="E8648" t="str">
        <f>"3510200151908"</f>
        <v>0</v>
      </c>
      <c r="F8648" t="str">
        <f>"001600"</f>
        <v>0</v>
      </c>
      <c r="G8648" t="s">
        <v>21</v>
      </c>
    </row>
    <row r="8649" spans="1:7">
      <c r="A8649">
        <v>8648</v>
      </c>
      <c r="B8649" t="str">
        <f>"016288"</f>
        <v>0</v>
      </c>
      <c r="C8649" t="s">
        <v>2907</v>
      </c>
      <c r="D8649" t="s">
        <v>13319</v>
      </c>
      <c r="E8649" t="str">
        <f>"3510100400027"</f>
        <v>0</v>
      </c>
      <c r="F8649" t="str">
        <f>"001600"</f>
        <v>0</v>
      </c>
      <c r="G8649" t="s">
        <v>21</v>
      </c>
    </row>
    <row r="8650" spans="1:7">
      <c r="A8650">
        <v>8649</v>
      </c>
      <c r="B8650" t="str">
        <f>"017170"</f>
        <v>0</v>
      </c>
      <c r="C8650" t="s">
        <v>3801</v>
      </c>
      <c r="D8650" t="s">
        <v>13320</v>
      </c>
      <c r="E8650" t="str">
        <f>"3501200630777"</f>
        <v>0</v>
      </c>
      <c r="F8650" t="str">
        <f>"001600"</f>
        <v>0</v>
      </c>
      <c r="G8650" t="s">
        <v>21</v>
      </c>
    </row>
    <row r="8651" spans="1:7">
      <c r="A8651">
        <v>8650</v>
      </c>
      <c r="B8651" t="str">
        <f>"021964"</f>
        <v>0</v>
      </c>
      <c r="C8651" t="s">
        <v>6446</v>
      </c>
      <c r="D8651" t="s">
        <v>13321</v>
      </c>
      <c r="E8651" t="str">
        <f>"3501300670649"</f>
        <v>0</v>
      </c>
      <c r="F8651" t="str">
        <f>"001600"</f>
        <v>0</v>
      </c>
      <c r="G8651" t="s">
        <v>21</v>
      </c>
    </row>
    <row r="8652" spans="1:7">
      <c r="A8652">
        <v>8651</v>
      </c>
      <c r="B8652" t="str">
        <f>"022705"</f>
        <v>0</v>
      </c>
      <c r="C8652" t="s">
        <v>5650</v>
      </c>
      <c r="D8652" t="s">
        <v>13322</v>
      </c>
      <c r="E8652" t="str">
        <f>"1509900439281"</f>
        <v>0</v>
      </c>
      <c r="F8652" t="str">
        <f>"001600"</f>
        <v>0</v>
      </c>
      <c r="G8652" t="s">
        <v>21</v>
      </c>
    </row>
    <row r="8653" spans="1:7">
      <c r="A8653">
        <v>8652</v>
      </c>
      <c r="B8653" t="str">
        <f>"022757"</f>
        <v>0</v>
      </c>
      <c r="C8653" t="s">
        <v>13323</v>
      </c>
      <c r="D8653" t="s">
        <v>13324</v>
      </c>
      <c r="E8653" t="str">
        <f>"1509900074916"</f>
        <v>0</v>
      </c>
      <c r="F8653" t="str">
        <f>"001600"</f>
        <v>0</v>
      </c>
      <c r="G8653" t="s">
        <v>21</v>
      </c>
    </row>
    <row r="8654" spans="1:7">
      <c r="A8654">
        <v>8653</v>
      </c>
      <c r="B8654" t="str">
        <f>"025198"</f>
        <v>0</v>
      </c>
      <c r="C8654" t="s">
        <v>8555</v>
      </c>
      <c r="D8654" t="s">
        <v>13325</v>
      </c>
      <c r="E8654" t="str">
        <f>"3501000067556"</f>
        <v>0</v>
      </c>
      <c r="F8654" t="str">
        <f>"001600"</f>
        <v>0</v>
      </c>
      <c r="G8654" t="s">
        <v>21</v>
      </c>
    </row>
    <row r="8655" spans="1:7">
      <c r="A8655">
        <v>8654</v>
      </c>
      <c r="B8655" t="str">
        <f>"026210"</f>
        <v>0</v>
      </c>
      <c r="C8655" t="s">
        <v>13326</v>
      </c>
      <c r="D8655" t="s">
        <v>13327</v>
      </c>
      <c r="E8655" t="str">
        <f>"1509900269032"</f>
        <v>0</v>
      </c>
      <c r="F8655" t="str">
        <f>"001600"</f>
        <v>0</v>
      </c>
      <c r="G8655" t="s">
        <v>21</v>
      </c>
    </row>
    <row r="8656" spans="1:7">
      <c r="A8656">
        <v>8655</v>
      </c>
      <c r="B8656" t="str">
        <f>"026405"</f>
        <v>0</v>
      </c>
      <c r="C8656" t="s">
        <v>7988</v>
      </c>
      <c r="D8656" t="s">
        <v>13328</v>
      </c>
      <c r="E8656" t="str">
        <f>"1500700115327"</f>
        <v>0</v>
      </c>
      <c r="F8656" t="str">
        <f>"001600"</f>
        <v>0</v>
      </c>
      <c r="G8656" t="s">
        <v>21</v>
      </c>
    </row>
    <row r="8657" spans="1:7">
      <c r="A8657">
        <v>8656</v>
      </c>
      <c r="B8657" t="str">
        <f>"008373"</f>
        <v>0</v>
      </c>
      <c r="C8657" t="s">
        <v>13329</v>
      </c>
      <c r="D8657" t="s">
        <v>13330</v>
      </c>
      <c r="E8657" t="str">
        <f>"3411700071476"</f>
        <v>0</v>
      </c>
      <c r="F8657" t="str">
        <f>"001600"</f>
        <v>0</v>
      </c>
      <c r="G8657" t="s">
        <v>21</v>
      </c>
    </row>
    <row r="8658" spans="1:7">
      <c r="A8658">
        <v>8657</v>
      </c>
      <c r="B8658" t="str">
        <f>"009499"</f>
        <v>0</v>
      </c>
      <c r="C8658" t="s">
        <v>4566</v>
      </c>
      <c r="D8658" t="s">
        <v>5290</v>
      </c>
      <c r="E8658" t="str">
        <f>"3510101365039"</f>
        <v>0</v>
      </c>
      <c r="F8658" t="str">
        <f>"001600"</f>
        <v>0</v>
      </c>
      <c r="G8658" t="s">
        <v>21</v>
      </c>
    </row>
    <row r="8659" spans="1:7">
      <c r="A8659">
        <v>8658</v>
      </c>
      <c r="B8659" t="str">
        <f>"010338"</f>
        <v>0</v>
      </c>
      <c r="C8659" t="s">
        <v>13331</v>
      </c>
      <c r="D8659" t="s">
        <v>11579</v>
      </c>
      <c r="E8659" t="str">
        <f>"3510600526682"</f>
        <v>0</v>
      </c>
      <c r="F8659" t="str">
        <f>"001600"</f>
        <v>0</v>
      </c>
      <c r="G8659" t="s">
        <v>21</v>
      </c>
    </row>
    <row r="8660" spans="1:7">
      <c r="A8660">
        <v>8659</v>
      </c>
      <c r="B8660" t="str">
        <f>"011801"</f>
        <v>0</v>
      </c>
      <c r="C8660" t="s">
        <v>2634</v>
      </c>
      <c r="D8660" t="s">
        <v>13332</v>
      </c>
      <c r="E8660" t="str">
        <f>"3170200046792"</f>
        <v>0</v>
      </c>
      <c r="F8660" t="str">
        <f>"001600"</f>
        <v>0</v>
      </c>
      <c r="G8660" t="s">
        <v>21</v>
      </c>
    </row>
    <row r="8661" spans="1:7">
      <c r="A8661">
        <v>8660</v>
      </c>
      <c r="B8661" t="str">
        <f>"012452"</f>
        <v>0</v>
      </c>
      <c r="C8661" t="s">
        <v>3894</v>
      </c>
      <c r="D8661" t="s">
        <v>13333</v>
      </c>
      <c r="E8661" t="str">
        <f>"3510600203166"</f>
        <v>0</v>
      </c>
      <c r="F8661" t="str">
        <f>"001600"</f>
        <v>0</v>
      </c>
      <c r="G8661" t="s">
        <v>21</v>
      </c>
    </row>
    <row r="8662" spans="1:7">
      <c r="A8662">
        <v>8661</v>
      </c>
      <c r="B8662" t="str">
        <f>"014075"</f>
        <v>0</v>
      </c>
      <c r="C8662" t="s">
        <v>13334</v>
      </c>
      <c r="D8662" t="s">
        <v>13335</v>
      </c>
      <c r="E8662" t="str">
        <f>"3620100001750"</f>
        <v>0</v>
      </c>
      <c r="F8662" t="str">
        <f>"001600"</f>
        <v>0</v>
      </c>
      <c r="G8662" t="s">
        <v>21</v>
      </c>
    </row>
    <row r="8663" spans="1:7">
      <c r="A8663">
        <v>8662</v>
      </c>
      <c r="B8663" t="str">
        <f>"017845"</f>
        <v>0</v>
      </c>
      <c r="C8663" t="s">
        <v>8726</v>
      </c>
      <c r="D8663" t="s">
        <v>13336</v>
      </c>
      <c r="E8663" t="str">
        <f>"3360101345153"</f>
        <v>0</v>
      </c>
      <c r="F8663" t="str">
        <f>"001600"</f>
        <v>0</v>
      </c>
      <c r="G8663" t="s">
        <v>21</v>
      </c>
    </row>
    <row r="8664" spans="1:7">
      <c r="A8664">
        <v>8663</v>
      </c>
      <c r="B8664" t="str">
        <f>"019783"</f>
        <v>0</v>
      </c>
      <c r="C8664" t="s">
        <v>13337</v>
      </c>
      <c r="D8664" t="s">
        <v>13338</v>
      </c>
      <c r="E8664" t="str">
        <f>"3529900066146"</f>
        <v>0</v>
      </c>
      <c r="F8664" t="str">
        <f>"001600"</f>
        <v>0</v>
      </c>
      <c r="G8664" t="s">
        <v>21</v>
      </c>
    </row>
    <row r="8665" spans="1:7">
      <c r="A8665">
        <v>8664</v>
      </c>
      <c r="B8665" t="str">
        <f>"020906"</f>
        <v>0</v>
      </c>
      <c r="C8665" t="s">
        <v>2867</v>
      </c>
      <c r="D8665" t="s">
        <v>13339</v>
      </c>
      <c r="E8665" t="str">
        <f>"3510600036324"</f>
        <v>0</v>
      </c>
      <c r="F8665" t="str">
        <f>"001600"</f>
        <v>0</v>
      </c>
      <c r="G8665" t="s">
        <v>21</v>
      </c>
    </row>
    <row r="8666" spans="1:7">
      <c r="A8666">
        <v>8665</v>
      </c>
      <c r="B8666" t="str">
        <f>"021319"</f>
        <v>0</v>
      </c>
      <c r="C8666" t="s">
        <v>13340</v>
      </c>
      <c r="D8666" t="s">
        <v>13341</v>
      </c>
      <c r="E8666" t="str">
        <f>"3510100778437"</f>
        <v>0</v>
      </c>
      <c r="F8666" t="str">
        <f>"001600"</f>
        <v>0</v>
      </c>
      <c r="G8666" t="s">
        <v>21</v>
      </c>
    </row>
    <row r="8667" spans="1:7">
      <c r="A8667">
        <v>8666</v>
      </c>
      <c r="B8667" t="str">
        <f>"021369"</f>
        <v>0</v>
      </c>
      <c r="C8667" t="s">
        <v>13342</v>
      </c>
      <c r="D8667" t="s">
        <v>13343</v>
      </c>
      <c r="E8667" t="str">
        <f>"3309900196491"</f>
        <v>0</v>
      </c>
      <c r="F8667" t="str">
        <f>"001600"</f>
        <v>0</v>
      </c>
      <c r="G8667" t="s">
        <v>21</v>
      </c>
    </row>
    <row r="8668" spans="1:7">
      <c r="A8668">
        <v>8667</v>
      </c>
      <c r="B8668" t="str">
        <f>"021509"</f>
        <v>0</v>
      </c>
      <c r="C8668" t="s">
        <v>13344</v>
      </c>
      <c r="D8668" t="s">
        <v>13345</v>
      </c>
      <c r="E8668" t="str">
        <f>"1509900096138"</f>
        <v>0</v>
      </c>
      <c r="F8668" t="str">
        <f>"001600"</f>
        <v>0</v>
      </c>
      <c r="G8668" t="s">
        <v>21</v>
      </c>
    </row>
    <row r="8669" spans="1:7">
      <c r="A8669">
        <v>8668</v>
      </c>
      <c r="B8669" t="str">
        <f>"021668"</f>
        <v>0</v>
      </c>
      <c r="C8669" t="s">
        <v>13346</v>
      </c>
      <c r="D8669" t="s">
        <v>13347</v>
      </c>
      <c r="E8669" t="str">
        <f>"3510300412649"</f>
        <v>0</v>
      </c>
      <c r="F8669" t="str">
        <f>"001600"</f>
        <v>0</v>
      </c>
      <c r="G8669" t="s">
        <v>21</v>
      </c>
    </row>
    <row r="8670" spans="1:7">
      <c r="A8670">
        <v>8669</v>
      </c>
      <c r="B8670" t="str">
        <f>"021934"</f>
        <v>0</v>
      </c>
      <c r="C8670" t="s">
        <v>13348</v>
      </c>
      <c r="D8670" t="s">
        <v>13349</v>
      </c>
      <c r="E8670" t="str">
        <f>"3800300259805"</f>
        <v>0</v>
      </c>
      <c r="F8670" t="str">
        <f>"001600"</f>
        <v>0</v>
      </c>
      <c r="G8670" t="s">
        <v>21</v>
      </c>
    </row>
    <row r="8671" spans="1:7">
      <c r="A8671">
        <v>8670</v>
      </c>
      <c r="B8671" t="str">
        <f>"022422"</f>
        <v>0</v>
      </c>
      <c r="C8671" t="s">
        <v>8272</v>
      </c>
      <c r="D8671" t="s">
        <v>6159</v>
      </c>
      <c r="E8671" t="str">
        <f>"3510300051247"</f>
        <v>0</v>
      </c>
      <c r="F8671" t="str">
        <f>"001600"</f>
        <v>0</v>
      </c>
      <c r="G8671" t="s">
        <v>21</v>
      </c>
    </row>
    <row r="8672" spans="1:7">
      <c r="A8672">
        <v>8671</v>
      </c>
      <c r="B8672" t="str">
        <f>"022756"</f>
        <v>0</v>
      </c>
      <c r="C8672" t="s">
        <v>13350</v>
      </c>
      <c r="D8672" t="s">
        <v>12532</v>
      </c>
      <c r="E8672" t="str">
        <f>"1509900014361"</f>
        <v>0</v>
      </c>
      <c r="F8672" t="str">
        <f>"001600"</f>
        <v>0</v>
      </c>
      <c r="G8672" t="s">
        <v>21</v>
      </c>
    </row>
    <row r="8673" spans="1:7">
      <c r="A8673">
        <v>8672</v>
      </c>
      <c r="B8673" t="str">
        <f>"023068"</f>
        <v>0</v>
      </c>
      <c r="C8673" t="s">
        <v>10731</v>
      </c>
      <c r="D8673" t="s">
        <v>13351</v>
      </c>
      <c r="E8673" t="str">
        <f>"3510400287765"</f>
        <v>0</v>
      </c>
      <c r="F8673" t="str">
        <f>"001600"</f>
        <v>0</v>
      </c>
      <c r="G8673" t="s">
        <v>21</v>
      </c>
    </row>
    <row r="8674" spans="1:7">
      <c r="A8674">
        <v>8673</v>
      </c>
      <c r="B8674" t="str">
        <f>"023219"</f>
        <v>0</v>
      </c>
      <c r="C8674" t="s">
        <v>13352</v>
      </c>
      <c r="D8674" t="s">
        <v>13353</v>
      </c>
      <c r="E8674" t="str">
        <f>"1500200024438"</f>
        <v>0</v>
      </c>
      <c r="F8674" t="str">
        <f>"001600"</f>
        <v>0</v>
      </c>
      <c r="G8674" t="s">
        <v>21</v>
      </c>
    </row>
    <row r="8675" spans="1:7">
      <c r="A8675">
        <v>8674</v>
      </c>
      <c r="B8675" t="str">
        <f>"023501"</f>
        <v>0</v>
      </c>
      <c r="C8675" t="s">
        <v>13354</v>
      </c>
      <c r="D8675" t="s">
        <v>13355</v>
      </c>
      <c r="E8675" t="str">
        <f>"3510101188234"</f>
        <v>0</v>
      </c>
      <c r="F8675" t="str">
        <f>"001600"</f>
        <v>0</v>
      </c>
      <c r="G8675" t="s">
        <v>21</v>
      </c>
    </row>
    <row r="8676" spans="1:7">
      <c r="A8676">
        <v>8675</v>
      </c>
      <c r="B8676" t="str">
        <f>"023692"</f>
        <v>0</v>
      </c>
      <c r="C8676" t="s">
        <v>13356</v>
      </c>
      <c r="D8676" t="s">
        <v>13357</v>
      </c>
      <c r="E8676" t="str">
        <f>"3510100730914"</f>
        <v>0</v>
      </c>
      <c r="F8676" t="str">
        <f>"001600"</f>
        <v>0</v>
      </c>
      <c r="G8676" t="s">
        <v>21</v>
      </c>
    </row>
    <row r="8677" spans="1:7">
      <c r="A8677">
        <v>8676</v>
      </c>
      <c r="B8677" t="str">
        <f>"023778"</f>
        <v>0</v>
      </c>
      <c r="C8677" t="s">
        <v>955</v>
      </c>
      <c r="D8677" t="s">
        <v>13358</v>
      </c>
      <c r="E8677" t="str">
        <f>"3510100932355"</f>
        <v>0</v>
      </c>
      <c r="F8677" t="str">
        <f>"001600"</f>
        <v>0</v>
      </c>
      <c r="G8677" t="s">
        <v>21</v>
      </c>
    </row>
    <row r="8678" spans="1:7">
      <c r="A8678">
        <v>8677</v>
      </c>
      <c r="B8678" t="str">
        <f>"024221"</f>
        <v>0</v>
      </c>
      <c r="C8678" t="s">
        <v>7261</v>
      </c>
      <c r="D8678" t="s">
        <v>13359</v>
      </c>
      <c r="E8678" t="str">
        <f>"1510100115300"</f>
        <v>0</v>
      </c>
      <c r="F8678" t="str">
        <f>"001600"</f>
        <v>0</v>
      </c>
      <c r="G8678" t="s">
        <v>21</v>
      </c>
    </row>
    <row r="8679" spans="1:7">
      <c r="A8679">
        <v>8678</v>
      </c>
      <c r="B8679" t="str">
        <f>"024729"</f>
        <v>0</v>
      </c>
      <c r="C8679" t="s">
        <v>13360</v>
      </c>
      <c r="D8679" t="s">
        <v>13361</v>
      </c>
      <c r="E8679" t="str">
        <f>"1510500031553"</f>
        <v>0</v>
      </c>
      <c r="F8679" t="str">
        <f>"001600"</f>
        <v>0</v>
      </c>
      <c r="G8679" t="s">
        <v>21</v>
      </c>
    </row>
    <row r="8680" spans="1:7">
      <c r="A8680">
        <v>8679</v>
      </c>
      <c r="B8680" t="str">
        <f>"024858"</f>
        <v>0</v>
      </c>
      <c r="C8680" t="s">
        <v>13362</v>
      </c>
      <c r="D8680" t="s">
        <v>13363</v>
      </c>
      <c r="E8680" t="str">
        <f>"1509900094941"</f>
        <v>0</v>
      </c>
      <c r="F8680" t="str">
        <f>"001600"</f>
        <v>0</v>
      </c>
      <c r="G8680" t="s">
        <v>21</v>
      </c>
    </row>
    <row r="8681" spans="1:7">
      <c r="A8681">
        <v>8680</v>
      </c>
      <c r="B8681" t="str">
        <f>"024920"</f>
        <v>0</v>
      </c>
      <c r="C8681" t="s">
        <v>13364</v>
      </c>
      <c r="D8681" t="s">
        <v>13365</v>
      </c>
      <c r="E8681" t="str">
        <f>"1509900095484"</f>
        <v>0</v>
      </c>
      <c r="F8681" t="str">
        <f>"001600"</f>
        <v>0</v>
      </c>
      <c r="G8681" t="s">
        <v>21</v>
      </c>
    </row>
    <row r="8682" spans="1:7">
      <c r="A8682">
        <v>8681</v>
      </c>
      <c r="B8682" t="str">
        <f>"025047"</f>
        <v>0</v>
      </c>
      <c r="C8682" t="s">
        <v>13366</v>
      </c>
      <c r="D8682" t="s">
        <v>13367</v>
      </c>
      <c r="E8682" t="str">
        <f>"3570400591154"</f>
        <v>0</v>
      </c>
      <c r="F8682" t="str">
        <f>"001600"</f>
        <v>0</v>
      </c>
      <c r="G8682" t="s">
        <v>21</v>
      </c>
    </row>
    <row r="8683" spans="1:7">
      <c r="A8683">
        <v>8682</v>
      </c>
      <c r="B8683" t="str">
        <f>"025197"</f>
        <v>0</v>
      </c>
      <c r="C8683" t="s">
        <v>13368</v>
      </c>
      <c r="D8683" t="s">
        <v>13369</v>
      </c>
      <c r="E8683" t="str">
        <f>"1501100069805"</f>
        <v>0</v>
      </c>
      <c r="F8683" t="str">
        <f>"001600"</f>
        <v>0</v>
      </c>
      <c r="G8683" t="s">
        <v>21</v>
      </c>
    </row>
    <row r="8684" spans="1:7">
      <c r="A8684">
        <v>8683</v>
      </c>
      <c r="B8684" t="str">
        <f>"025323"</f>
        <v>0</v>
      </c>
      <c r="C8684" t="s">
        <v>13370</v>
      </c>
      <c r="D8684" t="s">
        <v>13371</v>
      </c>
      <c r="E8684" t="str">
        <f>"1509900548276"</f>
        <v>0</v>
      </c>
      <c r="F8684" t="str">
        <f>"001600"</f>
        <v>0</v>
      </c>
      <c r="G8684" t="s">
        <v>21</v>
      </c>
    </row>
    <row r="8685" spans="1:7">
      <c r="A8685">
        <v>8684</v>
      </c>
      <c r="B8685" t="str">
        <f>"025710"</f>
        <v>0</v>
      </c>
      <c r="C8685" t="s">
        <v>1001</v>
      </c>
      <c r="D8685" t="s">
        <v>13363</v>
      </c>
      <c r="E8685" t="str">
        <f>"1509900926882"</f>
        <v>0</v>
      </c>
      <c r="F8685" t="str">
        <f>"001600"</f>
        <v>0</v>
      </c>
      <c r="G8685" t="s">
        <v>21</v>
      </c>
    </row>
    <row r="8686" spans="1:7">
      <c r="A8686">
        <v>8685</v>
      </c>
      <c r="B8686" t="str">
        <f>"026209"</f>
        <v>0</v>
      </c>
      <c r="C8686" t="s">
        <v>132</v>
      </c>
      <c r="D8686" t="s">
        <v>13372</v>
      </c>
      <c r="E8686" t="str">
        <f>"1510100220448"</f>
        <v>0</v>
      </c>
      <c r="F8686" t="str">
        <f>"001600"</f>
        <v>0</v>
      </c>
      <c r="G8686" t="s">
        <v>21</v>
      </c>
    </row>
    <row r="8687" spans="1:7">
      <c r="A8687">
        <v>8686</v>
      </c>
      <c r="B8687" t="str">
        <f>"027161"</f>
        <v>0</v>
      </c>
      <c r="C8687" t="s">
        <v>13373</v>
      </c>
      <c r="D8687" t="s">
        <v>13374</v>
      </c>
      <c r="E8687" t="str">
        <f>"3510500016691"</f>
        <v>0</v>
      </c>
      <c r="F8687" t="str">
        <f>"001600"</f>
        <v>0</v>
      </c>
      <c r="G8687" t="s">
        <v>21</v>
      </c>
    </row>
    <row r="8688" spans="1:7">
      <c r="A8688">
        <v>8687</v>
      </c>
      <c r="B8688" t="str">
        <f>"027199"</f>
        <v>0</v>
      </c>
      <c r="C8688" t="s">
        <v>5687</v>
      </c>
      <c r="D8688" t="s">
        <v>13375</v>
      </c>
      <c r="E8688" t="str">
        <f>"3510100285392"</f>
        <v>0</v>
      </c>
      <c r="F8688" t="str">
        <f>"001600"</f>
        <v>0</v>
      </c>
      <c r="G8688" t="s">
        <v>21</v>
      </c>
    </row>
    <row r="8689" spans="1:7">
      <c r="A8689">
        <v>8688</v>
      </c>
      <c r="B8689" t="str">
        <f>"021944"</f>
        <v>0</v>
      </c>
      <c r="C8689" t="s">
        <v>837</v>
      </c>
      <c r="D8689" t="s">
        <v>13376</v>
      </c>
      <c r="E8689" t="str">
        <f>"3510400315793"</f>
        <v>0</v>
      </c>
      <c r="F8689" t="str">
        <f>"001600"</f>
        <v>0</v>
      </c>
      <c r="G8689" t="s">
        <v>21</v>
      </c>
    </row>
    <row r="8690" spans="1:7">
      <c r="A8690">
        <v>8689</v>
      </c>
      <c r="B8690" t="str">
        <f>"022132"</f>
        <v>0</v>
      </c>
      <c r="C8690" t="s">
        <v>3841</v>
      </c>
      <c r="D8690" t="s">
        <v>13377</v>
      </c>
      <c r="E8690" t="str">
        <f>"3540600502864"</f>
        <v>0</v>
      </c>
      <c r="F8690" t="str">
        <f>"001600"</f>
        <v>0</v>
      </c>
      <c r="G8690" t="s">
        <v>21</v>
      </c>
    </row>
    <row r="8691" spans="1:7">
      <c r="A8691">
        <v>8690</v>
      </c>
      <c r="B8691" t="str">
        <f>"023297"</f>
        <v>0</v>
      </c>
      <c r="C8691" t="s">
        <v>13378</v>
      </c>
      <c r="D8691" t="s">
        <v>13379</v>
      </c>
      <c r="E8691" t="str">
        <f>"3540400502925"</f>
        <v>0</v>
      </c>
      <c r="F8691" t="str">
        <f>"001600"</f>
        <v>0</v>
      </c>
      <c r="G8691" t="s">
        <v>21</v>
      </c>
    </row>
    <row r="8692" spans="1:7">
      <c r="A8692">
        <v>8691</v>
      </c>
      <c r="B8692" t="str">
        <f>"023426"</f>
        <v>0</v>
      </c>
      <c r="C8692" t="s">
        <v>5061</v>
      </c>
      <c r="D8692" t="s">
        <v>13380</v>
      </c>
      <c r="E8692" t="str">
        <f>"1510400015866"</f>
        <v>0</v>
      </c>
      <c r="F8692" t="str">
        <f>"001600"</f>
        <v>0</v>
      </c>
      <c r="G8692" t="s">
        <v>21</v>
      </c>
    </row>
    <row r="8693" spans="1:7">
      <c r="A8693">
        <v>8692</v>
      </c>
      <c r="B8693" t="str">
        <f>"023461"</f>
        <v>0</v>
      </c>
      <c r="C8693" t="s">
        <v>13381</v>
      </c>
      <c r="D8693" t="s">
        <v>13382</v>
      </c>
      <c r="E8693" t="str">
        <f>"1570700002646"</f>
        <v>0</v>
      </c>
      <c r="F8693" t="str">
        <f>"001600"</f>
        <v>0</v>
      </c>
      <c r="G8693" t="s">
        <v>21</v>
      </c>
    </row>
    <row r="8694" spans="1:7">
      <c r="A8694">
        <v>8693</v>
      </c>
      <c r="B8694" t="str">
        <f>"025201"</f>
        <v>0</v>
      </c>
      <c r="C8694" t="s">
        <v>10528</v>
      </c>
      <c r="D8694" t="s">
        <v>13383</v>
      </c>
      <c r="E8694" t="str">
        <f>"1180200017231"</f>
        <v>0</v>
      </c>
      <c r="F8694" t="str">
        <f>"001600"</f>
        <v>0</v>
      </c>
      <c r="G8694" t="s">
        <v>21</v>
      </c>
    </row>
    <row r="8695" spans="1:7">
      <c r="A8695">
        <v>8694</v>
      </c>
      <c r="B8695" t="str">
        <f>"019889"</f>
        <v>0</v>
      </c>
      <c r="C8695" t="s">
        <v>1634</v>
      </c>
      <c r="D8695" t="s">
        <v>13384</v>
      </c>
      <c r="E8695" t="str">
        <f>"3520100114091"</f>
        <v>0</v>
      </c>
      <c r="F8695" t="str">
        <f>"001600"</f>
        <v>0</v>
      </c>
      <c r="G8695" t="s">
        <v>21</v>
      </c>
    </row>
    <row r="8696" spans="1:7">
      <c r="A8696">
        <v>8695</v>
      </c>
      <c r="B8696" t="str">
        <f>"013271"</f>
        <v>0</v>
      </c>
      <c r="C8696" t="s">
        <v>1411</v>
      </c>
      <c r="D8696" t="s">
        <v>13385</v>
      </c>
      <c r="E8696" t="str">
        <f>"3140200305968"</f>
        <v>0</v>
      </c>
      <c r="F8696" t="str">
        <f>"001600"</f>
        <v>0</v>
      </c>
      <c r="G8696" t="s">
        <v>21</v>
      </c>
    </row>
    <row r="8697" spans="1:7">
      <c r="A8697">
        <v>8696</v>
      </c>
      <c r="B8697" t="str">
        <f>"021150"</f>
        <v>0</v>
      </c>
      <c r="C8697" t="s">
        <v>13386</v>
      </c>
      <c r="D8697" t="s">
        <v>13387</v>
      </c>
      <c r="E8697" t="str">
        <f>"3501000050840"</f>
        <v>0</v>
      </c>
      <c r="F8697" t="str">
        <f>"001600"</f>
        <v>0</v>
      </c>
      <c r="G8697" t="s">
        <v>21</v>
      </c>
    </row>
    <row r="8698" spans="1:7">
      <c r="A8698">
        <v>8697</v>
      </c>
      <c r="B8698" t="str">
        <f>"013172"</f>
        <v>0</v>
      </c>
      <c r="C8698" t="s">
        <v>12982</v>
      </c>
      <c r="D8698" t="s">
        <v>2904</v>
      </c>
      <c r="E8698" t="str">
        <f>"3510300347804"</f>
        <v>0</v>
      </c>
      <c r="F8698" t="str">
        <f>"001600"</f>
        <v>0</v>
      </c>
      <c r="G8698" t="s">
        <v>21</v>
      </c>
    </row>
    <row r="8699" spans="1:7">
      <c r="A8699">
        <v>8698</v>
      </c>
      <c r="B8699" t="str">
        <f>"011312"</f>
        <v>0</v>
      </c>
      <c r="C8699" t="s">
        <v>13388</v>
      </c>
      <c r="D8699" t="s">
        <v>13389</v>
      </c>
      <c r="E8699" t="str">
        <f>"3571000117235"</f>
        <v>0</v>
      </c>
      <c r="F8699" t="str">
        <f>"001600"</f>
        <v>0</v>
      </c>
      <c r="G8699" t="s">
        <v>21</v>
      </c>
    </row>
    <row r="8700" spans="1:7">
      <c r="A8700">
        <v>8699</v>
      </c>
      <c r="B8700" t="str">
        <f>"013923"</f>
        <v>0</v>
      </c>
      <c r="C8700" t="s">
        <v>3620</v>
      </c>
      <c r="D8700" t="s">
        <v>13390</v>
      </c>
      <c r="E8700" t="str">
        <f>"3440900913356"</f>
        <v>0</v>
      </c>
      <c r="F8700" t="str">
        <f>"001600"</f>
        <v>0</v>
      </c>
      <c r="G8700" t="s">
        <v>21</v>
      </c>
    </row>
    <row r="8701" spans="1:7">
      <c r="A8701">
        <v>8700</v>
      </c>
      <c r="B8701" t="str">
        <f>"019355"</f>
        <v>0</v>
      </c>
      <c r="C8701" t="s">
        <v>13391</v>
      </c>
      <c r="D8701" t="s">
        <v>13392</v>
      </c>
      <c r="E8701" t="str">
        <f>"3610700286861"</f>
        <v>0</v>
      </c>
      <c r="F8701" t="str">
        <f>"001600"</f>
        <v>0</v>
      </c>
      <c r="G8701" t="s">
        <v>21</v>
      </c>
    </row>
    <row r="8702" spans="1:7">
      <c r="A8702">
        <v>8701</v>
      </c>
      <c r="B8702" t="str">
        <f>"021440"</f>
        <v>0</v>
      </c>
      <c r="C8702" t="s">
        <v>13393</v>
      </c>
      <c r="D8702" t="s">
        <v>13394</v>
      </c>
      <c r="E8702" t="str">
        <f>"3510300107293"</f>
        <v>0</v>
      </c>
      <c r="F8702" t="str">
        <f>"001600"</f>
        <v>0</v>
      </c>
      <c r="G8702" t="s">
        <v>21</v>
      </c>
    </row>
    <row r="8703" spans="1:7">
      <c r="A8703">
        <v>8702</v>
      </c>
      <c r="B8703" t="str">
        <f>"021920"</f>
        <v>0</v>
      </c>
      <c r="C8703" t="s">
        <v>527</v>
      </c>
      <c r="D8703" t="s">
        <v>8175</v>
      </c>
      <c r="E8703" t="str">
        <f>"1509900090407"</f>
        <v>0</v>
      </c>
      <c r="F8703" t="str">
        <f>"001600"</f>
        <v>0</v>
      </c>
      <c r="G8703" t="s">
        <v>21</v>
      </c>
    </row>
    <row r="8704" spans="1:7">
      <c r="A8704">
        <v>8703</v>
      </c>
      <c r="B8704" t="str">
        <f>"025504"</f>
        <v>0</v>
      </c>
      <c r="C8704" t="s">
        <v>13395</v>
      </c>
      <c r="D8704" t="s">
        <v>13396</v>
      </c>
      <c r="E8704" t="str">
        <f>"3510600143252"</f>
        <v>0</v>
      </c>
      <c r="F8704" t="str">
        <f>"001600"</f>
        <v>0</v>
      </c>
      <c r="G8704" t="s">
        <v>21</v>
      </c>
    </row>
    <row r="8705" spans="1:7">
      <c r="A8705">
        <v>8704</v>
      </c>
      <c r="B8705" t="str">
        <f>"013072"</f>
        <v>0</v>
      </c>
      <c r="C8705" t="s">
        <v>5191</v>
      </c>
      <c r="D8705" t="s">
        <v>13397</v>
      </c>
      <c r="E8705" t="str">
        <f>"3130200184834"</f>
        <v>0</v>
      </c>
      <c r="F8705" t="str">
        <f>"001600"</f>
        <v>0</v>
      </c>
      <c r="G8705" t="s">
        <v>21</v>
      </c>
    </row>
    <row r="8706" spans="1:7">
      <c r="A8706">
        <v>8705</v>
      </c>
      <c r="B8706" t="str">
        <f>"016155"</f>
        <v>0</v>
      </c>
      <c r="C8706" t="s">
        <v>3841</v>
      </c>
      <c r="D8706" t="s">
        <v>13398</v>
      </c>
      <c r="E8706" t="str">
        <f>"3700400013779"</f>
        <v>0</v>
      </c>
      <c r="F8706" t="str">
        <f>"001600"</f>
        <v>0</v>
      </c>
      <c r="G8706" t="s">
        <v>21</v>
      </c>
    </row>
    <row r="8707" spans="1:7">
      <c r="A8707">
        <v>8706</v>
      </c>
      <c r="B8707" t="str">
        <f>"022052"</f>
        <v>0</v>
      </c>
      <c r="C8707" t="s">
        <v>9081</v>
      </c>
      <c r="D8707" t="s">
        <v>13399</v>
      </c>
      <c r="E8707" t="str">
        <f>"3500900265906"</f>
        <v>0</v>
      </c>
      <c r="F8707" t="str">
        <f>"001600"</f>
        <v>0</v>
      </c>
      <c r="G8707" t="s">
        <v>21</v>
      </c>
    </row>
    <row r="8708" spans="1:7">
      <c r="A8708">
        <v>8707</v>
      </c>
      <c r="B8708" t="str">
        <f>"007562"</f>
        <v>0</v>
      </c>
      <c r="C8708" t="s">
        <v>11085</v>
      </c>
      <c r="D8708" t="s">
        <v>13400</v>
      </c>
      <c r="E8708" t="str">
        <f>"3600800072846"</f>
        <v>0</v>
      </c>
      <c r="F8708" t="str">
        <f>"001600"</f>
        <v>0</v>
      </c>
      <c r="G8708" t="s">
        <v>21</v>
      </c>
    </row>
    <row r="8709" spans="1:7">
      <c r="A8709">
        <v>8708</v>
      </c>
      <c r="B8709" t="str">
        <f>"014704"</f>
        <v>0</v>
      </c>
      <c r="C8709" t="s">
        <v>13401</v>
      </c>
      <c r="D8709" t="s">
        <v>13402</v>
      </c>
      <c r="E8709" t="str">
        <f>"3500200663232"</f>
        <v>0</v>
      </c>
      <c r="F8709" t="str">
        <f>"001600"</f>
        <v>0</v>
      </c>
      <c r="G8709" t="s">
        <v>21</v>
      </c>
    </row>
    <row r="8710" spans="1:7">
      <c r="A8710">
        <v>8709</v>
      </c>
      <c r="B8710" t="str">
        <f>"022411"</f>
        <v>0</v>
      </c>
      <c r="C8710" t="s">
        <v>837</v>
      </c>
      <c r="D8710" t="s">
        <v>13403</v>
      </c>
      <c r="E8710" t="str">
        <f>"3149900059925"</f>
        <v>0</v>
      </c>
      <c r="F8710" t="str">
        <f>"001600"</f>
        <v>0</v>
      </c>
      <c r="G8710" t="s">
        <v>21</v>
      </c>
    </row>
    <row r="8711" spans="1:7">
      <c r="A8711">
        <v>8710</v>
      </c>
      <c r="B8711" t="str">
        <f>"024103"</f>
        <v>0</v>
      </c>
      <c r="C8711" t="s">
        <v>7342</v>
      </c>
      <c r="D8711" t="s">
        <v>13404</v>
      </c>
      <c r="E8711" t="str">
        <f>"1510400009459"</f>
        <v>0</v>
      </c>
      <c r="F8711" t="str">
        <f>"001600"</f>
        <v>0</v>
      </c>
      <c r="G8711" t="s">
        <v>21</v>
      </c>
    </row>
    <row r="8712" spans="1:7">
      <c r="A8712">
        <v>8711</v>
      </c>
      <c r="B8712" t="str">
        <f>"025734"</f>
        <v>0</v>
      </c>
      <c r="C8712" t="s">
        <v>8146</v>
      </c>
      <c r="D8712" t="s">
        <v>13405</v>
      </c>
      <c r="E8712" t="str">
        <f>"1520800052530"</f>
        <v>0</v>
      </c>
      <c r="F8712" t="str">
        <f>"001600"</f>
        <v>0</v>
      </c>
      <c r="G8712" t="s">
        <v>21</v>
      </c>
    </row>
    <row r="8713" spans="1:7">
      <c r="A8713">
        <v>8712</v>
      </c>
      <c r="B8713" t="str">
        <f>"027577"</f>
        <v>0</v>
      </c>
      <c r="C8713" t="s">
        <v>13406</v>
      </c>
      <c r="D8713" t="s">
        <v>13407</v>
      </c>
      <c r="E8713" t="str">
        <f>"3510100525466"</f>
        <v>0</v>
      </c>
      <c r="F8713" t="str">
        <f>"001600"</f>
        <v>0</v>
      </c>
      <c r="G8713" t="s">
        <v>21</v>
      </c>
    </row>
    <row r="8714" spans="1:7">
      <c r="A8714">
        <v>8713</v>
      </c>
      <c r="B8714" t="str">
        <f>"000510"</f>
        <v>0</v>
      </c>
      <c r="C8714" t="s">
        <v>391</v>
      </c>
      <c r="D8714" t="s">
        <v>13408</v>
      </c>
      <c r="E8714" t="str">
        <f>"3429900033818"</f>
        <v>0</v>
      </c>
      <c r="F8714" t="str">
        <f>"001610"</f>
        <v>0</v>
      </c>
      <c r="G8714" t="s">
        <v>21</v>
      </c>
    </row>
    <row r="8715" spans="1:7">
      <c r="A8715">
        <v>8714</v>
      </c>
      <c r="B8715" t="str">
        <f>"000518"</f>
        <v>0</v>
      </c>
      <c r="C8715" t="s">
        <v>10660</v>
      </c>
      <c r="D8715" t="s">
        <v>13408</v>
      </c>
      <c r="E8715" t="str">
        <f>"3429900033826"</f>
        <v>0</v>
      </c>
      <c r="F8715" t="str">
        <f>"001610"</f>
        <v>0</v>
      </c>
      <c r="G8715" t="s">
        <v>21</v>
      </c>
    </row>
    <row r="8716" spans="1:7">
      <c r="A8716">
        <v>8715</v>
      </c>
      <c r="B8716" t="str">
        <f>"000900"</f>
        <v>0</v>
      </c>
      <c r="C8716" t="s">
        <v>1634</v>
      </c>
      <c r="D8716" t="s">
        <v>13409</v>
      </c>
      <c r="E8716" t="str">
        <f>"3429900004052"</f>
        <v>0</v>
      </c>
      <c r="F8716" t="str">
        <f>"001610"</f>
        <v>0</v>
      </c>
      <c r="G8716" t="s">
        <v>21</v>
      </c>
    </row>
    <row r="8717" spans="1:7">
      <c r="A8717">
        <v>8716</v>
      </c>
      <c r="B8717" t="str">
        <f>"002309"</f>
        <v>0</v>
      </c>
      <c r="C8717" t="s">
        <v>13410</v>
      </c>
      <c r="D8717" t="s">
        <v>13411</v>
      </c>
      <c r="E8717" t="str">
        <f>"3309900110384"</f>
        <v>0</v>
      </c>
      <c r="F8717" t="str">
        <f>"001610"</f>
        <v>0</v>
      </c>
      <c r="G8717" t="s">
        <v>21</v>
      </c>
    </row>
    <row r="8718" spans="1:7">
      <c r="A8718">
        <v>8717</v>
      </c>
      <c r="B8718" t="str">
        <f>"002575"</f>
        <v>0</v>
      </c>
      <c r="C8718" t="s">
        <v>13412</v>
      </c>
      <c r="D8718" t="s">
        <v>13413</v>
      </c>
      <c r="E8718" t="str">
        <f>"3430400136032"</f>
        <v>0</v>
      </c>
      <c r="F8718" t="str">
        <f>"001610"</f>
        <v>0</v>
      </c>
      <c r="G8718" t="s">
        <v>21</v>
      </c>
    </row>
    <row r="8719" spans="1:7">
      <c r="A8719">
        <v>8718</v>
      </c>
      <c r="B8719" t="str">
        <f>"002819"</f>
        <v>0</v>
      </c>
      <c r="C8719" t="s">
        <v>13414</v>
      </c>
      <c r="D8719" t="s">
        <v>13415</v>
      </c>
      <c r="E8719" t="str">
        <f>"3429900095813"</f>
        <v>0</v>
      </c>
      <c r="F8719" t="str">
        <f>"001610"</f>
        <v>0</v>
      </c>
      <c r="G8719" t="s">
        <v>21</v>
      </c>
    </row>
    <row r="8720" spans="1:7">
      <c r="A8720">
        <v>8719</v>
      </c>
      <c r="B8720" t="str">
        <f>"003458"</f>
        <v>0</v>
      </c>
      <c r="C8720" t="s">
        <v>4883</v>
      </c>
      <c r="D8720" t="s">
        <v>13416</v>
      </c>
      <c r="E8720" t="str">
        <f>"3420900704226"</f>
        <v>0</v>
      </c>
      <c r="F8720" t="str">
        <f>"001610"</f>
        <v>0</v>
      </c>
      <c r="G8720" t="s">
        <v>21</v>
      </c>
    </row>
    <row r="8721" spans="1:7">
      <c r="A8721">
        <v>8720</v>
      </c>
      <c r="B8721" t="str">
        <f>"003530"</f>
        <v>0</v>
      </c>
      <c r="C8721" t="s">
        <v>13417</v>
      </c>
      <c r="D8721" t="s">
        <v>13418</v>
      </c>
      <c r="E8721" t="str">
        <f>"3420800193971"</f>
        <v>0</v>
      </c>
      <c r="F8721" t="str">
        <f>"001610"</f>
        <v>0</v>
      </c>
      <c r="G8721" t="s">
        <v>21</v>
      </c>
    </row>
    <row r="8722" spans="1:7">
      <c r="A8722">
        <v>8721</v>
      </c>
      <c r="B8722" t="str">
        <f>"003891"</f>
        <v>0</v>
      </c>
      <c r="C8722" t="s">
        <v>13419</v>
      </c>
      <c r="D8722" t="s">
        <v>13420</v>
      </c>
      <c r="E8722" t="str">
        <f>"3429900183925"</f>
        <v>0</v>
      </c>
      <c r="F8722" t="str">
        <f>"001610"</f>
        <v>0</v>
      </c>
      <c r="G8722" t="s">
        <v>21</v>
      </c>
    </row>
    <row r="8723" spans="1:7">
      <c r="A8723">
        <v>8722</v>
      </c>
      <c r="B8723" t="str">
        <f>"003995"</f>
        <v>0</v>
      </c>
      <c r="C8723" t="s">
        <v>13421</v>
      </c>
      <c r="D8723" t="s">
        <v>13422</v>
      </c>
      <c r="E8723" t="str">
        <f>"3420800188587"</f>
        <v>0</v>
      </c>
      <c r="F8723" t="str">
        <f>"001610"</f>
        <v>0</v>
      </c>
      <c r="G8723" t="s">
        <v>21</v>
      </c>
    </row>
    <row r="8724" spans="1:7">
      <c r="A8724">
        <v>8723</v>
      </c>
      <c r="B8724" t="str">
        <f>"003997"</f>
        <v>0</v>
      </c>
      <c r="C8724" t="s">
        <v>13423</v>
      </c>
      <c r="D8724" t="s">
        <v>13424</v>
      </c>
      <c r="E8724" t="str">
        <f>"3420100315811"</f>
        <v>0</v>
      </c>
      <c r="F8724" t="str">
        <f>"001610"</f>
        <v>0</v>
      </c>
      <c r="G8724" t="s">
        <v>21</v>
      </c>
    </row>
    <row r="8725" spans="1:7">
      <c r="A8725">
        <v>8724</v>
      </c>
      <c r="B8725" t="str">
        <f>"004187"</f>
        <v>0</v>
      </c>
      <c r="C8725" t="s">
        <v>13425</v>
      </c>
      <c r="D8725" t="s">
        <v>13426</v>
      </c>
      <c r="E8725" t="str">
        <f>"3420900666774"</f>
        <v>0</v>
      </c>
      <c r="F8725" t="str">
        <f>"001610"</f>
        <v>0</v>
      </c>
      <c r="G8725" t="s">
        <v>21</v>
      </c>
    </row>
    <row r="8726" spans="1:7">
      <c r="A8726">
        <v>8725</v>
      </c>
      <c r="B8726" t="str">
        <f>"004370"</f>
        <v>0</v>
      </c>
      <c r="C8726" t="s">
        <v>13427</v>
      </c>
      <c r="D8726" t="s">
        <v>13428</v>
      </c>
      <c r="E8726" t="str">
        <f>"3420800169493"</f>
        <v>0</v>
      </c>
      <c r="F8726" t="str">
        <f>"001610"</f>
        <v>0</v>
      </c>
      <c r="G8726" t="s">
        <v>21</v>
      </c>
    </row>
    <row r="8727" spans="1:7">
      <c r="A8727">
        <v>8726</v>
      </c>
      <c r="B8727" t="str">
        <f>"004433"</f>
        <v>0</v>
      </c>
      <c r="C8727" t="s">
        <v>13429</v>
      </c>
      <c r="D8727" t="s">
        <v>10577</v>
      </c>
      <c r="E8727" t="str">
        <f>"3679800131221"</f>
        <v>0</v>
      </c>
      <c r="F8727" t="str">
        <f>"001610"</f>
        <v>0</v>
      </c>
      <c r="G8727" t="s">
        <v>21</v>
      </c>
    </row>
    <row r="8728" spans="1:7">
      <c r="A8728">
        <v>8727</v>
      </c>
      <c r="B8728" t="str">
        <f>"005812"</f>
        <v>0</v>
      </c>
      <c r="C8728" t="s">
        <v>13430</v>
      </c>
      <c r="D8728" t="s">
        <v>13431</v>
      </c>
      <c r="E8728" t="str">
        <f>"3429900064888"</f>
        <v>0</v>
      </c>
      <c r="F8728" t="str">
        <f>"001610"</f>
        <v>0</v>
      </c>
      <c r="G8728" t="s">
        <v>21</v>
      </c>
    </row>
    <row r="8729" spans="1:7">
      <c r="A8729">
        <v>8728</v>
      </c>
      <c r="B8729" t="str">
        <f>"006092"</f>
        <v>0</v>
      </c>
      <c r="C8729" t="s">
        <v>7234</v>
      </c>
      <c r="D8729" t="s">
        <v>13432</v>
      </c>
      <c r="E8729" t="str">
        <f>"3420200191218"</f>
        <v>0</v>
      </c>
      <c r="F8729" t="str">
        <f>"001610"</f>
        <v>0</v>
      </c>
      <c r="G8729" t="s">
        <v>21</v>
      </c>
    </row>
    <row r="8730" spans="1:7">
      <c r="A8730">
        <v>8729</v>
      </c>
      <c r="B8730" t="str">
        <f>"006513"</f>
        <v>0</v>
      </c>
      <c r="C8730" t="s">
        <v>1406</v>
      </c>
      <c r="D8730" t="s">
        <v>13433</v>
      </c>
      <c r="E8730" t="str">
        <f>"3420100339795"</f>
        <v>0</v>
      </c>
      <c r="F8730" t="str">
        <f>"001610"</f>
        <v>0</v>
      </c>
      <c r="G8730" t="s">
        <v>21</v>
      </c>
    </row>
    <row r="8731" spans="1:7">
      <c r="A8731">
        <v>8730</v>
      </c>
      <c r="B8731" t="str">
        <f>"006936"</f>
        <v>0</v>
      </c>
      <c r="C8731" t="s">
        <v>13434</v>
      </c>
      <c r="D8731" t="s">
        <v>13435</v>
      </c>
      <c r="E8731" t="str">
        <f>"3670400502100"</f>
        <v>0</v>
      </c>
      <c r="F8731" t="str">
        <f>"001610"</f>
        <v>0</v>
      </c>
      <c r="G8731" t="s">
        <v>21</v>
      </c>
    </row>
    <row r="8732" spans="1:7">
      <c r="A8732">
        <v>8731</v>
      </c>
      <c r="B8732" t="str">
        <f>"008033"</f>
        <v>0</v>
      </c>
      <c r="C8732" t="s">
        <v>13436</v>
      </c>
      <c r="D8732" t="s">
        <v>13437</v>
      </c>
      <c r="E8732" t="str">
        <f>"3429900020562"</f>
        <v>0</v>
      </c>
      <c r="F8732" t="str">
        <f>"001610"</f>
        <v>0</v>
      </c>
      <c r="G8732" t="s">
        <v>21</v>
      </c>
    </row>
    <row r="8733" spans="1:7">
      <c r="A8733">
        <v>8732</v>
      </c>
      <c r="B8733" t="str">
        <f>"008162"</f>
        <v>0</v>
      </c>
      <c r="C8733" t="s">
        <v>2441</v>
      </c>
      <c r="D8733" t="s">
        <v>13438</v>
      </c>
      <c r="E8733" t="str">
        <f>"3420100314393"</f>
        <v>0</v>
      </c>
      <c r="F8733" t="str">
        <f>"001610"</f>
        <v>0</v>
      </c>
      <c r="G8733" t="s">
        <v>21</v>
      </c>
    </row>
    <row r="8734" spans="1:7">
      <c r="A8734">
        <v>8733</v>
      </c>
      <c r="B8734" t="str">
        <f>"008200"</f>
        <v>0</v>
      </c>
      <c r="C8734" t="s">
        <v>587</v>
      </c>
      <c r="D8734" t="s">
        <v>13439</v>
      </c>
      <c r="E8734" t="str">
        <f>"3570400001128"</f>
        <v>0</v>
      </c>
      <c r="F8734" t="str">
        <f>"001610"</f>
        <v>0</v>
      </c>
      <c r="G8734" t="s">
        <v>21</v>
      </c>
    </row>
    <row r="8735" spans="1:7">
      <c r="A8735">
        <v>8734</v>
      </c>
      <c r="B8735" t="str">
        <f>"008330"</f>
        <v>0</v>
      </c>
      <c r="C8735" t="s">
        <v>3407</v>
      </c>
      <c r="D8735" t="s">
        <v>13440</v>
      </c>
      <c r="E8735" t="str">
        <f>"3920100799252"</f>
        <v>0</v>
      </c>
      <c r="F8735" t="str">
        <f>"001610"</f>
        <v>0</v>
      </c>
      <c r="G8735" t="s">
        <v>21</v>
      </c>
    </row>
    <row r="8736" spans="1:7">
      <c r="A8736">
        <v>8735</v>
      </c>
      <c r="B8736" t="str">
        <f>"008331"</f>
        <v>0</v>
      </c>
      <c r="C8736" t="s">
        <v>13441</v>
      </c>
      <c r="D8736" t="s">
        <v>13442</v>
      </c>
      <c r="E8736" t="str">
        <f>"3310200369191"</f>
        <v>0</v>
      </c>
      <c r="F8736" t="str">
        <f>"001610"</f>
        <v>0</v>
      </c>
      <c r="G8736" t="s">
        <v>21</v>
      </c>
    </row>
    <row r="8737" spans="1:7">
      <c r="A8737">
        <v>8736</v>
      </c>
      <c r="B8737" t="str">
        <f>"009175"</f>
        <v>0</v>
      </c>
      <c r="C8737" t="s">
        <v>13443</v>
      </c>
      <c r="D8737" t="s">
        <v>13444</v>
      </c>
      <c r="E8737" t="str">
        <f>"3420300180803"</f>
        <v>0</v>
      </c>
      <c r="F8737" t="str">
        <f>"001610"</f>
        <v>0</v>
      </c>
      <c r="G8737" t="s">
        <v>21</v>
      </c>
    </row>
    <row r="8738" spans="1:7">
      <c r="A8738">
        <v>8737</v>
      </c>
      <c r="B8738" t="str">
        <f>"009261"</f>
        <v>0</v>
      </c>
      <c r="C8738" t="s">
        <v>13445</v>
      </c>
      <c r="D8738" t="s">
        <v>13446</v>
      </c>
      <c r="E8738" t="str">
        <f>"3460300382546"</f>
        <v>0</v>
      </c>
      <c r="F8738" t="str">
        <f>"001610"</f>
        <v>0</v>
      </c>
      <c r="G8738" t="s">
        <v>21</v>
      </c>
    </row>
    <row r="8739" spans="1:7">
      <c r="A8739">
        <v>8738</v>
      </c>
      <c r="B8739" t="str">
        <f>"009613"</f>
        <v>0</v>
      </c>
      <c r="C8739" t="s">
        <v>13447</v>
      </c>
      <c r="D8739" t="s">
        <v>13448</v>
      </c>
      <c r="E8739" t="str">
        <f>"3410500161411"</f>
        <v>0</v>
      </c>
      <c r="F8739" t="str">
        <f>"001610"</f>
        <v>0</v>
      </c>
      <c r="G8739" t="s">
        <v>21</v>
      </c>
    </row>
    <row r="8740" spans="1:7">
      <c r="A8740">
        <v>8739</v>
      </c>
      <c r="B8740" t="str">
        <f>"009641"</f>
        <v>0</v>
      </c>
      <c r="C8740" t="s">
        <v>1093</v>
      </c>
      <c r="D8740" t="s">
        <v>13449</v>
      </c>
      <c r="E8740" t="str">
        <f>"3420800189869"</f>
        <v>0</v>
      </c>
      <c r="F8740" t="str">
        <f>"001610"</f>
        <v>0</v>
      </c>
      <c r="G8740" t="s">
        <v>21</v>
      </c>
    </row>
    <row r="8741" spans="1:7">
      <c r="A8741">
        <v>8740</v>
      </c>
      <c r="B8741" t="str">
        <f>"009859"</f>
        <v>0</v>
      </c>
      <c r="C8741" t="s">
        <v>13450</v>
      </c>
      <c r="D8741" t="s">
        <v>13451</v>
      </c>
      <c r="E8741" t="str">
        <f>"3420901306445"</f>
        <v>0</v>
      </c>
      <c r="F8741" t="str">
        <f>"001610"</f>
        <v>0</v>
      </c>
      <c r="G8741" t="s">
        <v>21</v>
      </c>
    </row>
    <row r="8742" spans="1:7">
      <c r="A8742">
        <v>8741</v>
      </c>
      <c r="B8742" t="str">
        <f>"009923"</f>
        <v>0</v>
      </c>
      <c r="C8742" t="s">
        <v>13452</v>
      </c>
      <c r="D8742" t="s">
        <v>13453</v>
      </c>
      <c r="E8742" t="str">
        <f>"3411200126786"</f>
        <v>0</v>
      </c>
      <c r="F8742" t="str">
        <f>"001610"</f>
        <v>0</v>
      </c>
      <c r="G8742" t="s">
        <v>21</v>
      </c>
    </row>
    <row r="8743" spans="1:7">
      <c r="A8743">
        <v>8742</v>
      </c>
      <c r="B8743" t="str">
        <f>"009941"</f>
        <v>0</v>
      </c>
      <c r="C8743" t="s">
        <v>2607</v>
      </c>
      <c r="D8743" t="s">
        <v>13454</v>
      </c>
      <c r="E8743" t="str">
        <f>"3420800044330"</f>
        <v>0</v>
      </c>
      <c r="F8743" t="str">
        <f>"001610"</f>
        <v>0</v>
      </c>
      <c r="G8743" t="s">
        <v>21</v>
      </c>
    </row>
    <row r="8744" spans="1:7">
      <c r="A8744">
        <v>8743</v>
      </c>
      <c r="B8744" t="str">
        <f>"009956"</f>
        <v>0</v>
      </c>
      <c r="C8744" t="s">
        <v>5158</v>
      </c>
      <c r="D8744" t="s">
        <v>13455</v>
      </c>
      <c r="E8744" t="str">
        <f>"3420100212451"</f>
        <v>0</v>
      </c>
      <c r="F8744" t="str">
        <f>"001610"</f>
        <v>0</v>
      </c>
      <c r="G8744" t="s">
        <v>21</v>
      </c>
    </row>
    <row r="8745" spans="1:7">
      <c r="A8745">
        <v>8744</v>
      </c>
      <c r="B8745" t="str">
        <f>"010282"</f>
        <v>0</v>
      </c>
      <c r="C8745" t="s">
        <v>13456</v>
      </c>
      <c r="D8745" t="s">
        <v>13457</v>
      </c>
      <c r="E8745" t="str">
        <f>"3411200618182"</f>
        <v>0</v>
      </c>
      <c r="F8745" t="str">
        <f>"001610"</f>
        <v>0</v>
      </c>
      <c r="G8745" t="s">
        <v>21</v>
      </c>
    </row>
    <row r="8746" spans="1:7">
      <c r="A8746">
        <v>8745</v>
      </c>
      <c r="B8746" t="str">
        <f>"010330"</f>
        <v>0</v>
      </c>
      <c r="C8746" t="s">
        <v>555</v>
      </c>
      <c r="D8746" t="s">
        <v>13458</v>
      </c>
      <c r="E8746" t="str">
        <f>"3420100347810"</f>
        <v>0</v>
      </c>
      <c r="F8746" t="str">
        <f>"001610"</f>
        <v>0</v>
      </c>
      <c r="G8746" t="s">
        <v>21</v>
      </c>
    </row>
    <row r="8747" spans="1:7">
      <c r="A8747">
        <v>8746</v>
      </c>
      <c r="B8747" t="str">
        <f>"010684"</f>
        <v>0</v>
      </c>
      <c r="C8747" t="s">
        <v>13459</v>
      </c>
      <c r="D8747" t="s">
        <v>13460</v>
      </c>
      <c r="E8747" t="str">
        <f>"5420400016874"</f>
        <v>0</v>
      </c>
      <c r="F8747" t="str">
        <f>"001610"</f>
        <v>0</v>
      </c>
      <c r="G8747" t="s">
        <v>21</v>
      </c>
    </row>
    <row r="8748" spans="1:7">
      <c r="A8748">
        <v>8747</v>
      </c>
      <c r="B8748" t="str">
        <f>"010685"</f>
        <v>0</v>
      </c>
      <c r="C8748" t="s">
        <v>13461</v>
      </c>
      <c r="D8748" t="s">
        <v>13462</v>
      </c>
      <c r="E8748" t="str">
        <f>"3670500242924"</f>
        <v>0</v>
      </c>
      <c r="F8748" t="str">
        <f>"001610"</f>
        <v>0</v>
      </c>
      <c r="G8748" t="s">
        <v>21</v>
      </c>
    </row>
    <row r="8749" spans="1:7">
      <c r="A8749">
        <v>8748</v>
      </c>
      <c r="B8749" t="str">
        <f>"010687"</f>
        <v>0</v>
      </c>
      <c r="C8749" t="s">
        <v>13463</v>
      </c>
      <c r="D8749" t="s">
        <v>13464</v>
      </c>
      <c r="E8749" t="str">
        <f>"3420100040951"</f>
        <v>0</v>
      </c>
      <c r="F8749" t="str">
        <f>"001610"</f>
        <v>0</v>
      </c>
      <c r="G8749" t="s">
        <v>21</v>
      </c>
    </row>
    <row r="8750" spans="1:7">
      <c r="A8750">
        <v>8749</v>
      </c>
      <c r="B8750" t="str">
        <f>"011388"</f>
        <v>0</v>
      </c>
      <c r="C8750" t="s">
        <v>4039</v>
      </c>
      <c r="D8750" t="s">
        <v>13465</v>
      </c>
      <c r="E8750" t="str">
        <f>"3420500029670"</f>
        <v>0</v>
      </c>
      <c r="F8750" t="str">
        <f>"001610"</f>
        <v>0</v>
      </c>
      <c r="G8750" t="s">
        <v>21</v>
      </c>
    </row>
    <row r="8751" spans="1:7">
      <c r="A8751">
        <v>8750</v>
      </c>
      <c r="B8751" t="str">
        <f>"012242"</f>
        <v>0</v>
      </c>
      <c r="C8751" t="s">
        <v>2424</v>
      </c>
      <c r="D8751" t="s">
        <v>13466</v>
      </c>
      <c r="E8751" t="str">
        <f>"3640900054912"</f>
        <v>0</v>
      </c>
      <c r="F8751" t="str">
        <f>"001610"</f>
        <v>0</v>
      </c>
      <c r="G8751" t="s">
        <v>21</v>
      </c>
    </row>
    <row r="8752" spans="1:7">
      <c r="A8752">
        <v>8751</v>
      </c>
      <c r="B8752" t="str">
        <f>"012596"</f>
        <v>0</v>
      </c>
      <c r="C8752" t="s">
        <v>4251</v>
      </c>
      <c r="D8752" t="s">
        <v>13467</v>
      </c>
      <c r="E8752" t="str">
        <f>"3190500006354"</f>
        <v>0</v>
      </c>
      <c r="F8752" t="str">
        <f>"001610"</f>
        <v>0</v>
      </c>
      <c r="G8752" t="s">
        <v>21</v>
      </c>
    </row>
    <row r="8753" spans="1:7">
      <c r="A8753">
        <v>8752</v>
      </c>
      <c r="B8753" t="str">
        <f>"012597"</f>
        <v>0</v>
      </c>
      <c r="C8753" t="s">
        <v>13468</v>
      </c>
      <c r="D8753" t="s">
        <v>13469</v>
      </c>
      <c r="E8753" t="str">
        <f>"3420500029203"</f>
        <v>0</v>
      </c>
      <c r="F8753" t="str">
        <f>"001610"</f>
        <v>0</v>
      </c>
      <c r="G8753" t="s">
        <v>21</v>
      </c>
    </row>
    <row r="8754" spans="1:7">
      <c r="A8754">
        <v>8753</v>
      </c>
      <c r="B8754" t="str">
        <f>"012599"</f>
        <v>0</v>
      </c>
      <c r="C8754" t="s">
        <v>9442</v>
      </c>
      <c r="D8754" t="s">
        <v>13470</v>
      </c>
      <c r="E8754" t="str">
        <f>"3420901133524"</f>
        <v>0</v>
      </c>
      <c r="F8754" t="str">
        <f>"001610"</f>
        <v>0</v>
      </c>
      <c r="G8754" t="s">
        <v>21</v>
      </c>
    </row>
    <row r="8755" spans="1:7">
      <c r="A8755">
        <v>8754</v>
      </c>
      <c r="B8755" t="str">
        <f>"014093"</f>
        <v>0</v>
      </c>
      <c r="C8755" t="s">
        <v>13471</v>
      </c>
      <c r="D8755" t="s">
        <v>13472</v>
      </c>
      <c r="E8755" t="str">
        <f>"3420900990059"</f>
        <v>0</v>
      </c>
      <c r="F8755" t="str">
        <f>"001610"</f>
        <v>0</v>
      </c>
      <c r="G8755" t="s">
        <v>21</v>
      </c>
    </row>
    <row r="8756" spans="1:7">
      <c r="A8756">
        <v>8755</v>
      </c>
      <c r="B8756" t="str">
        <f>"014094"</f>
        <v>0</v>
      </c>
      <c r="C8756" t="s">
        <v>13473</v>
      </c>
      <c r="D8756" t="s">
        <v>13474</v>
      </c>
      <c r="E8756" t="str">
        <f>"3679900028332"</f>
        <v>0</v>
      </c>
      <c r="F8756" t="str">
        <f>"001610"</f>
        <v>0</v>
      </c>
      <c r="G8756" t="s">
        <v>21</v>
      </c>
    </row>
    <row r="8757" spans="1:7">
      <c r="A8757">
        <v>8756</v>
      </c>
      <c r="B8757" t="str">
        <f>"015931"</f>
        <v>0</v>
      </c>
      <c r="C8757" t="s">
        <v>1880</v>
      </c>
      <c r="D8757" t="s">
        <v>170</v>
      </c>
      <c r="E8757" t="str">
        <f>"3420900242753"</f>
        <v>0</v>
      </c>
      <c r="F8757" t="str">
        <f>"001610"</f>
        <v>0</v>
      </c>
      <c r="G8757" t="s">
        <v>21</v>
      </c>
    </row>
    <row r="8758" spans="1:7">
      <c r="A8758">
        <v>8757</v>
      </c>
      <c r="B8758" t="str">
        <f>"016744"</f>
        <v>0</v>
      </c>
      <c r="C8758" t="s">
        <v>13475</v>
      </c>
      <c r="D8758" t="s">
        <v>13476</v>
      </c>
      <c r="E8758" t="str">
        <f>"3420901136663"</f>
        <v>0</v>
      </c>
      <c r="F8758" t="str">
        <f>"001610"</f>
        <v>0</v>
      </c>
      <c r="G8758" t="s">
        <v>21</v>
      </c>
    </row>
    <row r="8759" spans="1:7">
      <c r="A8759">
        <v>8758</v>
      </c>
      <c r="B8759" t="str">
        <f>"016998"</f>
        <v>0</v>
      </c>
      <c r="C8759" t="s">
        <v>3620</v>
      </c>
      <c r="D8759" t="s">
        <v>13477</v>
      </c>
      <c r="E8759" t="str">
        <f>"3420100393579"</f>
        <v>0</v>
      </c>
      <c r="F8759" t="str">
        <f>"001610"</f>
        <v>0</v>
      </c>
      <c r="G8759" t="s">
        <v>21</v>
      </c>
    </row>
    <row r="8760" spans="1:7">
      <c r="A8760">
        <v>8759</v>
      </c>
      <c r="B8760" t="str">
        <f>"017780"</f>
        <v>0</v>
      </c>
      <c r="C8760" t="s">
        <v>520</v>
      </c>
      <c r="D8760" t="s">
        <v>13478</v>
      </c>
      <c r="E8760" t="str">
        <f>"3420100314016"</f>
        <v>0</v>
      </c>
      <c r="F8760" t="str">
        <f>"001610"</f>
        <v>0</v>
      </c>
      <c r="G8760" t="s">
        <v>21</v>
      </c>
    </row>
    <row r="8761" spans="1:7">
      <c r="A8761">
        <v>8760</v>
      </c>
      <c r="B8761" t="str">
        <f>"017804"</f>
        <v>0</v>
      </c>
      <c r="C8761" t="s">
        <v>13479</v>
      </c>
      <c r="D8761" t="s">
        <v>13480</v>
      </c>
      <c r="E8761" t="str">
        <f>"5420990013682"</f>
        <v>0</v>
      </c>
      <c r="F8761" t="str">
        <f>"001610"</f>
        <v>0</v>
      </c>
      <c r="G8761" t="s">
        <v>21</v>
      </c>
    </row>
    <row r="8762" spans="1:7">
      <c r="A8762">
        <v>8761</v>
      </c>
      <c r="B8762" t="str">
        <f>"018324"</f>
        <v>0</v>
      </c>
      <c r="C8762" t="s">
        <v>13481</v>
      </c>
      <c r="D8762" t="s">
        <v>13482</v>
      </c>
      <c r="E8762" t="str">
        <f>"3330800408936"</f>
        <v>0</v>
      </c>
      <c r="F8762" t="str">
        <f>"001610"</f>
        <v>0</v>
      </c>
      <c r="G8762" t="s">
        <v>21</v>
      </c>
    </row>
    <row r="8763" spans="1:7">
      <c r="A8763">
        <v>8762</v>
      </c>
      <c r="B8763" t="str">
        <f>"020347"</f>
        <v>0</v>
      </c>
      <c r="C8763" t="s">
        <v>13483</v>
      </c>
      <c r="D8763" t="s">
        <v>13426</v>
      </c>
      <c r="E8763" t="str">
        <f>"3420300239077"</f>
        <v>0</v>
      </c>
      <c r="F8763" t="str">
        <f>"001610"</f>
        <v>0</v>
      </c>
      <c r="G8763" t="s">
        <v>21</v>
      </c>
    </row>
    <row r="8764" spans="1:7">
      <c r="A8764">
        <v>8763</v>
      </c>
      <c r="B8764" t="str">
        <f>"020469"</f>
        <v>0</v>
      </c>
      <c r="C8764" t="s">
        <v>8088</v>
      </c>
      <c r="D8764" t="s">
        <v>13433</v>
      </c>
      <c r="E8764" t="str">
        <f>"3440800049081"</f>
        <v>0</v>
      </c>
      <c r="F8764" t="str">
        <f>"001610"</f>
        <v>0</v>
      </c>
      <c r="G8764" t="s">
        <v>21</v>
      </c>
    </row>
    <row r="8765" spans="1:7">
      <c r="A8765">
        <v>8764</v>
      </c>
      <c r="B8765" t="str">
        <f>"020733"</f>
        <v>0</v>
      </c>
      <c r="C8765" t="s">
        <v>6683</v>
      </c>
      <c r="D8765" t="s">
        <v>13484</v>
      </c>
      <c r="E8765" t="str">
        <f>"3429900157991"</f>
        <v>0</v>
      </c>
      <c r="F8765" t="str">
        <f>"001610"</f>
        <v>0</v>
      </c>
      <c r="G8765" t="s">
        <v>21</v>
      </c>
    </row>
    <row r="8766" spans="1:7">
      <c r="A8766">
        <v>8765</v>
      </c>
      <c r="B8766" t="str">
        <f>"022002"</f>
        <v>0</v>
      </c>
      <c r="C8766" t="s">
        <v>13485</v>
      </c>
      <c r="D8766" t="s">
        <v>13486</v>
      </c>
      <c r="E8766" t="str">
        <f>"3429900136471"</f>
        <v>0</v>
      </c>
      <c r="F8766" t="str">
        <f>"001610"</f>
        <v>0</v>
      </c>
      <c r="G8766" t="s">
        <v>21</v>
      </c>
    </row>
    <row r="8767" spans="1:7">
      <c r="A8767">
        <v>8766</v>
      </c>
      <c r="B8767" t="str">
        <f>"022871"</f>
        <v>0</v>
      </c>
      <c r="C8767" t="s">
        <v>13487</v>
      </c>
      <c r="D8767" t="s">
        <v>13488</v>
      </c>
      <c r="E8767" t="str">
        <f>"3420900622688"</f>
        <v>0</v>
      </c>
      <c r="F8767" t="str">
        <f>"001610"</f>
        <v>0</v>
      </c>
      <c r="G8767" t="s">
        <v>21</v>
      </c>
    </row>
    <row r="8768" spans="1:7">
      <c r="A8768">
        <v>8767</v>
      </c>
      <c r="B8768" t="str">
        <f>"024694"</f>
        <v>0</v>
      </c>
      <c r="C8768" t="s">
        <v>13489</v>
      </c>
      <c r="D8768" t="s">
        <v>13490</v>
      </c>
      <c r="E8768" t="str">
        <f>"3429900091761"</f>
        <v>0</v>
      </c>
      <c r="F8768" t="str">
        <f>"001610"</f>
        <v>0</v>
      </c>
      <c r="G8768" t="s">
        <v>21</v>
      </c>
    </row>
    <row r="8769" spans="1:7">
      <c r="A8769">
        <v>8768</v>
      </c>
      <c r="B8769" t="str">
        <f>"013469"</f>
        <v>0</v>
      </c>
      <c r="C8769" t="s">
        <v>13491</v>
      </c>
      <c r="D8769" t="s">
        <v>13492</v>
      </c>
      <c r="E8769" t="str">
        <f>"3420100263071"</f>
        <v>0</v>
      </c>
      <c r="F8769" t="str">
        <f>"001610"</f>
        <v>0</v>
      </c>
      <c r="G8769" t="s">
        <v>21</v>
      </c>
    </row>
    <row r="8770" spans="1:7">
      <c r="A8770">
        <v>8769</v>
      </c>
      <c r="B8770" t="str">
        <f>"019585"</f>
        <v>0</v>
      </c>
      <c r="C8770" t="s">
        <v>13493</v>
      </c>
      <c r="D8770" t="s">
        <v>13494</v>
      </c>
      <c r="E8770" t="str">
        <f>"3420900696398"</f>
        <v>0</v>
      </c>
      <c r="F8770" t="str">
        <f>"001610"</f>
        <v>0</v>
      </c>
      <c r="G8770" t="s">
        <v>21</v>
      </c>
    </row>
    <row r="8771" spans="1:7">
      <c r="A8771">
        <v>8770</v>
      </c>
      <c r="B8771" t="str">
        <f>"026445"</f>
        <v>0</v>
      </c>
      <c r="C8771" t="s">
        <v>973</v>
      </c>
      <c r="D8771" t="s">
        <v>13495</v>
      </c>
      <c r="E8771" t="str">
        <f>"1421000127545"</f>
        <v>0</v>
      </c>
      <c r="F8771" t="str">
        <f>"001610"</f>
        <v>0</v>
      </c>
      <c r="G8771" t="s">
        <v>21</v>
      </c>
    </row>
    <row r="8772" spans="1:7">
      <c r="A8772">
        <v>8771</v>
      </c>
      <c r="B8772" t="str">
        <f>"014407"</f>
        <v>0</v>
      </c>
      <c r="C8772" t="s">
        <v>10272</v>
      </c>
      <c r="D8772" t="s">
        <v>13496</v>
      </c>
      <c r="E8772" t="str">
        <f>"3429900199023"</f>
        <v>0</v>
      </c>
      <c r="F8772" t="str">
        <f>"001610"</f>
        <v>0</v>
      </c>
      <c r="G8772" t="s">
        <v>21</v>
      </c>
    </row>
    <row r="8773" spans="1:7">
      <c r="A8773">
        <v>8772</v>
      </c>
      <c r="B8773" t="str">
        <f>"026797"</f>
        <v>0</v>
      </c>
      <c r="C8773" t="s">
        <v>13497</v>
      </c>
      <c r="D8773" t="s">
        <v>13498</v>
      </c>
      <c r="E8773" t="str">
        <f>"1101401809194"</f>
        <v>0</v>
      </c>
      <c r="F8773" t="str">
        <f>"001610"</f>
        <v>0</v>
      </c>
      <c r="G8773" t="s">
        <v>21</v>
      </c>
    </row>
    <row r="8774" spans="1:7">
      <c r="A8774">
        <v>8773</v>
      </c>
      <c r="B8774" t="str">
        <f>"026408"</f>
        <v>0</v>
      </c>
      <c r="C8774" t="s">
        <v>13499</v>
      </c>
      <c r="D8774" t="s">
        <v>13500</v>
      </c>
      <c r="E8774" t="str">
        <f>"1100200708586"</f>
        <v>0</v>
      </c>
      <c r="F8774" t="str">
        <f>"001610"</f>
        <v>0</v>
      </c>
      <c r="G8774" t="s">
        <v>21</v>
      </c>
    </row>
    <row r="8775" spans="1:7">
      <c r="A8775">
        <v>8774</v>
      </c>
      <c r="B8775" t="str">
        <f>"025956"</f>
        <v>0</v>
      </c>
      <c r="C8775" t="s">
        <v>13501</v>
      </c>
      <c r="D8775" t="s">
        <v>13502</v>
      </c>
      <c r="E8775" t="str">
        <f>"3959800072302"</f>
        <v>0</v>
      </c>
      <c r="F8775" t="str">
        <f>"001610"</f>
        <v>0</v>
      </c>
      <c r="G8775" t="s">
        <v>21</v>
      </c>
    </row>
    <row r="8776" spans="1:7">
      <c r="A8776">
        <v>8775</v>
      </c>
      <c r="B8776" t="str">
        <f>"022527"</f>
        <v>0</v>
      </c>
      <c r="C8776" t="s">
        <v>13503</v>
      </c>
      <c r="D8776" t="s">
        <v>13504</v>
      </c>
      <c r="E8776" t="str">
        <f>"3331000749233"</f>
        <v>0</v>
      </c>
      <c r="F8776" t="str">
        <f>"001610"</f>
        <v>0</v>
      </c>
      <c r="G8776" t="s">
        <v>21</v>
      </c>
    </row>
    <row r="8777" spans="1:7">
      <c r="A8777">
        <v>8776</v>
      </c>
      <c r="B8777" t="str">
        <f>"027004"</f>
        <v>0</v>
      </c>
      <c r="C8777" t="s">
        <v>5473</v>
      </c>
      <c r="D8777" t="s">
        <v>13505</v>
      </c>
      <c r="E8777" t="str">
        <f>"3340700005228"</f>
        <v>0</v>
      </c>
      <c r="F8777" t="str">
        <f>"001610"</f>
        <v>0</v>
      </c>
      <c r="G8777" t="s">
        <v>21</v>
      </c>
    </row>
    <row r="8778" spans="1:7">
      <c r="A8778">
        <v>8777</v>
      </c>
      <c r="B8778" t="str">
        <f>"024404"</f>
        <v>0</v>
      </c>
      <c r="C8778" t="s">
        <v>13506</v>
      </c>
      <c r="D8778" t="s">
        <v>13507</v>
      </c>
      <c r="E8778" t="str">
        <f>"3360400161283"</f>
        <v>0</v>
      </c>
      <c r="F8778" t="str">
        <f>"001610"</f>
        <v>0</v>
      </c>
      <c r="G8778" t="s">
        <v>21</v>
      </c>
    </row>
    <row r="8779" spans="1:7">
      <c r="A8779">
        <v>8778</v>
      </c>
      <c r="B8779" t="str">
        <f>"025325"</f>
        <v>0</v>
      </c>
      <c r="C8779" t="s">
        <v>13508</v>
      </c>
      <c r="D8779" t="s">
        <v>13509</v>
      </c>
      <c r="E8779" t="str">
        <f>"3411400765553"</f>
        <v>0</v>
      </c>
      <c r="F8779" t="str">
        <f>"001610"</f>
        <v>0</v>
      </c>
      <c r="G8779" t="s">
        <v>21</v>
      </c>
    </row>
    <row r="8780" spans="1:7">
      <c r="A8780">
        <v>8779</v>
      </c>
      <c r="B8780" t="str">
        <f>"021788"</f>
        <v>0</v>
      </c>
      <c r="C8780" t="s">
        <v>13510</v>
      </c>
      <c r="D8780" t="s">
        <v>13511</v>
      </c>
      <c r="E8780" t="str">
        <f>"3401600120718"</f>
        <v>0</v>
      </c>
      <c r="F8780" t="str">
        <f>"001610"</f>
        <v>0</v>
      </c>
      <c r="G8780" t="s">
        <v>21</v>
      </c>
    </row>
    <row r="8781" spans="1:7">
      <c r="A8781">
        <v>8780</v>
      </c>
      <c r="B8781" t="str">
        <f>"022055"</f>
        <v>0</v>
      </c>
      <c r="C8781" t="s">
        <v>1196</v>
      </c>
      <c r="D8781" t="s">
        <v>13512</v>
      </c>
      <c r="E8781" t="str">
        <f>"1450600083092"</f>
        <v>0</v>
      </c>
      <c r="F8781" t="str">
        <f>"001610"</f>
        <v>0</v>
      </c>
      <c r="G8781" t="s">
        <v>21</v>
      </c>
    </row>
    <row r="8782" spans="1:7">
      <c r="A8782">
        <v>8781</v>
      </c>
      <c r="B8782" t="str">
        <f>"026864"</f>
        <v>0</v>
      </c>
      <c r="C8782" t="s">
        <v>13513</v>
      </c>
      <c r="D8782" t="s">
        <v>13514</v>
      </c>
      <c r="E8782" t="str">
        <f>"1409900339767"</f>
        <v>0</v>
      </c>
      <c r="F8782" t="str">
        <f>"001610"</f>
        <v>0</v>
      </c>
      <c r="G8782" t="s">
        <v>21</v>
      </c>
    </row>
    <row r="8783" spans="1:7">
      <c r="A8783">
        <v>8782</v>
      </c>
      <c r="B8783" t="str">
        <f>"024397"</f>
        <v>0</v>
      </c>
      <c r="C8783" t="s">
        <v>13515</v>
      </c>
      <c r="D8783" t="s">
        <v>13516</v>
      </c>
      <c r="E8783" t="str">
        <f>"5412200001671"</f>
        <v>0</v>
      </c>
      <c r="F8783" t="str">
        <f>"001610"</f>
        <v>0</v>
      </c>
      <c r="G8783" t="s">
        <v>21</v>
      </c>
    </row>
    <row r="8784" spans="1:7">
      <c r="A8784">
        <v>8783</v>
      </c>
      <c r="B8784" t="str">
        <f>"008334"</f>
        <v>0</v>
      </c>
      <c r="C8784" t="s">
        <v>13517</v>
      </c>
      <c r="D8784" t="s">
        <v>9978</v>
      </c>
      <c r="E8784" t="str">
        <f>"3429900192801"</f>
        <v>0</v>
      </c>
      <c r="F8784" t="str">
        <f>"001610"</f>
        <v>0</v>
      </c>
      <c r="G8784" t="s">
        <v>21</v>
      </c>
    </row>
    <row r="8785" spans="1:7">
      <c r="A8785">
        <v>8784</v>
      </c>
      <c r="B8785" t="str">
        <f>"010112"</f>
        <v>0</v>
      </c>
      <c r="C8785" t="s">
        <v>1162</v>
      </c>
      <c r="D8785" t="s">
        <v>13518</v>
      </c>
      <c r="E8785" t="str">
        <f>"3400500535761"</f>
        <v>0</v>
      </c>
      <c r="F8785" t="str">
        <f>"001610"</f>
        <v>0</v>
      </c>
      <c r="G8785" t="s">
        <v>21</v>
      </c>
    </row>
    <row r="8786" spans="1:7">
      <c r="A8786">
        <v>8785</v>
      </c>
      <c r="B8786" t="str">
        <f>"010697"</f>
        <v>0</v>
      </c>
      <c r="C8786" t="s">
        <v>6538</v>
      </c>
      <c r="D8786" t="s">
        <v>13455</v>
      </c>
      <c r="E8786" t="str">
        <f>"3420100763261"</f>
        <v>0</v>
      </c>
      <c r="F8786" t="str">
        <f>"001610"</f>
        <v>0</v>
      </c>
      <c r="G8786" t="s">
        <v>21</v>
      </c>
    </row>
    <row r="8787" spans="1:7">
      <c r="A8787">
        <v>8786</v>
      </c>
      <c r="B8787" t="str">
        <f>"011101"</f>
        <v>0</v>
      </c>
      <c r="C8787" t="s">
        <v>130</v>
      </c>
      <c r="D8787" t="s">
        <v>13519</v>
      </c>
      <c r="E8787" t="str">
        <f>"3331000302905"</f>
        <v>0</v>
      </c>
      <c r="F8787" t="str">
        <f>"001610"</f>
        <v>0</v>
      </c>
      <c r="G8787" t="s">
        <v>21</v>
      </c>
    </row>
    <row r="8788" spans="1:7">
      <c r="A8788">
        <v>8787</v>
      </c>
      <c r="B8788" t="str">
        <f>"012070"</f>
        <v>0</v>
      </c>
      <c r="C8788" t="s">
        <v>13520</v>
      </c>
      <c r="D8788" t="s">
        <v>13521</v>
      </c>
      <c r="E8788" t="str">
        <f>"3429900023529"</f>
        <v>0</v>
      </c>
      <c r="F8788" t="str">
        <f>"001610"</f>
        <v>0</v>
      </c>
      <c r="G8788" t="s">
        <v>21</v>
      </c>
    </row>
    <row r="8789" spans="1:7">
      <c r="A8789">
        <v>8788</v>
      </c>
      <c r="B8789" t="str">
        <f>"012293"</f>
        <v>0</v>
      </c>
      <c r="C8789" t="s">
        <v>905</v>
      </c>
      <c r="D8789" t="s">
        <v>13467</v>
      </c>
      <c r="E8789" t="str">
        <f>"3420900974959"</f>
        <v>0</v>
      </c>
      <c r="F8789" t="str">
        <f>"001610"</f>
        <v>0</v>
      </c>
      <c r="G8789" t="s">
        <v>21</v>
      </c>
    </row>
    <row r="8790" spans="1:7">
      <c r="A8790">
        <v>8789</v>
      </c>
      <c r="B8790" t="str">
        <f>"012600"</f>
        <v>0</v>
      </c>
      <c r="C8790" t="s">
        <v>655</v>
      </c>
      <c r="D8790" t="s">
        <v>13522</v>
      </c>
      <c r="E8790" t="str">
        <f>"3420100247114"</f>
        <v>0</v>
      </c>
      <c r="F8790" t="str">
        <f>"001610"</f>
        <v>0</v>
      </c>
      <c r="G8790" t="s">
        <v>21</v>
      </c>
    </row>
    <row r="8791" spans="1:7">
      <c r="A8791">
        <v>8790</v>
      </c>
      <c r="B8791" t="str">
        <f>"013506"</f>
        <v>0</v>
      </c>
      <c r="C8791" t="s">
        <v>148</v>
      </c>
      <c r="D8791" t="s">
        <v>13523</v>
      </c>
      <c r="E8791" t="str">
        <f>"3639800141579"</f>
        <v>0</v>
      </c>
      <c r="F8791" t="str">
        <f>"001610"</f>
        <v>0</v>
      </c>
      <c r="G8791" t="s">
        <v>21</v>
      </c>
    </row>
    <row r="8792" spans="1:7">
      <c r="A8792">
        <v>8791</v>
      </c>
      <c r="B8792" t="str">
        <f>"013545"</f>
        <v>0</v>
      </c>
      <c r="C8792" t="s">
        <v>2262</v>
      </c>
      <c r="D8792" t="s">
        <v>13524</v>
      </c>
      <c r="E8792" t="str">
        <f>"3540700281266"</f>
        <v>0</v>
      </c>
      <c r="F8792" t="str">
        <f>"001610"</f>
        <v>0</v>
      </c>
      <c r="G8792" t="s">
        <v>21</v>
      </c>
    </row>
    <row r="8793" spans="1:7">
      <c r="A8793">
        <v>8792</v>
      </c>
      <c r="B8793" t="str">
        <f>"013886"</f>
        <v>0</v>
      </c>
      <c r="C8793" t="s">
        <v>13525</v>
      </c>
      <c r="D8793" t="s">
        <v>13526</v>
      </c>
      <c r="E8793" t="str">
        <f>"3420100436324"</f>
        <v>0</v>
      </c>
      <c r="F8793" t="str">
        <f>"001610"</f>
        <v>0</v>
      </c>
      <c r="G8793" t="s">
        <v>21</v>
      </c>
    </row>
    <row r="8794" spans="1:7">
      <c r="A8794">
        <v>8793</v>
      </c>
      <c r="B8794" t="str">
        <f>"013987"</f>
        <v>0</v>
      </c>
      <c r="C8794" t="s">
        <v>13527</v>
      </c>
      <c r="D8794" t="s">
        <v>13528</v>
      </c>
      <c r="E8794" t="str">
        <f>"3420100274545"</f>
        <v>0</v>
      </c>
      <c r="F8794" t="str">
        <f>"001610"</f>
        <v>0</v>
      </c>
      <c r="G8794" t="s">
        <v>21</v>
      </c>
    </row>
    <row r="8795" spans="1:7">
      <c r="A8795">
        <v>8794</v>
      </c>
      <c r="B8795" t="str">
        <f>"014858"</f>
        <v>0</v>
      </c>
      <c r="C8795" t="s">
        <v>13529</v>
      </c>
      <c r="D8795" t="s">
        <v>2924</v>
      </c>
      <c r="E8795" t="str">
        <f>"3420100493816"</f>
        <v>0</v>
      </c>
      <c r="F8795" t="str">
        <f>"001610"</f>
        <v>0</v>
      </c>
      <c r="G8795" t="s">
        <v>21</v>
      </c>
    </row>
    <row r="8796" spans="1:7">
      <c r="A8796">
        <v>8795</v>
      </c>
      <c r="B8796" t="str">
        <f>"015303"</f>
        <v>0</v>
      </c>
      <c r="C8796" t="s">
        <v>13530</v>
      </c>
      <c r="D8796" t="s">
        <v>13531</v>
      </c>
      <c r="E8796" t="str">
        <f>"3800400361458"</f>
        <v>0</v>
      </c>
      <c r="F8796" t="str">
        <f>"001610"</f>
        <v>0</v>
      </c>
      <c r="G8796" t="s">
        <v>21</v>
      </c>
    </row>
    <row r="8797" spans="1:7">
      <c r="A8797">
        <v>8796</v>
      </c>
      <c r="B8797" t="str">
        <f>"015328"</f>
        <v>0</v>
      </c>
      <c r="C8797" t="s">
        <v>1003</v>
      </c>
      <c r="D8797" t="s">
        <v>13532</v>
      </c>
      <c r="E8797" t="str">
        <f>"3510100222617"</f>
        <v>0</v>
      </c>
      <c r="F8797" t="str">
        <f>"001610"</f>
        <v>0</v>
      </c>
      <c r="G8797" t="s">
        <v>21</v>
      </c>
    </row>
    <row r="8798" spans="1:7">
      <c r="A8798">
        <v>8797</v>
      </c>
      <c r="B8798" t="str">
        <f>"016315"</f>
        <v>0</v>
      </c>
      <c r="C8798" t="s">
        <v>8384</v>
      </c>
      <c r="D8798" t="s">
        <v>13533</v>
      </c>
      <c r="E8798" t="str">
        <f>"3420100737103"</f>
        <v>0</v>
      </c>
      <c r="F8798" t="str">
        <f>"001610"</f>
        <v>0</v>
      </c>
      <c r="G8798" t="s">
        <v>21</v>
      </c>
    </row>
    <row r="8799" spans="1:7">
      <c r="A8799">
        <v>8798</v>
      </c>
      <c r="B8799" t="str">
        <f>"016434"</f>
        <v>0</v>
      </c>
      <c r="C8799" t="s">
        <v>6184</v>
      </c>
      <c r="D8799" t="s">
        <v>13534</v>
      </c>
      <c r="E8799" t="str">
        <f>"3520200172883"</f>
        <v>0</v>
      </c>
      <c r="F8799" t="str">
        <f>"001610"</f>
        <v>0</v>
      </c>
      <c r="G8799" t="s">
        <v>21</v>
      </c>
    </row>
    <row r="8800" spans="1:7">
      <c r="A8800">
        <v>8799</v>
      </c>
      <c r="B8800" t="str">
        <f>"016602"</f>
        <v>0</v>
      </c>
      <c r="C8800" t="s">
        <v>2824</v>
      </c>
      <c r="D8800" t="s">
        <v>13535</v>
      </c>
      <c r="E8800" t="str">
        <f>"3100700838981"</f>
        <v>0</v>
      </c>
      <c r="F8800" t="str">
        <f>"001610"</f>
        <v>0</v>
      </c>
      <c r="G8800" t="s">
        <v>21</v>
      </c>
    </row>
    <row r="8801" spans="1:7">
      <c r="A8801">
        <v>8800</v>
      </c>
      <c r="B8801" t="str">
        <f>"016999"</f>
        <v>0</v>
      </c>
      <c r="C8801" t="s">
        <v>13536</v>
      </c>
      <c r="D8801" t="s">
        <v>13537</v>
      </c>
      <c r="E8801" t="str">
        <f>"3420900629429"</f>
        <v>0</v>
      </c>
      <c r="F8801" t="str">
        <f>"001610"</f>
        <v>0</v>
      </c>
      <c r="G8801" t="s">
        <v>21</v>
      </c>
    </row>
    <row r="8802" spans="1:7">
      <c r="A8802">
        <v>8801</v>
      </c>
      <c r="B8802" t="str">
        <f>"017131"</f>
        <v>0</v>
      </c>
      <c r="C8802" t="s">
        <v>13538</v>
      </c>
      <c r="D8802" t="s">
        <v>13539</v>
      </c>
      <c r="E8802" t="str">
        <f>"3429900156642"</f>
        <v>0</v>
      </c>
      <c r="F8802" t="str">
        <f>"001610"</f>
        <v>0</v>
      </c>
      <c r="G8802" t="s">
        <v>21</v>
      </c>
    </row>
    <row r="8803" spans="1:7">
      <c r="A8803">
        <v>8802</v>
      </c>
      <c r="B8803" t="str">
        <f>"018138"</f>
        <v>0</v>
      </c>
      <c r="C8803" t="s">
        <v>4781</v>
      </c>
      <c r="D8803" t="s">
        <v>13540</v>
      </c>
      <c r="E8803" t="str">
        <f>"3420800141416"</f>
        <v>0</v>
      </c>
      <c r="F8803" t="str">
        <f>"001610"</f>
        <v>0</v>
      </c>
      <c r="G8803" t="s">
        <v>21</v>
      </c>
    </row>
    <row r="8804" spans="1:7">
      <c r="A8804">
        <v>8803</v>
      </c>
      <c r="B8804" t="str">
        <f>"018139"</f>
        <v>0</v>
      </c>
      <c r="C8804" t="s">
        <v>13541</v>
      </c>
      <c r="D8804" t="s">
        <v>13542</v>
      </c>
      <c r="E8804" t="str">
        <f>"3429900048661"</f>
        <v>0</v>
      </c>
      <c r="F8804" t="str">
        <f>"001610"</f>
        <v>0</v>
      </c>
      <c r="G8804" t="s">
        <v>21</v>
      </c>
    </row>
    <row r="8805" spans="1:7">
      <c r="A8805">
        <v>8804</v>
      </c>
      <c r="B8805" t="str">
        <f>"018452"</f>
        <v>0</v>
      </c>
      <c r="C8805" t="s">
        <v>13543</v>
      </c>
      <c r="D8805" t="s">
        <v>13544</v>
      </c>
      <c r="E8805" t="str">
        <f>"3421000367828"</f>
        <v>0</v>
      </c>
      <c r="F8805" t="str">
        <f>"001610"</f>
        <v>0</v>
      </c>
      <c r="G8805" t="s">
        <v>21</v>
      </c>
    </row>
    <row r="8806" spans="1:7">
      <c r="A8806">
        <v>8805</v>
      </c>
      <c r="B8806" t="str">
        <f>"018701"</f>
        <v>0</v>
      </c>
      <c r="C8806" t="s">
        <v>10114</v>
      </c>
      <c r="D8806" t="s">
        <v>13545</v>
      </c>
      <c r="E8806" t="str">
        <f>"3420700002856"</f>
        <v>0</v>
      </c>
      <c r="F8806" t="str">
        <f>"001610"</f>
        <v>0</v>
      </c>
      <c r="G8806" t="s">
        <v>21</v>
      </c>
    </row>
    <row r="8807" spans="1:7">
      <c r="A8807">
        <v>8806</v>
      </c>
      <c r="B8807" t="str">
        <f>"019630"</f>
        <v>0</v>
      </c>
      <c r="C8807" t="s">
        <v>13546</v>
      </c>
      <c r="D8807" t="s">
        <v>13547</v>
      </c>
      <c r="E8807" t="str">
        <f>"3420100525076"</f>
        <v>0</v>
      </c>
      <c r="F8807" t="str">
        <f>"001610"</f>
        <v>0</v>
      </c>
      <c r="G8807" t="s">
        <v>21</v>
      </c>
    </row>
    <row r="8808" spans="1:7">
      <c r="A8808">
        <v>8807</v>
      </c>
      <c r="B8808" t="str">
        <f>"019769"</f>
        <v>0</v>
      </c>
      <c r="C8808" t="s">
        <v>13548</v>
      </c>
      <c r="D8808" t="s">
        <v>13549</v>
      </c>
      <c r="E8808" t="str">
        <f>"3420100643265"</f>
        <v>0</v>
      </c>
      <c r="F8808" t="str">
        <f>"001610"</f>
        <v>0</v>
      </c>
      <c r="G8808" t="s">
        <v>21</v>
      </c>
    </row>
    <row r="8809" spans="1:7">
      <c r="A8809">
        <v>8808</v>
      </c>
      <c r="B8809" t="str">
        <f>"020010"</f>
        <v>0</v>
      </c>
      <c r="C8809" t="s">
        <v>13550</v>
      </c>
      <c r="D8809" t="s">
        <v>13477</v>
      </c>
      <c r="E8809" t="str">
        <f>"3420100213830"</f>
        <v>0</v>
      </c>
      <c r="F8809" t="str">
        <f>"001610"</f>
        <v>0</v>
      </c>
      <c r="G8809" t="s">
        <v>21</v>
      </c>
    </row>
    <row r="8810" spans="1:7">
      <c r="A8810">
        <v>8809</v>
      </c>
      <c r="B8810" t="str">
        <f>"020496"</f>
        <v>0</v>
      </c>
      <c r="C8810" t="s">
        <v>13551</v>
      </c>
      <c r="D8810" t="s">
        <v>13552</v>
      </c>
      <c r="E8810" t="str">
        <f>"3410102410900"</f>
        <v>0</v>
      </c>
      <c r="F8810" t="str">
        <f>"001610"</f>
        <v>0</v>
      </c>
      <c r="G8810" t="s">
        <v>21</v>
      </c>
    </row>
    <row r="8811" spans="1:7">
      <c r="A8811">
        <v>8810</v>
      </c>
      <c r="B8811" t="str">
        <f>"020531"</f>
        <v>0</v>
      </c>
      <c r="C8811" t="s">
        <v>13553</v>
      </c>
      <c r="D8811" t="s">
        <v>13554</v>
      </c>
      <c r="E8811" t="str">
        <f>"3420800168039"</f>
        <v>0</v>
      </c>
      <c r="F8811" t="str">
        <f>"001610"</f>
        <v>0</v>
      </c>
      <c r="G8811" t="s">
        <v>21</v>
      </c>
    </row>
    <row r="8812" spans="1:7">
      <c r="A8812">
        <v>8811</v>
      </c>
      <c r="B8812" t="str">
        <f>"020589"</f>
        <v>0</v>
      </c>
      <c r="C8812" t="s">
        <v>3331</v>
      </c>
      <c r="D8812" t="s">
        <v>13555</v>
      </c>
      <c r="E8812" t="str">
        <f>"3420100303791"</f>
        <v>0</v>
      </c>
      <c r="F8812" t="str">
        <f>"001610"</f>
        <v>0</v>
      </c>
      <c r="G8812" t="s">
        <v>21</v>
      </c>
    </row>
    <row r="8813" spans="1:7">
      <c r="A8813">
        <v>8812</v>
      </c>
      <c r="B8813" t="str">
        <f>"021707"</f>
        <v>0</v>
      </c>
      <c r="C8813" t="s">
        <v>6589</v>
      </c>
      <c r="D8813" t="s">
        <v>13556</v>
      </c>
      <c r="E8813" t="str">
        <f>"3420100312935"</f>
        <v>0</v>
      </c>
      <c r="F8813" t="str">
        <f>"001610"</f>
        <v>0</v>
      </c>
      <c r="G8813" t="s">
        <v>21</v>
      </c>
    </row>
    <row r="8814" spans="1:7">
      <c r="A8814">
        <v>8813</v>
      </c>
      <c r="B8814" t="str">
        <f>"022081"</f>
        <v>0</v>
      </c>
      <c r="C8814" t="s">
        <v>13557</v>
      </c>
      <c r="D8814" t="s">
        <v>13558</v>
      </c>
      <c r="E8814" t="str">
        <f>"3420400075921"</f>
        <v>0</v>
      </c>
      <c r="F8814" t="str">
        <f>"001610"</f>
        <v>0</v>
      </c>
      <c r="G8814" t="s">
        <v>21</v>
      </c>
    </row>
    <row r="8815" spans="1:7">
      <c r="A8815">
        <v>8814</v>
      </c>
      <c r="B8815" t="str">
        <f>"022483"</f>
        <v>0</v>
      </c>
      <c r="C8815" t="s">
        <v>3057</v>
      </c>
      <c r="D8815" t="s">
        <v>13559</v>
      </c>
      <c r="E8815" t="str">
        <f>"3420500392561"</f>
        <v>0</v>
      </c>
      <c r="F8815" t="str">
        <f>"001610"</f>
        <v>0</v>
      </c>
      <c r="G8815" t="s">
        <v>21</v>
      </c>
    </row>
    <row r="8816" spans="1:7">
      <c r="A8816">
        <v>8815</v>
      </c>
      <c r="B8816" t="str">
        <f>"022486"</f>
        <v>0</v>
      </c>
      <c r="C8816" t="s">
        <v>13560</v>
      </c>
      <c r="D8816" t="s">
        <v>13561</v>
      </c>
      <c r="E8816" t="str">
        <f>"3420901364810"</f>
        <v>0</v>
      </c>
      <c r="F8816" t="str">
        <f>"001610"</f>
        <v>0</v>
      </c>
      <c r="G8816" t="s">
        <v>21</v>
      </c>
    </row>
    <row r="8817" spans="1:7">
      <c r="A8817">
        <v>8816</v>
      </c>
      <c r="B8817" t="str">
        <f>"022979"</f>
        <v>0</v>
      </c>
      <c r="C8817" t="s">
        <v>13562</v>
      </c>
      <c r="D8817" t="s">
        <v>13478</v>
      </c>
      <c r="E8817" t="str">
        <f>"1420100023210"</f>
        <v>0</v>
      </c>
      <c r="F8817" t="str">
        <f>"001610"</f>
        <v>0</v>
      </c>
      <c r="G8817" t="s">
        <v>21</v>
      </c>
    </row>
    <row r="8818" spans="1:7">
      <c r="A8818">
        <v>8817</v>
      </c>
      <c r="B8818" t="str">
        <f>"023023"</f>
        <v>0</v>
      </c>
      <c r="C8818" t="s">
        <v>13563</v>
      </c>
      <c r="D8818" t="s">
        <v>13564</v>
      </c>
      <c r="E8818" t="str">
        <f>"3460700020587"</f>
        <v>0</v>
      </c>
      <c r="F8818" t="str">
        <f>"001610"</f>
        <v>0</v>
      </c>
      <c r="G8818" t="s">
        <v>21</v>
      </c>
    </row>
    <row r="8819" spans="1:7">
      <c r="A8819">
        <v>8818</v>
      </c>
      <c r="B8819" t="str">
        <f>"023367"</f>
        <v>0</v>
      </c>
      <c r="C8819" t="s">
        <v>13565</v>
      </c>
      <c r="D8819" t="s">
        <v>13566</v>
      </c>
      <c r="E8819" t="str">
        <f>"3409900566735"</f>
        <v>0</v>
      </c>
      <c r="F8819" t="str">
        <f>"001610"</f>
        <v>0</v>
      </c>
      <c r="G8819" t="s">
        <v>21</v>
      </c>
    </row>
    <row r="8820" spans="1:7">
      <c r="A8820">
        <v>8819</v>
      </c>
      <c r="B8820" t="str">
        <f>"023565"</f>
        <v>0</v>
      </c>
      <c r="C8820" t="s">
        <v>13567</v>
      </c>
      <c r="D8820" t="s">
        <v>13568</v>
      </c>
      <c r="E8820" t="str">
        <f>"3420700028693"</f>
        <v>0</v>
      </c>
      <c r="F8820" t="str">
        <f>"001610"</f>
        <v>0</v>
      </c>
      <c r="G8820" t="s">
        <v>21</v>
      </c>
    </row>
    <row r="8821" spans="1:7">
      <c r="A8821">
        <v>8820</v>
      </c>
      <c r="B8821" t="str">
        <f>"023916"</f>
        <v>0</v>
      </c>
      <c r="C8821" t="s">
        <v>13569</v>
      </c>
      <c r="D8821" t="s">
        <v>13570</v>
      </c>
      <c r="E8821" t="str">
        <f>"1429900062242"</f>
        <v>0</v>
      </c>
      <c r="F8821" t="str">
        <f>"001610"</f>
        <v>0</v>
      </c>
      <c r="G8821" t="s">
        <v>21</v>
      </c>
    </row>
    <row r="8822" spans="1:7">
      <c r="A8822">
        <v>8821</v>
      </c>
      <c r="B8822" t="str">
        <f>"023917"</f>
        <v>0</v>
      </c>
      <c r="C8822" t="s">
        <v>490</v>
      </c>
      <c r="D8822" t="s">
        <v>13571</v>
      </c>
      <c r="E8822" t="str">
        <f>"3421000549667"</f>
        <v>0</v>
      </c>
      <c r="F8822" t="str">
        <f>"001610"</f>
        <v>0</v>
      </c>
      <c r="G8822" t="s">
        <v>21</v>
      </c>
    </row>
    <row r="8823" spans="1:7">
      <c r="A8823">
        <v>8822</v>
      </c>
      <c r="B8823" t="str">
        <f>"024395"</f>
        <v>0</v>
      </c>
      <c r="C8823" t="s">
        <v>13572</v>
      </c>
      <c r="D8823" t="s">
        <v>13573</v>
      </c>
      <c r="E8823" t="str">
        <f>"3400400360102"</f>
        <v>0</v>
      </c>
      <c r="F8823" t="str">
        <f>"001610"</f>
        <v>0</v>
      </c>
      <c r="G8823" t="s">
        <v>21</v>
      </c>
    </row>
    <row r="8824" spans="1:7">
      <c r="A8824">
        <v>8823</v>
      </c>
      <c r="B8824" t="str">
        <f>"025077"</f>
        <v>0</v>
      </c>
      <c r="C8824" t="s">
        <v>13574</v>
      </c>
      <c r="D8824" t="s">
        <v>13575</v>
      </c>
      <c r="E8824" t="str">
        <f>"1420100061871"</f>
        <v>0</v>
      </c>
      <c r="F8824" t="str">
        <f>"001610"</f>
        <v>0</v>
      </c>
      <c r="G8824" t="s">
        <v>21</v>
      </c>
    </row>
    <row r="8825" spans="1:7">
      <c r="A8825">
        <v>8824</v>
      </c>
      <c r="B8825" t="str">
        <f>"025187"</f>
        <v>0</v>
      </c>
      <c r="C8825" t="s">
        <v>13576</v>
      </c>
      <c r="D8825" t="s">
        <v>13577</v>
      </c>
      <c r="E8825" t="str">
        <f>"1101400618131"</f>
        <v>0</v>
      </c>
      <c r="F8825" t="str">
        <f>"001610"</f>
        <v>0</v>
      </c>
      <c r="G8825" t="s">
        <v>21</v>
      </c>
    </row>
    <row r="8826" spans="1:7">
      <c r="A8826">
        <v>8825</v>
      </c>
      <c r="B8826" t="str">
        <f>"025324"</f>
        <v>0</v>
      </c>
      <c r="C8826" t="s">
        <v>13578</v>
      </c>
      <c r="D8826" t="s">
        <v>13579</v>
      </c>
      <c r="E8826" t="str">
        <f>"3420100214461"</f>
        <v>0</v>
      </c>
      <c r="F8826" t="str">
        <f>"001610"</f>
        <v>0</v>
      </c>
      <c r="G8826" t="s">
        <v>21</v>
      </c>
    </row>
    <row r="8827" spans="1:7">
      <c r="A8827">
        <v>8826</v>
      </c>
      <c r="B8827" t="str">
        <f>"025470"</f>
        <v>0</v>
      </c>
      <c r="C8827" t="s">
        <v>36</v>
      </c>
      <c r="D8827" t="s">
        <v>13580</v>
      </c>
      <c r="E8827" t="str">
        <f>"3420800099665"</f>
        <v>0</v>
      </c>
      <c r="F8827" t="str">
        <f>"001610"</f>
        <v>0</v>
      </c>
      <c r="G8827" t="s">
        <v>21</v>
      </c>
    </row>
    <row r="8828" spans="1:7">
      <c r="A8828">
        <v>8827</v>
      </c>
      <c r="B8828" t="str">
        <f>"025649"</f>
        <v>0</v>
      </c>
      <c r="C8828" t="s">
        <v>13581</v>
      </c>
      <c r="D8828" t="s">
        <v>13582</v>
      </c>
      <c r="E8828" t="str">
        <f>"1100701424271"</f>
        <v>0</v>
      </c>
      <c r="F8828" t="str">
        <f>"001610"</f>
        <v>0</v>
      </c>
      <c r="G8828" t="s">
        <v>21</v>
      </c>
    </row>
    <row r="8829" spans="1:7">
      <c r="A8829">
        <v>8828</v>
      </c>
      <c r="B8829" t="str">
        <f>"025940"</f>
        <v>0</v>
      </c>
      <c r="C8829" t="s">
        <v>13583</v>
      </c>
      <c r="D8829" t="s">
        <v>13584</v>
      </c>
      <c r="E8829" t="str">
        <f>"1420300065935"</f>
        <v>0</v>
      </c>
      <c r="F8829" t="str">
        <f>"001610"</f>
        <v>0</v>
      </c>
      <c r="G8829" t="s">
        <v>21</v>
      </c>
    </row>
    <row r="8830" spans="1:7">
      <c r="A8830">
        <v>8829</v>
      </c>
      <c r="B8830" t="str">
        <f>"026033"</f>
        <v>0</v>
      </c>
      <c r="C8830" t="s">
        <v>13585</v>
      </c>
      <c r="D8830" t="s">
        <v>13586</v>
      </c>
      <c r="E8830" t="str">
        <f>"1420900105245"</f>
        <v>0</v>
      </c>
      <c r="F8830" t="str">
        <f>"001610"</f>
        <v>0</v>
      </c>
      <c r="G8830" t="s">
        <v>21</v>
      </c>
    </row>
    <row r="8831" spans="1:7">
      <c r="A8831">
        <v>8830</v>
      </c>
      <c r="B8831" t="str">
        <f>"026150"</f>
        <v>0</v>
      </c>
      <c r="C8831" t="s">
        <v>13587</v>
      </c>
      <c r="D8831" t="s">
        <v>13588</v>
      </c>
      <c r="E8831" t="str">
        <f>"5420400002121"</f>
        <v>0</v>
      </c>
      <c r="F8831" t="str">
        <f>"001610"</f>
        <v>0</v>
      </c>
      <c r="G8831" t="s">
        <v>21</v>
      </c>
    </row>
    <row r="8832" spans="1:7">
      <c r="A8832">
        <v>8831</v>
      </c>
      <c r="B8832" t="str">
        <f>"026360"</f>
        <v>0</v>
      </c>
      <c r="C8832" t="s">
        <v>13589</v>
      </c>
      <c r="D8832" t="s">
        <v>13590</v>
      </c>
      <c r="E8832" t="str">
        <f>"1759900184515"</f>
        <v>0</v>
      </c>
      <c r="F8832" t="str">
        <f>"001610"</f>
        <v>0</v>
      </c>
      <c r="G8832" t="s">
        <v>21</v>
      </c>
    </row>
    <row r="8833" spans="1:7">
      <c r="A8833">
        <v>8832</v>
      </c>
      <c r="B8833" t="str">
        <f>"026406"</f>
        <v>0</v>
      </c>
      <c r="C8833" t="s">
        <v>13591</v>
      </c>
      <c r="D8833" t="s">
        <v>13592</v>
      </c>
      <c r="E8833" t="str">
        <f>"1250500012853"</f>
        <v>0</v>
      </c>
      <c r="F8833" t="str">
        <f>"001610"</f>
        <v>0</v>
      </c>
      <c r="G8833" t="s">
        <v>21</v>
      </c>
    </row>
    <row r="8834" spans="1:7">
      <c r="A8834">
        <v>8833</v>
      </c>
      <c r="B8834" t="str">
        <f>"026976"</f>
        <v>0</v>
      </c>
      <c r="C8834" t="s">
        <v>13593</v>
      </c>
      <c r="D8834" t="s">
        <v>13594</v>
      </c>
      <c r="E8834" t="str">
        <f>"3420100505491"</f>
        <v>0</v>
      </c>
      <c r="F8834" t="str">
        <f>"001610"</f>
        <v>0</v>
      </c>
      <c r="G8834" t="s">
        <v>21</v>
      </c>
    </row>
    <row r="8835" spans="1:7">
      <c r="A8835">
        <v>8834</v>
      </c>
      <c r="B8835" t="str">
        <f>"019454"</f>
        <v>0</v>
      </c>
      <c r="C8835" t="s">
        <v>3915</v>
      </c>
      <c r="D8835" t="s">
        <v>13595</v>
      </c>
      <c r="E8835" t="str">
        <f>"3460900032091"</f>
        <v>0</v>
      </c>
      <c r="F8835" t="str">
        <f>"001610"</f>
        <v>0</v>
      </c>
      <c r="G8835" t="s">
        <v>21</v>
      </c>
    </row>
    <row r="8836" spans="1:7">
      <c r="A8836">
        <v>8835</v>
      </c>
      <c r="B8836" t="str">
        <f>"026254"</f>
        <v>0</v>
      </c>
      <c r="C8836" t="s">
        <v>6225</v>
      </c>
      <c r="D8836" t="s">
        <v>13596</v>
      </c>
      <c r="E8836" t="str">
        <f>"1429900107734"</f>
        <v>0</v>
      </c>
      <c r="F8836" t="str">
        <f>"001610"</f>
        <v>0</v>
      </c>
      <c r="G8836" t="s">
        <v>21</v>
      </c>
    </row>
    <row r="8837" spans="1:7">
      <c r="A8837">
        <v>8836</v>
      </c>
      <c r="B8837" t="str">
        <f>"026591"</f>
        <v>0</v>
      </c>
      <c r="C8837" t="s">
        <v>13597</v>
      </c>
      <c r="D8837" t="s">
        <v>13598</v>
      </c>
      <c r="E8837" t="str">
        <f>"1430500067788"</f>
        <v>0</v>
      </c>
      <c r="F8837" t="str">
        <f>"001610"</f>
        <v>0</v>
      </c>
      <c r="G8837" t="s">
        <v>21</v>
      </c>
    </row>
    <row r="8838" spans="1:7">
      <c r="A8838">
        <v>8837</v>
      </c>
      <c r="B8838" t="str">
        <f>"024193"</f>
        <v>0</v>
      </c>
      <c r="C8838" t="s">
        <v>13599</v>
      </c>
      <c r="D8838" t="s">
        <v>13600</v>
      </c>
      <c r="E8838" t="str">
        <f>"1309900293806"</f>
        <v>0</v>
      </c>
      <c r="F8838" t="str">
        <f>"001610"</f>
        <v>0</v>
      </c>
      <c r="G8838" t="s">
        <v>21</v>
      </c>
    </row>
    <row r="8839" spans="1:7">
      <c r="A8839">
        <v>8838</v>
      </c>
      <c r="B8839" t="str">
        <f>"024107"</f>
        <v>0</v>
      </c>
      <c r="C8839" t="s">
        <v>76</v>
      </c>
      <c r="D8839" t="s">
        <v>13601</v>
      </c>
      <c r="E8839" t="str">
        <f>"1529900128820"</f>
        <v>0</v>
      </c>
      <c r="F8839" t="str">
        <f>"001610"</f>
        <v>0</v>
      </c>
      <c r="G8839" t="s">
        <v>21</v>
      </c>
    </row>
    <row r="8840" spans="1:7">
      <c r="A8840">
        <v>8839</v>
      </c>
      <c r="B8840" t="str">
        <f>"026798"</f>
        <v>0</v>
      </c>
      <c r="C8840" t="s">
        <v>13602</v>
      </c>
      <c r="D8840" t="s">
        <v>10218</v>
      </c>
      <c r="E8840" t="str">
        <f>"1670400135381"</f>
        <v>0</v>
      </c>
      <c r="F8840" t="str">
        <f>"001610"</f>
        <v>0</v>
      </c>
      <c r="G8840" t="s">
        <v>21</v>
      </c>
    </row>
    <row r="8841" spans="1:7">
      <c r="A8841">
        <v>8840</v>
      </c>
      <c r="B8841" t="str">
        <f>"025326"</f>
        <v>0</v>
      </c>
      <c r="C8841" t="s">
        <v>13603</v>
      </c>
      <c r="D8841" t="s">
        <v>13604</v>
      </c>
      <c r="E8841" t="str">
        <f>"3650200529373"</f>
        <v>0</v>
      </c>
      <c r="F8841" t="str">
        <f>"001610"</f>
        <v>0</v>
      </c>
      <c r="G8841" t="s">
        <v>21</v>
      </c>
    </row>
    <row r="8842" spans="1:7">
      <c r="A8842">
        <v>8841</v>
      </c>
      <c r="B8842" t="str">
        <f>"026912"</f>
        <v>0</v>
      </c>
      <c r="C8842" t="s">
        <v>3599</v>
      </c>
      <c r="D8842" t="s">
        <v>13605</v>
      </c>
      <c r="E8842" t="str">
        <f>"1660100095898"</f>
        <v>0</v>
      </c>
      <c r="F8842" t="str">
        <f>"001610"</f>
        <v>0</v>
      </c>
      <c r="G8842" t="s">
        <v>21</v>
      </c>
    </row>
    <row r="8843" spans="1:7">
      <c r="A8843">
        <v>8842</v>
      </c>
      <c r="B8843" t="str">
        <f>"021704"</f>
        <v>0</v>
      </c>
      <c r="C8843" t="s">
        <v>13606</v>
      </c>
      <c r="D8843" t="s">
        <v>13607</v>
      </c>
      <c r="E8843" t="str">
        <f>"3670300430247"</f>
        <v>0</v>
      </c>
      <c r="F8843" t="str">
        <f>"001610"</f>
        <v>0</v>
      </c>
      <c r="G8843" t="s">
        <v>21</v>
      </c>
    </row>
    <row r="8844" spans="1:7">
      <c r="A8844">
        <v>8843</v>
      </c>
      <c r="B8844" t="str">
        <f>"026407"</f>
        <v>0</v>
      </c>
      <c r="C8844" t="s">
        <v>13608</v>
      </c>
      <c r="D8844" t="s">
        <v>13609</v>
      </c>
      <c r="E8844" t="str">
        <f>"3670700795862"</f>
        <v>0</v>
      </c>
      <c r="F8844" t="str">
        <f>"001610"</f>
        <v>0</v>
      </c>
      <c r="G8844" t="s">
        <v>21</v>
      </c>
    </row>
    <row r="8845" spans="1:7">
      <c r="A8845">
        <v>8844</v>
      </c>
      <c r="B8845" t="str">
        <f>"024530"</f>
        <v>0</v>
      </c>
      <c r="C8845" t="s">
        <v>13610</v>
      </c>
      <c r="D8845" t="s">
        <v>13611</v>
      </c>
      <c r="E8845" t="str">
        <f>"1710600109579"</f>
        <v>0</v>
      </c>
      <c r="F8845" t="str">
        <f>"001610"</f>
        <v>0</v>
      </c>
      <c r="G8845" t="s">
        <v>21</v>
      </c>
    </row>
    <row r="8846" spans="1:7">
      <c r="A8846">
        <v>8845</v>
      </c>
      <c r="B8846" t="str">
        <f>"027200"</f>
        <v>0</v>
      </c>
      <c r="C8846" t="s">
        <v>13612</v>
      </c>
      <c r="D8846" t="s">
        <v>4663</v>
      </c>
      <c r="E8846" t="str">
        <f>"1900700133968"</f>
        <v>0</v>
      </c>
      <c r="F8846" t="str">
        <f>"001610"</f>
        <v>0</v>
      </c>
      <c r="G8846" t="s">
        <v>21</v>
      </c>
    </row>
    <row r="8847" spans="1:7">
      <c r="A8847">
        <v>8846</v>
      </c>
      <c r="B8847" t="str">
        <f>"009919"</f>
        <v>0</v>
      </c>
      <c r="C8847" t="s">
        <v>11653</v>
      </c>
      <c r="D8847" t="s">
        <v>13613</v>
      </c>
      <c r="E8847" t="str">
        <f>"3410600754716"</f>
        <v>0</v>
      </c>
      <c r="F8847" t="str">
        <f>"001610"</f>
        <v>0</v>
      </c>
      <c r="G8847" t="s">
        <v>21</v>
      </c>
    </row>
    <row r="8848" spans="1:7">
      <c r="A8848">
        <v>8847</v>
      </c>
      <c r="B8848" t="str">
        <f>"018953"</f>
        <v>0</v>
      </c>
      <c r="C8848" t="s">
        <v>11250</v>
      </c>
      <c r="D8848" t="s">
        <v>9604</v>
      </c>
      <c r="E8848" t="str">
        <f>"3420100353186"</f>
        <v>0</v>
      </c>
      <c r="F8848" t="str">
        <f>"001610"</f>
        <v>0</v>
      </c>
      <c r="G8848" t="s">
        <v>21</v>
      </c>
    </row>
    <row r="8849" spans="1:7">
      <c r="A8849">
        <v>8848</v>
      </c>
      <c r="B8849" t="str">
        <f>"025750"</f>
        <v>0</v>
      </c>
      <c r="C8849" t="s">
        <v>5643</v>
      </c>
      <c r="D8849" t="s">
        <v>13614</v>
      </c>
      <c r="E8849" t="str">
        <f>"1549900247161"</f>
        <v>0</v>
      </c>
      <c r="F8849" t="str">
        <f>"001610"</f>
        <v>0</v>
      </c>
      <c r="G8849" t="s">
        <v>21</v>
      </c>
    </row>
    <row r="8850" spans="1:7">
      <c r="A8850">
        <v>8849</v>
      </c>
      <c r="B8850" t="str">
        <f>"021326"</f>
        <v>0</v>
      </c>
      <c r="C8850" t="s">
        <v>4018</v>
      </c>
      <c r="D8850" t="s">
        <v>13615</v>
      </c>
      <c r="E8850" t="str">
        <f>"3570200365908"</f>
        <v>0</v>
      </c>
      <c r="F8850" t="str">
        <f>"001610"</f>
        <v>0</v>
      </c>
      <c r="G8850" t="s">
        <v>21</v>
      </c>
    </row>
    <row r="8851" spans="1:7">
      <c r="A8851">
        <v>8850</v>
      </c>
      <c r="B8851" t="str">
        <f>"023024"</f>
        <v>0</v>
      </c>
      <c r="C8851" t="s">
        <v>13616</v>
      </c>
      <c r="D8851" t="s">
        <v>13617</v>
      </c>
      <c r="E8851" t="str">
        <f>"1600100225180"</f>
        <v>0</v>
      </c>
      <c r="F8851" t="str">
        <f>"001610"</f>
        <v>0</v>
      </c>
      <c r="G8851" t="s">
        <v>21</v>
      </c>
    </row>
    <row r="8852" spans="1:7">
      <c r="A8852">
        <v>8851</v>
      </c>
      <c r="B8852" t="str">
        <f>"027090"</f>
        <v>0</v>
      </c>
      <c r="C8852" t="s">
        <v>13618</v>
      </c>
      <c r="D8852" t="s">
        <v>13619</v>
      </c>
      <c r="E8852" t="str">
        <f>"1539900310946"</f>
        <v>0</v>
      </c>
      <c r="F8852" t="str">
        <f>"001610"</f>
        <v>0</v>
      </c>
      <c r="G8852" t="s">
        <v>21</v>
      </c>
    </row>
    <row r="8853" spans="1:7">
      <c r="A8853">
        <v>8852</v>
      </c>
      <c r="B8853" t="str">
        <f>"015304"</f>
        <v>0</v>
      </c>
      <c r="C8853" t="s">
        <v>13620</v>
      </c>
      <c r="D8853" t="s">
        <v>13556</v>
      </c>
      <c r="E8853" t="str">
        <f>"3420100149554"</f>
        <v>0</v>
      </c>
      <c r="F8853" t="str">
        <f>"001610"</f>
        <v>0</v>
      </c>
      <c r="G8853" t="s">
        <v>21</v>
      </c>
    </row>
    <row r="8854" spans="1:7">
      <c r="A8854">
        <v>8853</v>
      </c>
      <c r="B8854" t="str">
        <f>"015466"</f>
        <v>0</v>
      </c>
      <c r="C8854" t="s">
        <v>13621</v>
      </c>
      <c r="D8854" t="s">
        <v>13492</v>
      </c>
      <c r="E8854" t="str">
        <f>"3420100422161"</f>
        <v>0</v>
      </c>
      <c r="F8854" t="str">
        <f>"001610"</f>
        <v>0</v>
      </c>
      <c r="G8854" t="s">
        <v>21</v>
      </c>
    </row>
    <row r="8855" spans="1:7">
      <c r="A8855">
        <v>8854</v>
      </c>
      <c r="B8855" t="str">
        <f>"016257"</f>
        <v>0</v>
      </c>
      <c r="C8855" t="s">
        <v>235</v>
      </c>
      <c r="D8855" t="s">
        <v>13622</v>
      </c>
      <c r="E8855" t="str">
        <f>"3670400502126"</f>
        <v>0</v>
      </c>
      <c r="F8855" t="str">
        <f>"001610"</f>
        <v>0</v>
      </c>
      <c r="G8855" t="s">
        <v>21</v>
      </c>
    </row>
    <row r="8856" spans="1:7">
      <c r="A8856">
        <v>8855</v>
      </c>
      <c r="B8856" t="str">
        <f>"020716"</f>
        <v>0</v>
      </c>
      <c r="C8856" t="s">
        <v>1271</v>
      </c>
      <c r="D8856" t="s">
        <v>13623</v>
      </c>
      <c r="E8856" t="str">
        <f>"3420100496718"</f>
        <v>0</v>
      </c>
      <c r="F8856" t="str">
        <f>"001610"</f>
        <v>0</v>
      </c>
      <c r="G8856" t="s">
        <v>21</v>
      </c>
    </row>
    <row r="8857" spans="1:7">
      <c r="A8857">
        <v>8856</v>
      </c>
      <c r="B8857" t="str">
        <f>"024664"</f>
        <v>0</v>
      </c>
      <c r="C8857" t="s">
        <v>13624</v>
      </c>
      <c r="D8857" t="s">
        <v>13625</v>
      </c>
      <c r="E8857" t="str">
        <f>"3450100742832"</f>
        <v>0</v>
      </c>
      <c r="F8857" t="str">
        <f>"001610"</f>
        <v>0</v>
      </c>
      <c r="G8857" t="s">
        <v>21</v>
      </c>
    </row>
    <row r="8858" spans="1:7">
      <c r="A8858">
        <v>8857</v>
      </c>
      <c r="B8858" t="str">
        <f>"011346"</f>
        <v>0</v>
      </c>
      <c r="C8858" t="s">
        <v>4764</v>
      </c>
      <c r="D8858" t="s">
        <v>13626</v>
      </c>
      <c r="E8858" t="str">
        <f>"3349700013172"</f>
        <v>0</v>
      </c>
      <c r="F8858" t="str">
        <f>"001610"</f>
        <v>0</v>
      </c>
      <c r="G8858" t="s">
        <v>21</v>
      </c>
    </row>
    <row r="8859" spans="1:7">
      <c r="A8859">
        <v>8858</v>
      </c>
      <c r="B8859" t="str">
        <f>"027606"</f>
        <v>0</v>
      </c>
      <c r="C8859" t="s">
        <v>13627</v>
      </c>
      <c r="D8859" t="s">
        <v>13628</v>
      </c>
      <c r="E8859" t="str">
        <f>"1639900143259"</f>
        <v>0</v>
      </c>
      <c r="F8859" t="str">
        <f>"001610"</f>
        <v>0</v>
      </c>
      <c r="G8859" t="s">
        <v>21</v>
      </c>
    </row>
    <row r="8860" spans="1:7">
      <c r="A8860">
        <v>8859</v>
      </c>
      <c r="B8860" t="str">
        <f>"001268"</f>
        <v>0</v>
      </c>
      <c r="C8860" t="s">
        <v>3546</v>
      </c>
      <c r="D8860" t="s">
        <v>13629</v>
      </c>
      <c r="E8860" t="str">
        <f>"3339900029919"</f>
        <v>0</v>
      </c>
      <c r="F8860" t="str">
        <f>"001630"</f>
        <v>0</v>
      </c>
      <c r="G8860" t="s">
        <v>21</v>
      </c>
    </row>
    <row r="8861" spans="1:7">
      <c r="A8861">
        <v>8860</v>
      </c>
      <c r="B8861" t="str">
        <f>"001992"</f>
        <v>0</v>
      </c>
      <c r="C8861" t="s">
        <v>1841</v>
      </c>
      <c r="D8861" t="s">
        <v>13630</v>
      </c>
      <c r="E8861" t="str">
        <f>"3259900132753"</f>
        <v>0</v>
      </c>
      <c r="F8861" t="str">
        <f>"001630"</f>
        <v>0</v>
      </c>
      <c r="G8861" t="s">
        <v>21</v>
      </c>
    </row>
    <row r="8862" spans="1:7">
      <c r="A8862">
        <v>8861</v>
      </c>
      <c r="B8862" t="str">
        <f>"002158"</f>
        <v>0</v>
      </c>
      <c r="C8862" t="s">
        <v>13631</v>
      </c>
      <c r="D8862" t="s">
        <v>10976</v>
      </c>
      <c r="E8862" t="str">
        <f>"3320700794362"</f>
        <v>0</v>
      </c>
      <c r="F8862" t="str">
        <f>"001630"</f>
        <v>0</v>
      </c>
      <c r="G8862" t="s">
        <v>21</v>
      </c>
    </row>
    <row r="8863" spans="1:7">
      <c r="A8863">
        <v>8862</v>
      </c>
      <c r="B8863" t="str">
        <f>"002696"</f>
        <v>0</v>
      </c>
      <c r="C8863" t="s">
        <v>7196</v>
      </c>
      <c r="D8863" t="s">
        <v>13632</v>
      </c>
      <c r="E8863" t="str">
        <f>"3330800187689"</f>
        <v>0</v>
      </c>
      <c r="F8863" t="str">
        <f>"001630"</f>
        <v>0</v>
      </c>
      <c r="G8863" t="s">
        <v>21</v>
      </c>
    </row>
    <row r="8864" spans="1:7">
      <c r="A8864">
        <v>8863</v>
      </c>
      <c r="B8864" t="str">
        <f>"002719"</f>
        <v>0</v>
      </c>
      <c r="C8864" t="s">
        <v>160</v>
      </c>
      <c r="D8864" t="s">
        <v>13633</v>
      </c>
      <c r="E8864" t="str">
        <f>"3330600038868"</f>
        <v>0</v>
      </c>
      <c r="F8864" t="str">
        <f>"001630"</f>
        <v>0</v>
      </c>
      <c r="G8864" t="s">
        <v>21</v>
      </c>
    </row>
    <row r="8865" spans="1:7">
      <c r="A8865">
        <v>8864</v>
      </c>
      <c r="B8865" t="str">
        <f>"002872"</f>
        <v>0</v>
      </c>
      <c r="C8865" t="s">
        <v>474</v>
      </c>
      <c r="D8865" t="s">
        <v>13634</v>
      </c>
      <c r="E8865" t="str">
        <f>"3331000454446"</f>
        <v>0</v>
      </c>
      <c r="F8865" t="str">
        <f>"001630"</f>
        <v>0</v>
      </c>
      <c r="G8865" t="s">
        <v>21</v>
      </c>
    </row>
    <row r="8866" spans="1:7">
      <c r="A8866">
        <v>8865</v>
      </c>
      <c r="B8866" t="str">
        <f>"002881"</f>
        <v>0</v>
      </c>
      <c r="C8866" t="s">
        <v>8070</v>
      </c>
      <c r="D8866" t="s">
        <v>13635</v>
      </c>
      <c r="E8866" t="str">
        <f>"3331000427716"</f>
        <v>0</v>
      </c>
      <c r="F8866" t="str">
        <f>"001630"</f>
        <v>0</v>
      </c>
      <c r="G8866" t="s">
        <v>21</v>
      </c>
    </row>
    <row r="8867" spans="1:7">
      <c r="A8867">
        <v>8866</v>
      </c>
      <c r="B8867" t="str">
        <f>"002890"</f>
        <v>0</v>
      </c>
      <c r="C8867" t="s">
        <v>13636</v>
      </c>
      <c r="D8867" t="s">
        <v>13637</v>
      </c>
      <c r="E8867" t="str">
        <f>"3339900034564"</f>
        <v>0</v>
      </c>
      <c r="F8867" t="str">
        <f>"001630"</f>
        <v>0</v>
      </c>
      <c r="G8867" t="s">
        <v>21</v>
      </c>
    </row>
    <row r="8868" spans="1:7">
      <c r="A8868">
        <v>8867</v>
      </c>
      <c r="B8868" t="str">
        <f>"003226"</f>
        <v>0</v>
      </c>
      <c r="C8868" t="s">
        <v>798</v>
      </c>
      <c r="D8868" t="s">
        <v>13638</v>
      </c>
      <c r="E8868" t="str">
        <f>"5331090016326"</f>
        <v>0</v>
      </c>
      <c r="F8868" t="str">
        <f>"001630"</f>
        <v>0</v>
      </c>
      <c r="G8868" t="s">
        <v>21</v>
      </c>
    </row>
    <row r="8869" spans="1:7">
      <c r="A8869">
        <v>8868</v>
      </c>
      <c r="B8869" t="str">
        <f>"003227"</f>
        <v>0</v>
      </c>
      <c r="C8869" t="s">
        <v>44</v>
      </c>
      <c r="D8869" t="s">
        <v>13639</v>
      </c>
      <c r="E8869" t="str">
        <f>"3331000039244"</f>
        <v>0</v>
      </c>
      <c r="F8869" t="str">
        <f>"001630"</f>
        <v>0</v>
      </c>
      <c r="G8869" t="s">
        <v>21</v>
      </c>
    </row>
    <row r="8870" spans="1:7">
      <c r="A8870">
        <v>8869</v>
      </c>
      <c r="B8870" t="str">
        <f>"003243"</f>
        <v>0</v>
      </c>
      <c r="C8870" t="s">
        <v>2305</v>
      </c>
      <c r="D8870" t="s">
        <v>13640</v>
      </c>
      <c r="E8870" t="str">
        <f>"3330900696402"</f>
        <v>0</v>
      </c>
      <c r="F8870" t="str">
        <f>"001630"</f>
        <v>0</v>
      </c>
      <c r="G8870" t="s">
        <v>21</v>
      </c>
    </row>
    <row r="8871" spans="1:7">
      <c r="A8871">
        <v>8870</v>
      </c>
      <c r="B8871" t="str">
        <f>"003471"</f>
        <v>0</v>
      </c>
      <c r="C8871" t="s">
        <v>13641</v>
      </c>
      <c r="D8871" t="s">
        <v>13642</v>
      </c>
      <c r="E8871" t="str">
        <f>"3330100579231"</f>
        <v>0</v>
      </c>
      <c r="F8871" t="str">
        <f>"001630"</f>
        <v>0</v>
      </c>
      <c r="G8871" t="s">
        <v>21</v>
      </c>
    </row>
    <row r="8872" spans="1:7">
      <c r="A8872">
        <v>8871</v>
      </c>
      <c r="B8872" t="str">
        <f>"003593"</f>
        <v>0</v>
      </c>
      <c r="C8872" t="s">
        <v>13643</v>
      </c>
      <c r="D8872" t="s">
        <v>13644</v>
      </c>
      <c r="E8872" t="str">
        <f>"3330800275839"</f>
        <v>0</v>
      </c>
      <c r="F8872" t="str">
        <f>"001630"</f>
        <v>0</v>
      </c>
      <c r="G8872" t="s">
        <v>21</v>
      </c>
    </row>
    <row r="8873" spans="1:7">
      <c r="A8873">
        <v>8872</v>
      </c>
      <c r="B8873" t="str">
        <f>"003824"</f>
        <v>0</v>
      </c>
      <c r="C8873" t="s">
        <v>13645</v>
      </c>
      <c r="D8873" t="s">
        <v>2965</v>
      </c>
      <c r="E8873" t="str">
        <f>"3330401182161"</f>
        <v>0</v>
      </c>
      <c r="F8873" t="str">
        <f>"001630"</f>
        <v>0</v>
      </c>
      <c r="G8873" t="s">
        <v>21</v>
      </c>
    </row>
    <row r="8874" spans="1:7">
      <c r="A8874">
        <v>8873</v>
      </c>
      <c r="B8874" t="str">
        <f>"003972"</f>
        <v>0</v>
      </c>
      <c r="C8874" t="s">
        <v>7140</v>
      </c>
      <c r="D8874" t="s">
        <v>13646</v>
      </c>
      <c r="E8874" t="str">
        <f>"3489900017189"</f>
        <v>0</v>
      </c>
      <c r="F8874" t="str">
        <f>"001630"</f>
        <v>0</v>
      </c>
      <c r="G8874" t="s">
        <v>21</v>
      </c>
    </row>
    <row r="8875" spans="1:7">
      <c r="A8875">
        <v>8874</v>
      </c>
      <c r="B8875" t="str">
        <f>"004130"</f>
        <v>0</v>
      </c>
      <c r="C8875" t="s">
        <v>13647</v>
      </c>
      <c r="D8875" t="s">
        <v>13648</v>
      </c>
      <c r="E8875" t="str">
        <f>"5331100003043"</f>
        <v>0</v>
      </c>
      <c r="F8875" t="str">
        <f>"001630"</f>
        <v>0</v>
      </c>
      <c r="G8875" t="s">
        <v>21</v>
      </c>
    </row>
    <row r="8876" spans="1:7">
      <c r="A8876">
        <v>8875</v>
      </c>
      <c r="B8876" t="str">
        <f>"004134"</f>
        <v>0</v>
      </c>
      <c r="C8876" t="s">
        <v>13649</v>
      </c>
      <c r="D8876" t="s">
        <v>13650</v>
      </c>
      <c r="E8876" t="str">
        <f>"3349800047982"</f>
        <v>0</v>
      </c>
      <c r="F8876" t="str">
        <f>"001630"</f>
        <v>0</v>
      </c>
      <c r="G8876" t="s">
        <v>21</v>
      </c>
    </row>
    <row r="8877" spans="1:7">
      <c r="A8877">
        <v>8876</v>
      </c>
      <c r="B8877" t="str">
        <f>"004252"</f>
        <v>0</v>
      </c>
      <c r="C8877" t="s">
        <v>13651</v>
      </c>
      <c r="D8877" t="s">
        <v>13652</v>
      </c>
      <c r="E8877" t="str">
        <f>"3330401101934"</f>
        <v>0</v>
      </c>
      <c r="F8877" t="str">
        <f>"001630"</f>
        <v>0</v>
      </c>
      <c r="G8877" t="s">
        <v>21</v>
      </c>
    </row>
    <row r="8878" spans="1:7">
      <c r="A8878">
        <v>8877</v>
      </c>
      <c r="B8878" t="str">
        <f>"004843"</f>
        <v>0</v>
      </c>
      <c r="C8878" t="s">
        <v>1548</v>
      </c>
      <c r="D8878" t="s">
        <v>13653</v>
      </c>
      <c r="E8878" t="str">
        <f>"3330900691354"</f>
        <v>0</v>
      </c>
      <c r="F8878" t="str">
        <f>"001630"</f>
        <v>0</v>
      </c>
      <c r="G8878" t="s">
        <v>21</v>
      </c>
    </row>
    <row r="8879" spans="1:7">
      <c r="A8879">
        <v>8878</v>
      </c>
      <c r="B8879" t="str">
        <f>"004931"</f>
        <v>0</v>
      </c>
      <c r="C8879" t="s">
        <v>9390</v>
      </c>
      <c r="D8879" t="s">
        <v>13654</v>
      </c>
      <c r="E8879" t="str">
        <f>"5361000032831"</f>
        <v>0</v>
      </c>
      <c r="F8879" t="str">
        <f>"001630"</f>
        <v>0</v>
      </c>
      <c r="G8879" t="s">
        <v>21</v>
      </c>
    </row>
    <row r="8880" spans="1:7">
      <c r="A8880">
        <v>8879</v>
      </c>
      <c r="B8880" t="str">
        <f>"005886"</f>
        <v>0</v>
      </c>
      <c r="C8880" t="s">
        <v>13655</v>
      </c>
      <c r="D8880" t="s">
        <v>13656</v>
      </c>
      <c r="E8880" t="str">
        <f>"3330101287528"</f>
        <v>0</v>
      </c>
      <c r="F8880" t="str">
        <f>"001630"</f>
        <v>0</v>
      </c>
      <c r="G8880" t="s">
        <v>21</v>
      </c>
    </row>
    <row r="8881" spans="1:7">
      <c r="A8881">
        <v>8880</v>
      </c>
      <c r="B8881" t="str">
        <f>"006938"</f>
        <v>0</v>
      </c>
      <c r="C8881" t="s">
        <v>46</v>
      </c>
      <c r="D8881" t="s">
        <v>13657</v>
      </c>
      <c r="E8881" t="str">
        <f>"3331000971033"</f>
        <v>0</v>
      </c>
      <c r="F8881" t="str">
        <f>"001630"</f>
        <v>0</v>
      </c>
      <c r="G8881" t="s">
        <v>21</v>
      </c>
    </row>
    <row r="8882" spans="1:7">
      <c r="A8882">
        <v>8881</v>
      </c>
      <c r="B8882" t="str">
        <f>"007043"</f>
        <v>0</v>
      </c>
      <c r="C8882" t="s">
        <v>13658</v>
      </c>
      <c r="D8882" t="s">
        <v>13659</v>
      </c>
      <c r="E8882" t="str">
        <f>"3330300737884"</f>
        <v>0</v>
      </c>
      <c r="F8882" t="str">
        <f>"001630"</f>
        <v>0</v>
      </c>
      <c r="G8882" t="s">
        <v>21</v>
      </c>
    </row>
    <row r="8883" spans="1:7">
      <c r="A8883">
        <v>8882</v>
      </c>
      <c r="B8883" t="str">
        <f>"007045"</f>
        <v>0</v>
      </c>
      <c r="C8883" t="s">
        <v>488</v>
      </c>
      <c r="D8883" t="s">
        <v>13653</v>
      </c>
      <c r="E8883" t="str">
        <f>"3330900691338"</f>
        <v>0</v>
      </c>
      <c r="F8883" t="str">
        <f>"001630"</f>
        <v>0</v>
      </c>
      <c r="G8883" t="s">
        <v>21</v>
      </c>
    </row>
    <row r="8884" spans="1:7">
      <c r="A8884">
        <v>8883</v>
      </c>
      <c r="B8884" t="str">
        <f>"007207"</f>
        <v>0</v>
      </c>
      <c r="C8884" t="s">
        <v>6686</v>
      </c>
      <c r="D8884" t="s">
        <v>13660</v>
      </c>
      <c r="E8884" t="str">
        <f>"3330800820721"</f>
        <v>0</v>
      </c>
      <c r="F8884" t="str">
        <f>"001630"</f>
        <v>0</v>
      </c>
      <c r="G8884" t="s">
        <v>21</v>
      </c>
    </row>
    <row r="8885" spans="1:7">
      <c r="A8885">
        <v>8884</v>
      </c>
      <c r="B8885" t="str">
        <f>"007272"</f>
        <v>0</v>
      </c>
      <c r="C8885" t="s">
        <v>2801</v>
      </c>
      <c r="D8885" t="s">
        <v>8623</v>
      </c>
      <c r="E8885" t="str">
        <f>"3320400243204"</f>
        <v>0</v>
      </c>
      <c r="F8885" t="str">
        <f>"001630"</f>
        <v>0</v>
      </c>
      <c r="G8885" t="s">
        <v>21</v>
      </c>
    </row>
    <row r="8886" spans="1:7">
      <c r="A8886">
        <v>8885</v>
      </c>
      <c r="B8886" t="str">
        <f>"007326"</f>
        <v>0</v>
      </c>
      <c r="C8886" t="s">
        <v>44</v>
      </c>
      <c r="D8886" t="s">
        <v>13661</v>
      </c>
      <c r="E8886" t="str">
        <f>"5330500041057"</f>
        <v>0</v>
      </c>
      <c r="F8886" t="str">
        <f>"001630"</f>
        <v>0</v>
      </c>
      <c r="G8886" t="s">
        <v>21</v>
      </c>
    </row>
    <row r="8887" spans="1:7">
      <c r="A8887">
        <v>8886</v>
      </c>
      <c r="B8887" t="str">
        <f>"007458"</f>
        <v>0</v>
      </c>
      <c r="C8887" t="s">
        <v>6106</v>
      </c>
      <c r="D8887" t="s">
        <v>13662</v>
      </c>
      <c r="E8887" t="str">
        <f>"3340900444209"</f>
        <v>0</v>
      </c>
      <c r="F8887" t="str">
        <f>"001630"</f>
        <v>0</v>
      </c>
      <c r="G8887" t="s">
        <v>21</v>
      </c>
    </row>
    <row r="8888" spans="1:7">
      <c r="A8888">
        <v>8887</v>
      </c>
      <c r="B8888" t="str">
        <f>"007492"</f>
        <v>0</v>
      </c>
      <c r="C8888" t="s">
        <v>13663</v>
      </c>
      <c r="D8888" t="s">
        <v>13664</v>
      </c>
      <c r="E8888" t="str">
        <f>"3461200061633"</f>
        <v>0</v>
      </c>
      <c r="F8888" t="str">
        <f>"001630"</f>
        <v>0</v>
      </c>
      <c r="G8888" t="s">
        <v>21</v>
      </c>
    </row>
    <row r="8889" spans="1:7">
      <c r="A8889">
        <v>8888</v>
      </c>
      <c r="B8889" t="str">
        <f>"008347"</f>
        <v>0</v>
      </c>
      <c r="C8889" t="s">
        <v>197</v>
      </c>
      <c r="D8889" t="s">
        <v>13665</v>
      </c>
      <c r="E8889" t="str">
        <f>"3300800376791"</f>
        <v>0</v>
      </c>
      <c r="F8889" t="str">
        <f>"001630"</f>
        <v>0</v>
      </c>
      <c r="G8889" t="s">
        <v>21</v>
      </c>
    </row>
    <row r="8890" spans="1:7">
      <c r="A8890">
        <v>8889</v>
      </c>
      <c r="B8890" t="str">
        <f>"010129"</f>
        <v>0</v>
      </c>
      <c r="C8890" t="s">
        <v>13666</v>
      </c>
      <c r="D8890" t="s">
        <v>13667</v>
      </c>
      <c r="E8890" t="str">
        <f>"3330200252528"</f>
        <v>0</v>
      </c>
      <c r="F8890" t="str">
        <f>"001630"</f>
        <v>0</v>
      </c>
      <c r="G8890" t="s">
        <v>21</v>
      </c>
    </row>
    <row r="8891" spans="1:7">
      <c r="A8891">
        <v>8890</v>
      </c>
      <c r="B8891" t="str">
        <f>"010166"</f>
        <v>0</v>
      </c>
      <c r="C8891" t="s">
        <v>13668</v>
      </c>
      <c r="D8891" t="s">
        <v>3492</v>
      </c>
      <c r="E8891" t="str">
        <f>"3331200041145"</f>
        <v>0</v>
      </c>
      <c r="F8891" t="str">
        <f>"001630"</f>
        <v>0</v>
      </c>
      <c r="G8891" t="s">
        <v>21</v>
      </c>
    </row>
    <row r="8892" spans="1:7">
      <c r="A8892">
        <v>8891</v>
      </c>
      <c r="B8892" t="str">
        <f>"010396"</f>
        <v>0</v>
      </c>
      <c r="C8892" t="s">
        <v>2622</v>
      </c>
      <c r="D8892" t="s">
        <v>13642</v>
      </c>
      <c r="E8892" t="str">
        <f>"3490500314978"</f>
        <v>0</v>
      </c>
      <c r="F8892" t="str">
        <f>"001630"</f>
        <v>0</v>
      </c>
      <c r="G8892" t="s">
        <v>21</v>
      </c>
    </row>
    <row r="8893" spans="1:7">
      <c r="A8893">
        <v>8892</v>
      </c>
      <c r="B8893" t="str">
        <f>"010629"</f>
        <v>0</v>
      </c>
      <c r="C8893" t="s">
        <v>953</v>
      </c>
      <c r="D8893" t="s">
        <v>13669</v>
      </c>
      <c r="E8893" t="str">
        <f>"3330200130686"</f>
        <v>0</v>
      </c>
      <c r="F8893" t="str">
        <f>"001630"</f>
        <v>0</v>
      </c>
      <c r="G8893" t="s">
        <v>21</v>
      </c>
    </row>
    <row r="8894" spans="1:7">
      <c r="A8894">
        <v>8893</v>
      </c>
      <c r="B8894" t="str">
        <f>"010919"</f>
        <v>0</v>
      </c>
      <c r="C8894" t="s">
        <v>4084</v>
      </c>
      <c r="D8894" t="s">
        <v>13670</v>
      </c>
      <c r="E8894" t="str">
        <f>"3301600189158"</f>
        <v>0</v>
      </c>
      <c r="F8894" t="str">
        <f>"001630"</f>
        <v>0</v>
      </c>
      <c r="G8894" t="s">
        <v>21</v>
      </c>
    </row>
    <row r="8895" spans="1:7">
      <c r="A8895">
        <v>8894</v>
      </c>
      <c r="B8895" t="str">
        <f>"011064"</f>
        <v>0</v>
      </c>
      <c r="C8895" t="s">
        <v>13671</v>
      </c>
      <c r="D8895" t="s">
        <v>13672</v>
      </c>
      <c r="E8895" t="str">
        <f>"3740100153648"</f>
        <v>0</v>
      </c>
      <c r="F8895" t="str">
        <f>"001630"</f>
        <v>0</v>
      </c>
      <c r="G8895" t="s">
        <v>21</v>
      </c>
    </row>
    <row r="8896" spans="1:7">
      <c r="A8896">
        <v>8895</v>
      </c>
      <c r="B8896" t="str">
        <f>"011139"</f>
        <v>0</v>
      </c>
      <c r="C8896" t="s">
        <v>4607</v>
      </c>
      <c r="D8896" t="s">
        <v>13673</v>
      </c>
      <c r="E8896" t="str">
        <f>"3339900086556"</f>
        <v>0</v>
      </c>
      <c r="F8896" t="str">
        <f>"001630"</f>
        <v>0</v>
      </c>
      <c r="G8896" t="s">
        <v>21</v>
      </c>
    </row>
    <row r="8897" spans="1:7">
      <c r="A8897">
        <v>8896</v>
      </c>
      <c r="B8897" t="str">
        <f>"011797"</f>
        <v>0</v>
      </c>
      <c r="C8897" t="s">
        <v>13674</v>
      </c>
      <c r="D8897" t="s">
        <v>13675</v>
      </c>
      <c r="E8897" t="str">
        <f>"3330200148747"</f>
        <v>0</v>
      </c>
      <c r="F8897" t="str">
        <f>"001630"</f>
        <v>0</v>
      </c>
      <c r="G8897" t="s">
        <v>21</v>
      </c>
    </row>
    <row r="8898" spans="1:7">
      <c r="A8898">
        <v>8897</v>
      </c>
      <c r="B8898" t="str">
        <f>"012214"</f>
        <v>0</v>
      </c>
      <c r="C8898" t="s">
        <v>868</v>
      </c>
      <c r="D8898" t="s">
        <v>13676</v>
      </c>
      <c r="E8898" t="str">
        <f>"3529900017692"</f>
        <v>0</v>
      </c>
      <c r="F8898" t="str">
        <f>"001630"</f>
        <v>0</v>
      </c>
      <c r="G8898" t="s">
        <v>21</v>
      </c>
    </row>
    <row r="8899" spans="1:7">
      <c r="A8899">
        <v>8898</v>
      </c>
      <c r="B8899" t="str">
        <f>"012476"</f>
        <v>0</v>
      </c>
      <c r="C8899" t="s">
        <v>879</v>
      </c>
      <c r="D8899" t="s">
        <v>13677</v>
      </c>
      <c r="E8899" t="str">
        <f>"3360500012654"</f>
        <v>0</v>
      </c>
      <c r="F8899" t="str">
        <f>"001630"</f>
        <v>0</v>
      </c>
      <c r="G8899" t="s">
        <v>21</v>
      </c>
    </row>
    <row r="8900" spans="1:7">
      <c r="A8900">
        <v>8899</v>
      </c>
      <c r="B8900" t="str">
        <f>"012788"</f>
        <v>0</v>
      </c>
      <c r="C8900" t="s">
        <v>2760</v>
      </c>
      <c r="D8900" t="s">
        <v>8623</v>
      </c>
      <c r="E8900" t="str">
        <f>"3330300734222"</f>
        <v>0</v>
      </c>
      <c r="F8900" t="str">
        <f>"001630"</f>
        <v>0</v>
      </c>
      <c r="G8900" t="s">
        <v>21</v>
      </c>
    </row>
    <row r="8901" spans="1:7">
      <c r="A8901">
        <v>8900</v>
      </c>
      <c r="B8901" t="str">
        <f>"013326"</f>
        <v>0</v>
      </c>
      <c r="C8901" t="s">
        <v>13678</v>
      </c>
      <c r="D8901" t="s">
        <v>13679</v>
      </c>
      <c r="E8901" t="str">
        <f>"3401300091046"</f>
        <v>0</v>
      </c>
      <c r="F8901" t="str">
        <f>"001630"</f>
        <v>0</v>
      </c>
      <c r="G8901" t="s">
        <v>21</v>
      </c>
    </row>
    <row r="8902" spans="1:7">
      <c r="A8902">
        <v>8901</v>
      </c>
      <c r="B8902" t="str">
        <f>"014095"</f>
        <v>0</v>
      </c>
      <c r="C8902" t="s">
        <v>703</v>
      </c>
      <c r="D8902" t="s">
        <v>13680</v>
      </c>
      <c r="E8902" t="str">
        <f>"3339900165421"</f>
        <v>0</v>
      </c>
      <c r="F8902" t="str">
        <f>"001630"</f>
        <v>0</v>
      </c>
      <c r="G8902" t="s">
        <v>21</v>
      </c>
    </row>
    <row r="8903" spans="1:7">
      <c r="A8903">
        <v>8902</v>
      </c>
      <c r="B8903" t="str">
        <f>"014969"</f>
        <v>0</v>
      </c>
      <c r="C8903" t="s">
        <v>590</v>
      </c>
      <c r="D8903" t="s">
        <v>13681</v>
      </c>
      <c r="E8903" t="str">
        <f>"3801600386463"</f>
        <v>0</v>
      </c>
      <c r="F8903" t="str">
        <f>"001630"</f>
        <v>0</v>
      </c>
      <c r="G8903" t="s">
        <v>21</v>
      </c>
    </row>
    <row r="8904" spans="1:7">
      <c r="A8904">
        <v>8903</v>
      </c>
      <c r="B8904" t="str">
        <f>"016827"</f>
        <v>0</v>
      </c>
      <c r="C8904" t="s">
        <v>570</v>
      </c>
      <c r="D8904" t="s">
        <v>13682</v>
      </c>
      <c r="E8904" t="str">
        <f>"3331300229545"</f>
        <v>0</v>
      </c>
      <c r="F8904" t="str">
        <f>"001630"</f>
        <v>0</v>
      </c>
      <c r="G8904" t="s">
        <v>21</v>
      </c>
    </row>
    <row r="8905" spans="1:7">
      <c r="A8905">
        <v>8904</v>
      </c>
      <c r="B8905" t="str">
        <f>"016881"</f>
        <v>0</v>
      </c>
      <c r="C8905" t="s">
        <v>5247</v>
      </c>
      <c r="D8905" t="s">
        <v>13683</v>
      </c>
      <c r="E8905" t="str">
        <f>"3331000030824"</f>
        <v>0</v>
      </c>
      <c r="F8905" t="str">
        <f>"001630"</f>
        <v>0</v>
      </c>
      <c r="G8905" t="s">
        <v>21</v>
      </c>
    </row>
    <row r="8906" spans="1:7">
      <c r="A8906">
        <v>8905</v>
      </c>
      <c r="B8906" t="str">
        <f>"017068"</f>
        <v>0</v>
      </c>
      <c r="C8906" t="s">
        <v>13684</v>
      </c>
      <c r="D8906" t="s">
        <v>13670</v>
      </c>
      <c r="E8906" t="str">
        <f>"3170600111869"</f>
        <v>0</v>
      </c>
      <c r="F8906" t="str">
        <f>"001630"</f>
        <v>0</v>
      </c>
      <c r="G8906" t="s">
        <v>21</v>
      </c>
    </row>
    <row r="8907" spans="1:7">
      <c r="A8907">
        <v>8906</v>
      </c>
      <c r="B8907" t="str">
        <f>"017702"</f>
        <v>0</v>
      </c>
      <c r="C8907" t="s">
        <v>6010</v>
      </c>
      <c r="D8907" t="s">
        <v>13685</v>
      </c>
      <c r="E8907" t="str">
        <f>"3339900013605"</f>
        <v>0</v>
      </c>
      <c r="F8907" t="str">
        <f>"001630"</f>
        <v>0</v>
      </c>
      <c r="G8907" t="s">
        <v>21</v>
      </c>
    </row>
    <row r="8908" spans="1:7">
      <c r="A8908">
        <v>8907</v>
      </c>
      <c r="B8908" t="str">
        <f>"017781"</f>
        <v>0</v>
      </c>
      <c r="C8908" t="s">
        <v>6203</v>
      </c>
      <c r="D8908" t="s">
        <v>13686</v>
      </c>
      <c r="E8908" t="str">
        <f>"3330800527684"</f>
        <v>0</v>
      </c>
      <c r="F8908" t="str">
        <f>"001630"</f>
        <v>0</v>
      </c>
      <c r="G8908" t="s">
        <v>21</v>
      </c>
    </row>
    <row r="8909" spans="1:7">
      <c r="A8909">
        <v>8908</v>
      </c>
      <c r="B8909" t="str">
        <f>"018230"</f>
        <v>0</v>
      </c>
      <c r="C8909" t="s">
        <v>13272</v>
      </c>
      <c r="D8909" t="s">
        <v>13687</v>
      </c>
      <c r="E8909" t="str">
        <f>"3330800116668"</f>
        <v>0</v>
      </c>
      <c r="F8909" t="str">
        <f>"001630"</f>
        <v>0</v>
      </c>
      <c r="G8909" t="s">
        <v>21</v>
      </c>
    </row>
    <row r="8910" spans="1:7">
      <c r="A8910">
        <v>8909</v>
      </c>
      <c r="B8910" t="str">
        <f>"018455"</f>
        <v>0</v>
      </c>
      <c r="C8910" t="s">
        <v>13688</v>
      </c>
      <c r="D8910" t="s">
        <v>13689</v>
      </c>
      <c r="E8910" t="str">
        <f>"3330600034641"</f>
        <v>0</v>
      </c>
      <c r="F8910" t="str">
        <f>"001630"</f>
        <v>0</v>
      </c>
      <c r="G8910" t="s">
        <v>21</v>
      </c>
    </row>
    <row r="8911" spans="1:7">
      <c r="A8911">
        <v>8910</v>
      </c>
      <c r="B8911" t="str">
        <f>"020015"</f>
        <v>0</v>
      </c>
      <c r="C8911" t="s">
        <v>3090</v>
      </c>
      <c r="D8911" t="s">
        <v>1349</v>
      </c>
      <c r="E8911" t="str">
        <f>"3339900071583"</f>
        <v>0</v>
      </c>
      <c r="F8911" t="str">
        <f>"001630"</f>
        <v>0</v>
      </c>
      <c r="G8911" t="s">
        <v>21</v>
      </c>
    </row>
    <row r="8912" spans="1:7">
      <c r="A8912">
        <v>8911</v>
      </c>
      <c r="B8912" t="str">
        <f>"004847"</f>
        <v>0</v>
      </c>
      <c r="C8912" t="s">
        <v>13690</v>
      </c>
      <c r="D8912" t="s">
        <v>166</v>
      </c>
      <c r="E8912" t="str">
        <f>"3320101331233"</f>
        <v>0</v>
      </c>
      <c r="F8912" t="str">
        <f>"001630"</f>
        <v>0</v>
      </c>
      <c r="G8912" t="s">
        <v>21</v>
      </c>
    </row>
    <row r="8913" spans="1:7">
      <c r="A8913">
        <v>8912</v>
      </c>
      <c r="B8913" t="str">
        <f>"005686"</f>
        <v>0</v>
      </c>
      <c r="C8913" t="s">
        <v>4355</v>
      </c>
      <c r="D8913" t="s">
        <v>13691</v>
      </c>
      <c r="E8913" t="str">
        <f>"5330790009704"</f>
        <v>0</v>
      </c>
      <c r="F8913" t="str">
        <f>"001630"</f>
        <v>0</v>
      </c>
      <c r="G8913" t="s">
        <v>21</v>
      </c>
    </row>
    <row r="8914" spans="1:7">
      <c r="A8914">
        <v>8913</v>
      </c>
      <c r="B8914" t="str">
        <f>"005688"</f>
        <v>0</v>
      </c>
      <c r="C8914" t="s">
        <v>13692</v>
      </c>
      <c r="D8914" t="s">
        <v>13693</v>
      </c>
      <c r="E8914" t="str">
        <f>"3101700695111"</f>
        <v>0</v>
      </c>
      <c r="F8914" t="str">
        <f>"001630"</f>
        <v>0</v>
      </c>
      <c r="G8914" t="s">
        <v>21</v>
      </c>
    </row>
    <row r="8915" spans="1:7">
      <c r="A8915">
        <v>8914</v>
      </c>
      <c r="B8915" t="str">
        <f>"005887"</f>
        <v>0</v>
      </c>
      <c r="C8915" t="s">
        <v>2315</v>
      </c>
      <c r="D8915" t="s">
        <v>13689</v>
      </c>
      <c r="E8915" t="str">
        <f>"3330600034650"</f>
        <v>0</v>
      </c>
      <c r="F8915" t="str">
        <f>"001630"</f>
        <v>0</v>
      </c>
      <c r="G8915" t="s">
        <v>21</v>
      </c>
    </row>
    <row r="8916" spans="1:7">
      <c r="A8916">
        <v>8915</v>
      </c>
      <c r="B8916" t="str">
        <f>"011389"</f>
        <v>0</v>
      </c>
      <c r="C8916" t="s">
        <v>130</v>
      </c>
      <c r="D8916" t="s">
        <v>13694</v>
      </c>
      <c r="E8916" t="str">
        <f>"3330100573926"</f>
        <v>0</v>
      </c>
      <c r="F8916" t="str">
        <f>"001630"</f>
        <v>0</v>
      </c>
      <c r="G8916" t="s">
        <v>21</v>
      </c>
    </row>
    <row r="8917" spans="1:7">
      <c r="A8917">
        <v>8916</v>
      </c>
      <c r="B8917" t="str">
        <f>"013546"</f>
        <v>0</v>
      </c>
      <c r="C8917" t="s">
        <v>13695</v>
      </c>
      <c r="D8917" t="s">
        <v>13696</v>
      </c>
      <c r="E8917" t="str">
        <f>"3339900144203"</f>
        <v>0</v>
      </c>
      <c r="F8917" t="str">
        <f>"001630"</f>
        <v>0</v>
      </c>
      <c r="G8917" t="s">
        <v>21</v>
      </c>
    </row>
    <row r="8918" spans="1:7">
      <c r="A8918">
        <v>8917</v>
      </c>
      <c r="B8918" t="str">
        <f>"014051"</f>
        <v>0</v>
      </c>
      <c r="C8918" t="s">
        <v>13697</v>
      </c>
      <c r="D8918" t="s">
        <v>13698</v>
      </c>
      <c r="E8918" t="str">
        <f>"3330501222725"</f>
        <v>0</v>
      </c>
      <c r="F8918" t="str">
        <f>"001630"</f>
        <v>0</v>
      </c>
      <c r="G8918" t="s">
        <v>21</v>
      </c>
    </row>
    <row r="8919" spans="1:7">
      <c r="A8919">
        <v>8918</v>
      </c>
      <c r="B8919" t="str">
        <f>"015458"</f>
        <v>0</v>
      </c>
      <c r="C8919" t="s">
        <v>13699</v>
      </c>
      <c r="D8919" t="s">
        <v>13700</v>
      </c>
      <c r="E8919" t="str">
        <f>"3339900144874"</f>
        <v>0</v>
      </c>
      <c r="F8919" t="str">
        <f>"001630"</f>
        <v>0</v>
      </c>
      <c r="G8919" t="s">
        <v>21</v>
      </c>
    </row>
    <row r="8920" spans="1:7">
      <c r="A8920">
        <v>8919</v>
      </c>
      <c r="B8920" t="str">
        <f>"019995"</f>
        <v>0</v>
      </c>
      <c r="C8920" t="s">
        <v>13701</v>
      </c>
      <c r="D8920" t="s">
        <v>13702</v>
      </c>
      <c r="E8920" t="str">
        <f>"5330900007395"</f>
        <v>0</v>
      </c>
      <c r="F8920" t="str">
        <f>"001630"</f>
        <v>0</v>
      </c>
      <c r="G8920" t="s">
        <v>21</v>
      </c>
    </row>
    <row r="8921" spans="1:7">
      <c r="A8921">
        <v>8920</v>
      </c>
      <c r="B8921" t="str">
        <f>"025199"</f>
        <v>0</v>
      </c>
      <c r="C8921" t="s">
        <v>13703</v>
      </c>
      <c r="D8921" t="s">
        <v>13704</v>
      </c>
      <c r="E8921" t="str">
        <f>"3330501424956"</f>
        <v>0</v>
      </c>
      <c r="F8921" t="str">
        <f>"001630"</f>
        <v>0</v>
      </c>
      <c r="G8921" t="s">
        <v>21</v>
      </c>
    </row>
    <row r="8922" spans="1:7">
      <c r="A8922">
        <v>8921</v>
      </c>
      <c r="B8922" t="str">
        <f>"021672"</f>
        <v>0</v>
      </c>
      <c r="C8922" t="s">
        <v>13705</v>
      </c>
      <c r="D8922" t="s">
        <v>13629</v>
      </c>
      <c r="E8922" t="str">
        <f>"3339900029935"</f>
        <v>0</v>
      </c>
      <c r="F8922" t="str">
        <f>"001630"</f>
        <v>0</v>
      </c>
      <c r="G8922" t="s">
        <v>21</v>
      </c>
    </row>
    <row r="8923" spans="1:7">
      <c r="A8923">
        <v>8922</v>
      </c>
      <c r="B8923" t="str">
        <f>"020458"</f>
        <v>0</v>
      </c>
      <c r="C8923" t="s">
        <v>13706</v>
      </c>
      <c r="D8923" t="s">
        <v>13707</v>
      </c>
      <c r="E8923" t="str">
        <f>"3331000717731"</f>
        <v>0</v>
      </c>
      <c r="F8923" t="str">
        <f>"001630"</f>
        <v>0</v>
      </c>
      <c r="G8923" t="s">
        <v>21</v>
      </c>
    </row>
    <row r="8924" spans="1:7">
      <c r="A8924">
        <v>8923</v>
      </c>
      <c r="B8924" t="str">
        <f>"020952"</f>
        <v>0</v>
      </c>
      <c r="C8924" t="s">
        <v>13708</v>
      </c>
      <c r="D8924" t="s">
        <v>13709</v>
      </c>
      <c r="E8924" t="str">
        <f>"3331100097645"</f>
        <v>0</v>
      </c>
      <c r="F8924" t="str">
        <f>"001630"</f>
        <v>0</v>
      </c>
      <c r="G8924" t="s">
        <v>21</v>
      </c>
    </row>
    <row r="8925" spans="1:7">
      <c r="A8925">
        <v>8924</v>
      </c>
      <c r="B8925" t="str">
        <f>"026803"</f>
        <v>0</v>
      </c>
      <c r="C8925" t="s">
        <v>13710</v>
      </c>
      <c r="D8925" t="s">
        <v>13711</v>
      </c>
      <c r="E8925" t="str">
        <f>"1100701395807"</f>
        <v>0</v>
      </c>
      <c r="F8925" t="str">
        <f>"001630"</f>
        <v>0</v>
      </c>
      <c r="G8925" t="s">
        <v>21</v>
      </c>
    </row>
    <row r="8926" spans="1:7">
      <c r="A8926">
        <v>8925</v>
      </c>
      <c r="B8926" t="str">
        <f>"027202"</f>
        <v>0</v>
      </c>
      <c r="C8926" t="s">
        <v>12695</v>
      </c>
      <c r="D8926" t="s">
        <v>13712</v>
      </c>
      <c r="E8926" t="str">
        <f>"3310400448400"</f>
        <v>0</v>
      </c>
      <c r="F8926" t="str">
        <f>"001630"</f>
        <v>0</v>
      </c>
      <c r="G8926" t="s">
        <v>21</v>
      </c>
    </row>
    <row r="8927" spans="1:7">
      <c r="A8927">
        <v>8926</v>
      </c>
      <c r="B8927" t="str">
        <f>"026409"</f>
        <v>0</v>
      </c>
      <c r="C8927" t="s">
        <v>13713</v>
      </c>
      <c r="D8927" t="s">
        <v>13714</v>
      </c>
      <c r="E8927" t="str">
        <f>"1309900513148"</f>
        <v>0</v>
      </c>
      <c r="F8927" t="str">
        <f>"001630"</f>
        <v>0</v>
      </c>
      <c r="G8927" t="s">
        <v>21</v>
      </c>
    </row>
    <row r="8928" spans="1:7">
      <c r="A8928">
        <v>8927</v>
      </c>
      <c r="B8928" t="str">
        <f>"017593"</f>
        <v>0</v>
      </c>
      <c r="C8928" t="s">
        <v>5418</v>
      </c>
      <c r="D8928" t="s">
        <v>13715</v>
      </c>
      <c r="E8928" t="str">
        <f>"3310400551251"</f>
        <v>0</v>
      </c>
      <c r="F8928" t="str">
        <f>"001630"</f>
        <v>0</v>
      </c>
      <c r="G8928" t="s">
        <v>21</v>
      </c>
    </row>
    <row r="8929" spans="1:7">
      <c r="A8929">
        <v>8928</v>
      </c>
      <c r="B8929" t="str">
        <f>"024112"</f>
        <v>0</v>
      </c>
      <c r="C8929" t="s">
        <v>13716</v>
      </c>
      <c r="D8929" t="s">
        <v>13717</v>
      </c>
      <c r="E8929" t="str">
        <f>"3320100460919"</f>
        <v>0</v>
      </c>
      <c r="F8929" t="str">
        <f>"001630"</f>
        <v>0</v>
      </c>
      <c r="G8929" t="s">
        <v>21</v>
      </c>
    </row>
    <row r="8930" spans="1:7">
      <c r="A8930">
        <v>8929</v>
      </c>
      <c r="B8930" t="str">
        <f>"024113"</f>
        <v>0</v>
      </c>
      <c r="C8930" t="s">
        <v>3970</v>
      </c>
      <c r="D8930" t="s">
        <v>13718</v>
      </c>
      <c r="E8930" t="str">
        <f>"1321000117532"</f>
        <v>0</v>
      </c>
      <c r="F8930" t="str">
        <f>"001630"</f>
        <v>0</v>
      </c>
      <c r="G8930" t="s">
        <v>21</v>
      </c>
    </row>
    <row r="8931" spans="1:7">
      <c r="A8931">
        <v>8930</v>
      </c>
      <c r="B8931" t="str">
        <f>"007637"</f>
        <v>0</v>
      </c>
      <c r="C8931" t="s">
        <v>13719</v>
      </c>
      <c r="D8931" t="s">
        <v>13720</v>
      </c>
      <c r="E8931" t="str">
        <f>"3330101407647"</f>
        <v>0</v>
      </c>
      <c r="F8931" t="str">
        <f>"001630"</f>
        <v>0</v>
      </c>
      <c r="G8931" t="s">
        <v>21</v>
      </c>
    </row>
    <row r="8932" spans="1:7">
      <c r="A8932">
        <v>8931</v>
      </c>
      <c r="B8932" t="str">
        <f>"008345"</f>
        <v>0</v>
      </c>
      <c r="C8932" t="s">
        <v>5247</v>
      </c>
      <c r="D8932" t="s">
        <v>13721</v>
      </c>
      <c r="E8932" t="str">
        <f>"3331300124816"</f>
        <v>0</v>
      </c>
      <c r="F8932" t="str">
        <f>"001630"</f>
        <v>0</v>
      </c>
      <c r="G8932" t="s">
        <v>21</v>
      </c>
    </row>
    <row r="8933" spans="1:7">
      <c r="A8933">
        <v>8932</v>
      </c>
      <c r="B8933" t="str">
        <f>"009177"</f>
        <v>0</v>
      </c>
      <c r="C8933" t="s">
        <v>11051</v>
      </c>
      <c r="D8933" t="s">
        <v>13722</v>
      </c>
      <c r="E8933" t="str">
        <f>"3331400325112"</f>
        <v>0</v>
      </c>
      <c r="F8933" t="str">
        <f>"001630"</f>
        <v>0</v>
      </c>
      <c r="G8933" t="s">
        <v>21</v>
      </c>
    </row>
    <row r="8934" spans="1:7">
      <c r="A8934">
        <v>8933</v>
      </c>
      <c r="B8934" t="str">
        <f>"009831"</f>
        <v>0</v>
      </c>
      <c r="C8934" t="s">
        <v>4372</v>
      </c>
      <c r="D8934" t="s">
        <v>13683</v>
      </c>
      <c r="E8934" t="str">
        <f>"3331000972552"</f>
        <v>0</v>
      </c>
      <c r="F8934" t="str">
        <f>"001630"</f>
        <v>0</v>
      </c>
      <c r="G8934" t="s">
        <v>21</v>
      </c>
    </row>
    <row r="8935" spans="1:7">
      <c r="A8935">
        <v>8934</v>
      </c>
      <c r="B8935" t="str">
        <f>"010747"</f>
        <v>0</v>
      </c>
      <c r="C8935" t="s">
        <v>1027</v>
      </c>
      <c r="D8935" t="s">
        <v>13723</v>
      </c>
      <c r="E8935" t="str">
        <f>"3341500270841"</f>
        <v>0</v>
      </c>
      <c r="F8935" t="str">
        <f>"001630"</f>
        <v>0</v>
      </c>
      <c r="G8935" t="s">
        <v>21</v>
      </c>
    </row>
    <row r="8936" spans="1:7">
      <c r="A8936">
        <v>8935</v>
      </c>
      <c r="B8936" t="str">
        <f>"010773"</f>
        <v>0</v>
      </c>
      <c r="C8936" t="s">
        <v>130</v>
      </c>
      <c r="D8936" t="s">
        <v>13724</v>
      </c>
      <c r="E8936" t="str">
        <f>"4331000002284"</f>
        <v>0</v>
      </c>
      <c r="F8936" t="str">
        <f>"001630"</f>
        <v>0</v>
      </c>
      <c r="G8936" t="s">
        <v>21</v>
      </c>
    </row>
    <row r="8937" spans="1:7">
      <c r="A8937">
        <v>8936</v>
      </c>
      <c r="B8937" t="str">
        <f>"010776"</f>
        <v>0</v>
      </c>
      <c r="C8937" t="s">
        <v>3364</v>
      </c>
      <c r="D8937" t="s">
        <v>13723</v>
      </c>
      <c r="E8937" t="str">
        <f>"3330400153183"</f>
        <v>0</v>
      </c>
      <c r="F8937" t="str">
        <f>"001630"</f>
        <v>0</v>
      </c>
      <c r="G8937" t="s">
        <v>21</v>
      </c>
    </row>
    <row r="8938" spans="1:7">
      <c r="A8938">
        <v>8937</v>
      </c>
      <c r="B8938" t="str">
        <f>"011196"</f>
        <v>0</v>
      </c>
      <c r="C8938" t="s">
        <v>98</v>
      </c>
      <c r="D8938" t="s">
        <v>13725</v>
      </c>
      <c r="E8938" t="str">
        <f>"3330300957060"</f>
        <v>0</v>
      </c>
      <c r="F8938" t="str">
        <f>"001630"</f>
        <v>0</v>
      </c>
      <c r="G8938" t="s">
        <v>21</v>
      </c>
    </row>
    <row r="8939" spans="1:7">
      <c r="A8939">
        <v>8938</v>
      </c>
      <c r="B8939" t="str">
        <f>"011284"</f>
        <v>0</v>
      </c>
      <c r="C8939" t="s">
        <v>5281</v>
      </c>
      <c r="D8939" t="s">
        <v>13726</v>
      </c>
      <c r="E8939" t="str">
        <f>"3330300949938"</f>
        <v>0</v>
      </c>
      <c r="F8939" t="str">
        <f>"001630"</f>
        <v>0</v>
      </c>
      <c r="G8939" t="s">
        <v>21</v>
      </c>
    </row>
    <row r="8940" spans="1:7">
      <c r="A8940">
        <v>8939</v>
      </c>
      <c r="B8940" t="str">
        <f>"011547"</f>
        <v>0</v>
      </c>
      <c r="C8940" t="s">
        <v>657</v>
      </c>
      <c r="D8940" t="s">
        <v>13727</v>
      </c>
      <c r="E8940" t="str">
        <f>"3330200323549"</f>
        <v>0</v>
      </c>
      <c r="F8940" t="str">
        <f>"001630"</f>
        <v>0</v>
      </c>
      <c r="G8940" t="s">
        <v>21</v>
      </c>
    </row>
    <row r="8941" spans="1:7">
      <c r="A8941">
        <v>8940</v>
      </c>
      <c r="B8941" t="str">
        <f>"011669"</f>
        <v>0</v>
      </c>
      <c r="C8941" t="s">
        <v>352</v>
      </c>
      <c r="D8941" t="s">
        <v>13728</v>
      </c>
      <c r="E8941" t="str">
        <f>"3330100133594"</f>
        <v>0</v>
      </c>
      <c r="F8941" t="str">
        <f>"001630"</f>
        <v>0</v>
      </c>
      <c r="G8941" t="s">
        <v>21</v>
      </c>
    </row>
    <row r="8942" spans="1:7">
      <c r="A8942">
        <v>8941</v>
      </c>
      <c r="B8942" t="str">
        <f>"011670"</f>
        <v>0</v>
      </c>
      <c r="C8942" t="s">
        <v>13729</v>
      </c>
      <c r="D8942" t="s">
        <v>13730</v>
      </c>
      <c r="E8942" t="str">
        <f>"3330300737451"</f>
        <v>0</v>
      </c>
      <c r="F8942" t="str">
        <f>"001630"</f>
        <v>0</v>
      </c>
      <c r="G8942" t="s">
        <v>21</v>
      </c>
    </row>
    <row r="8943" spans="1:7">
      <c r="A8943">
        <v>8942</v>
      </c>
      <c r="B8943" t="str">
        <f>"013284"</f>
        <v>0</v>
      </c>
      <c r="C8943" t="s">
        <v>2898</v>
      </c>
      <c r="D8943" t="s">
        <v>13731</v>
      </c>
      <c r="E8943" t="str">
        <f>"3301400718424"</f>
        <v>0</v>
      </c>
      <c r="F8943" t="str">
        <f>"001630"</f>
        <v>0</v>
      </c>
      <c r="G8943" t="s">
        <v>21</v>
      </c>
    </row>
    <row r="8944" spans="1:7">
      <c r="A8944">
        <v>8943</v>
      </c>
      <c r="B8944" t="str">
        <f>"013327"</f>
        <v>0</v>
      </c>
      <c r="C8944" t="s">
        <v>365</v>
      </c>
      <c r="D8944" t="s">
        <v>13732</v>
      </c>
      <c r="E8944" t="str">
        <f>"3460400045193"</f>
        <v>0</v>
      </c>
      <c r="F8944" t="str">
        <f>"001630"</f>
        <v>0</v>
      </c>
      <c r="G8944" t="s">
        <v>21</v>
      </c>
    </row>
    <row r="8945" spans="1:7">
      <c r="A8945">
        <v>8944</v>
      </c>
      <c r="B8945" t="str">
        <f>"013719"</f>
        <v>0</v>
      </c>
      <c r="C8945" t="s">
        <v>13733</v>
      </c>
      <c r="D8945" t="s">
        <v>12789</v>
      </c>
      <c r="E8945" t="str">
        <f>"3330101025728"</f>
        <v>0</v>
      </c>
      <c r="F8945" t="str">
        <f>"001630"</f>
        <v>0</v>
      </c>
      <c r="G8945" t="s">
        <v>21</v>
      </c>
    </row>
    <row r="8946" spans="1:7">
      <c r="A8946">
        <v>8945</v>
      </c>
      <c r="B8946" t="str">
        <f>"014048"</f>
        <v>0</v>
      </c>
      <c r="C8946" t="s">
        <v>1951</v>
      </c>
      <c r="D8946" t="s">
        <v>13734</v>
      </c>
      <c r="E8946" t="str">
        <f>"3330600238981"</f>
        <v>0</v>
      </c>
      <c r="F8946" t="str">
        <f>"001630"</f>
        <v>0</v>
      </c>
      <c r="G8946" t="s">
        <v>21</v>
      </c>
    </row>
    <row r="8947" spans="1:7">
      <c r="A8947">
        <v>8946</v>
      </c>
      <c r="B8947" t="str">
        <f>"014214"</f>
        <v>0</v>
      </c>
      <c r="C8947" t="s">
        <v>5823</v>
      </c>
      <c r="D8947" t="s">
        <v>13735</v>
      </c>
      <c r="E8947" t="str">
        <f>"3330101534801"</f>
        <v>0</v>
      </c>
      <c r="F8947" t="str">
        <f>"001630"</f>
        <v>0</v>
      </c>
      <c r="G8947" t="s">
        <v>21</v>
      </c>
    </row>
    <row r="8948" spans="1:7">
      <c r="A8948">
        <v>8947</v>
      </c>
      <c r="B8948" t="str">
        <f>"015004"</f>
        <v>0</v>
      </c>
      <c r="C8948" t="s">
        <v>2867</v>
      </c>
      <c r="D8948" t="s">
        <v>13736</v>
      </c>
      <c r="E8948" t="str">
        <f>"3330101412608"</f>
        <v>0</v>
      </c>
      <c r="F8948" t="str">
        <f>"001630"</f>
        <v>0</v>
      </c>
      <c r="G8948" t="s">
        <v>21</v>
      </c>
    </row>
    <row r="8949" spans="1:7">
      <c r="A8949">
        <v>8948</v>
      </c>
      <c r="B8949" t="str">
        <f>"015298"</f>
        <v>0</v>
      </c>
      <c r="C8949" t="s">
        <v>6641</v>
      </c>
      <c r="D8949" t="s">
        <v>12789</v>
      </c>
      <c r="E8949" t="str">
        <f>"3360700204221"</f>
        <v>0</v>
      </c>
      <c r="F8949" t="str">
        <f>"001630"</f>
        <v>0</v>
      </c>
      <c r="G8949" t="s">
        <v>21</v>
      </c>
    </row>
    <row r="8950" spans="1:7">
      <c r="A8950">
        <v>8949</v>
      </c>
      <c r="B8950" t="str">
        <f>"016603"</f>
        <v>0</v>
      </c>
      <c r="C8950" t="s">
        <v>13737</v>
      </c>
      <c r="D8950" t="s">
        <v>13738</v>
      </c>
      <c r="E8950" t="str">
        <f>"3331100037731"</f>
        <v>0</v>
      </c>
      <c r="F8950" t="str">
        <f>"001630"</f>
        <v>0</v>
      </c>
      <c r="G8950" t="s">
        <v>21</v>
      </c>
    </row>
    <row r="8951" spans="1:7">
      <c r="A8951">
        <v>8950</v>
      </c>
      <c r="B8951" t="str">
        <f>"016749"</f>
        <v>0</v>
      </c>
      <c r="C8951" t="s">
        <v>947</v>
      </c>
      <c r="D8951" t="s">
        <v>13739</v>
      </c>
      <c r="E8951" t="str">
        <f>"3339900059427"</f>
        <v>0</v>
      </c>
      <c r="F8951" t="str">
        <f>"001630"</f>
        <v>0</v>
      </c>
      <c r="G8951" t="s">
        <v>21</v>
      </c>
    </row>
    <row r="8952" spans="1:7">
      <c r="A8952">
        <v>8951</v>
      </c>
      <c r="B8952" t="str">
        <f>"016781"</f>
        <v>0</v>
      </c>
      <c r="C8952" t="s">
        <v>1735</v>
      </c>
      <c r="D8952" t="s">
        <v>11873</v>
      </c>
      <c r="E8952" t="str">
        <f>"5650290015834"</f>
        <v>0</v>
      </c>
      <c r="F8952" t="str">
        <f>"001630"</f>
        <v>0</v>
      </c>
      <c r="G8952" t="s">
        <v>21</v>
      </c>
    </row>
    <row r="8953" spans="1:7">
      <c r="A8953">
        <v>8952</v>
      </c>
      <c r="B8953" t="str">
        <f>"016829"</f>
        <v>0</v>
      </c>
      <c r="C8953" t="s">
        <v>694</v>
      </c>
      <c r="D8953" t="s">
        <v>13740</v>
      </c>
      <c r="E8953" t="str">
        <f>"3649800158544"</f>
        <v>0</v>
      </c>
      <c r="F8953" t="str">
        <f>"001630"</f>
        <v>0</v>
      </c>
      <c r="G8953" t="s">
        <v>21</v>
      </c>
    </row>
    <row r="8954" spans="1:7">
      <c r="A8954">
        <v>8953</v>
      </c>
      <c r="B8954" t="str">
        <f>"017105"</f>
        <v>0</v>
      </c>
      <c r="C8954" t="s">
        <v>13741</v>
      </c>
      <c r="D8954" t="s">
        <v>13742</v>
      </c>
      <c r="E8954" t="str">
        <f>"3330600112707"</f>
        <v>0</v>
      </c>
      <c r="F8954" t="str">
        <f>"001630"</f>
        <v>0</v>
      </c>
      <c r="G8954" t="s">
        <v>21</v>
      </c>
    </row>
    <row r="8955" spans="1:7">
      <c r="A8955">
        <v>8954</v>
      </c>
      <c r="B8955" t="str">
        <f>"017106"</f>
        <v>0</v>
      </c>
      <c r="C8955" t="s">
        <v>2443</v>
      </c>
      <c r="D8955" t="s">
        <v>13743</v>
      </c>
      <c r="E8955" t="str">
        <f>"3330900379164"</f>
        <v>0</v>
      </c>
      <c r="F8955" t="str">
        <f>"001630"</f>
        <v>0</v>
      </c>
      <c r="G8955" t="s">
        <v>21</v>
      </c>
    </row>
    <row r="8956" spans="1:7">
      <c r="A8956">
        <v>8955</v>
      </c>
      <c r="B8956" t="str">
        <f>"017275"</f>
        <v>0</v>
      </c>
      <c r="C8956" t="s">
        <v>13744</v>
      </c>
      <c r="D8956" t="s">
        <v>13745</v>
      </c>
      <c r="E8956" t="str">
        <f>"3320400300046"</f>
        <v>0</v>
      </c>
      <c r="F8956" t="str">
        <f>"001630"</f>
        <v>0</v>
      </c>
      <c r="G8956" t="s">
        <v>21</v>
      </c>
    </row>
    <row r="8957" spans="1:7">
      <c r="A8957">
        <v>8956</v>
      </c>
      <c r="B8957" t="str">
        <f>"017446"</f>
        <v>0</v>
      </c>
      <c r="C8957" t="s">
        <v>5340</v>
      </c>
      <c r="D8957" t="s">
        <v>13746</v>
      </c>
      <c r="E8957" t="str">
        <f>"3330300648130"</f>
        <v>0</v>
      </c>
      <c r="F8957" t="str">
        <f>"001630"</f>
        <v>0</v>
      </c>
      <c r="G8957" t="s">
        <v>21</v>
      </c>
    </row>
    <row r="8958" spans="1:7">
      <c r="A8958">
        <v>8957</v>
      </c>
      <c r="B8958" t="str">
        <f>"017805"</f>
        <v>0</v>
      </c>
      <c r="C8958" t="s">
        <v>578</v>
      </c>
      <c r="D8958" t="s">
        <v>13747</v>
      </c>
      <c r="E8958" t="str">
        <f>"3330900589860"</f>
        <v>0</v>
      </c>
      <c r="F8958" t="str">
        <f>"001630"</f>
        <v>0</v>
      </c>
      <c r="G8958" t="s">
        <v>21</v>
      </c>
    </row>
    <row r="8959" spans="1:7">
      <c r="A8959">
        <v>8958</v>
      </c>
      <c r="B8959" t="str">
        <f>"017982"</f>
        <v>0</v>
      </c>
      <c r="C8959" t="s">
        <v>1949</v>
      </c>
      <c r="D8959" t="s">
        <v>13748</v>
      </c>
      <c r="E8959" t="str">
        <f>"3940400292927"</f>
        <v>0</v>
      </c>
      <c r="F8959" t="str">
        <f>"001630"</f>
        <v>0</v>
      </c>
      <c r="G8959" t="s">
        <v>21</v>
      </c>
    </row>
    <row r="8960" spans="1:7">
      <c r="A8960">
        <v>8959</v>
      </c>
      <c r="B8960" t="str">
        <f>"018052"</f>
        <v>0</v>
      </c>
      <c r="C8960" t="s">
        <v>10779</v>
      </c>
      <c r="D8960" t="s">
        <v>13749</v>
      </c>
      <c r="E8960" t="str">
        <f>"3440700106490"</f>
        <v>0</v>
      </c>
      <c r="F8960" t="str">
        <f>"001630"</f>
        <v>0</v>
      </c>
      <c r="G8960" t="s">
        <v>21</v>
      </c>
    </row>
    <row r="8961" spans="1:7">
      <c r="A8961">
        <v>8960</v>
      </c>
      <c r="B8961" t="str">
        <f>"018053"</f>
        <v>0</v>
      </c>
      <c r="C8961" t="s">
        <v>13461</v>
      </c>
      <c r="D8961" t="s">
        <v>13750</v>
      </c>
      <c r="E8961" t="str">
        <f>"3330900664934"</f>
        <v>0</v>
      </c>
      <c r="F8961" t="str">
        <f>"001630"</f>
        <v>0</v>
      </c>
      <c r="G8961" t="s">
        <v>21</v>
      </c>
    </row>
    <row r="8962" spans="1:7">
      <c r="A8962">
        <v>8961</v>
      </c>
      <c r="B8962" t="str">
        <f>"018054"</f>
        <v>0</v>
      </c>
      <c r="C8962" t="s">
        <v>6938</v>
      </c>
      <c r="D8962" t="s">
        <v>13751</v>
      </c>
      <c r="E8962" t="str">
        <f>"3330501218698"</f>
        <v>0</v>
      </c>
      <c r="F8962" t="str">
        <f>"001630"</f>
        <v>0</v>
      </c>
      <c r="G8962" t="s">
        <v>21</v>
      </c>
    </row>
    <row r="8963" spans="1:7">
      <c r="A8963">
        <v>8962</v>
      </c>
      <c r="B8963" t="str">
        <f>"018456"</f>
        <v>0</v>
      </c>
      <c r="C8963" t="s">
        <v>13752</v>
      </c>
      <c r="D8963" t="s">
        <v>13753</v>
      </c>
      <c r="E8963" t="str">
        <f>"3451000042872"</f>
        <v>0</v>
      </c>
      <c r="F8963" t="str">
        <f>"001630"</f>
        <v>0</v>
      </c>
      <c r="G8963" t="s">
        <v>21</v>
      </c>
    </row>
    <row r="8964" spans="1:7">
      <c r="A8964">
        <v>8963</v>
      </c>
      <c r="B8964" t="str">
        <f>"018494"</f>
        <v>0</v>
      </c>
      <c r="C8964" t="s">
        <v>13754</v>
      </c>
      <c r="D8964" t="s">
        <v>13755</v>
      </c>
      <c r="E8964" t="str">
        <f>"3340100558277"</f>
        <v>0</v>
      </c>
      <c r="F8964" t="str">
        <f>"001630"</f>
        <v>0</v>
      </c>
      <c r="G8964" t="s">
        <v>21</v>
      </c>
    </row>
    <row r="8965" spans="1:7">
      <c r="A8965">
        <v>8964</v>
      </c>
      <c r="B8965" t="str">
        <f>"018661"</f>
        <v>0</v>
      </c>
      <c r="C8965" t="s">
        <v>460</v>
      </c>
      <c r="D8965" t="s">
        <v>13756</v>
      </c>
      <c r="E8965" t="str">
        <f>"3349800221656"</f>
        <v>0</v>
      </c>
      <c r="F8965" t="str">
        <f>"001630"</f>
        <v>0</v>
      </c>
      <c r="G8965" t="s">
        <v>21</v>
      </c>
    </row>
    <row r="8966" spans="1:7">
      <c r="A8966">
        <v>8965</v>
      </c>
      <c r="B8966" t="str">
        <f>"018908"</f>
        <v>0</v>
      </c>
      <c r="C8966" t="s">
        <v>13757</v>
      </c>
      <c r="D8966" t="s">
        <v>7879</v>
      </c>
      <c r="E8966" t="str">
        <f>"3320501245334"</f>
        <v>0</v>
      </c>
      <c r="F8966" t="str">
        <f>"001630"</f>
        <v>0</v>
      </c>
      <c r="G8966" t="s">
        <v>21</v>
      </c>
    </row>
    <row r="8967" spans="1:7">
      <c r="A8967">
        <v>8966</v>
      </c>
      <c r="B8967" t="str">
        <f>"019167"</f>
        <v>0</v>
      </c>
      <c r="C8967" t="s">
        <v>2987</v>
      </c>
      <c r="D8967" t="s">
        <v>13758</v>
      </c>
      <c r="E8967" t="str">
        <f>"3331000136711"</f>
        <v>0</v>
      </c>
      <c r="F8967" t="str">
        <f>"001630"</f>
        <v>0</v>
      </c>
      <c r="G8967" t="s">
        <v>21</v>
      </c>
    </row>
    <row r="8968" spans="1:7">
      <c r="A8968">
        <v>8967</v>
      </c>
      <c r="B8968" t="str">
        <f>"019373"</f>
        <v>0</v>
      </c>
      <c r="C8968" t="s">
        <v>8902</v>
      </c>
      <c r="D8968" t="s">
        <v>8623</v>
      </c>
      <c r="E8968" t="str">
        <f>"3339900017015"</f>
        <v>0</v>
      </c>
      <c r="F8968" t="str">
        <f>"001630"</f>
        <v>0</v>
      </c>
      <c r="G8968" t="s">
        <v>21</v>
      </c>
    </row>
    <row r="8969" spans="1:7">
      <c r="A8969">
        <v>8968</v>
      </c>
      <c r="B8969" t="str">
        <f>"019383"</f>
        <v>0</v>
      </c>
      <c r="C8969" t="s">
        <v>13759</v>
      </c>
      <c r="D8969" t="s">
        <v>13760</v>
      </c>
      <c r="E8969" t="str">
        <f>"3330101165074"</f>
        <v>0</v>
      </c>
      <c r="F8969" t="str">
        <f>"001630"</f>
        <v>0</v>
      </c>
      <c r="G8969" t="s">
        <v>21</v>
      </c>
    </row>
    <row r="8970" spans="1:7">
      <c r="A8970">
        <v>8969</v>
      </c>
      <c r="B8970" t="str">
        <f>"019385"</f>
        <v>0</v>
      </c>
      <c r="C8970" t="s">
        <v>13761</v>
      </c>
      <c r="D8970" t="s">
        <v>13762</v>
      </c>
      <c r="E8970" t="str">
        <f>"3330400681333"</f>
        <v>0</v>
      </c>
      <c r="F8970" t="str">
        <f>"001630"</f>
        <v>0</v>
      </c>
      <c r="G8970" t="s">
        <v>21</v>
      </c>
    </row>
    <row r="8971" spans="1:7">
      <c r="A8971">
        <v>8970</v>
      </c>
      <c r="B8971" t="str">
        <f>"019417"</f>
        <v>0</v>
      </c>
      <c r="C8971" t="s">
        <v>13763</v>
      </c>
      <c r="D8971" t="s">
        <v>13755</v>
      </c>
      <c r="E8971" t="str">
        <f>"3330500107531"</f>
        <v>0</v>
      </c>
      <c r="F8971" t="str">
        <f>"001630"</f>
        <v>0</v>
      </c>
      <c r="G8971" t="s">
        <v>21</v>
      </c>
    </row>
    <row r="8972" spans="1:7">
      <c r="A8972">
        <v>8971</v>
      </c>
      <c r="B8972" t="str">
        <f>"019628"</f>
        <v>0</v>
      </c>
      <c r="C8972" t="s">
        <v>13764</v>
      </c>
      <c r="D8972" t="s">
        <v>13765</v>
      </c>
      <c r="E8972" t="str">
        <f>"3331000443142"</f>
        <v>0</v>
      </c>
      <c r="F8972" t="str">
        <f>"001630"</f>
        <v>0</v>
      </c>
      <c r="G8972" t="s">
        <v>21</v>
      </c>
    </row>
    <row r="8973" spans="1:7">
      <c r="A8973">
        <v>8972</v>
      </c>
      <c r="B8973" t="str">
        <f>"019714"</f>
        <v>0</v>
      </c>
      <c r="C8973" t="s">
        <v>13766</v>
      </c>
      <c r="D8973" t="s">
        <v>13767</v>
      </c>
      <c r="E8973" t="str">
        <f>"3320900909201"</f>
        <v>0</v>
      </c>
      <c r="F8973" t="str">
        <f>"001630"</f>
        <v>0</v>
      </c>
      <c r="G8973" t="s">
        <v>21</v>
      </c>
    </row>
    <row r="8974" spans="1:7">
      <c r="A8974">
        <v>8973</v>
      </c>
      <c r="B8974" t="str">
        <f>"019840"</f>
        <v>0</v>
      </c>
      <c r="C8974" t="s">
        <v>13768</v>
      </c>
      <c r="D8974" t="s">
        <v>13769</v>
      </c>
      <c r="E8974" t="str">
        <f>"3330300735458"</f>
        <v>0</v>
      </c>
      <c r="F8974" t="str">
        <f>"001630"</f>
        <v>0</v>
      </c>
      <c r="G8974" t="s">
        <v>21</v>
      </c>
    </row>
    <row r="8975" spans="1:7">
      <c r="A8975">
        <v>8974</v>
      </c>
      <c r="B8975" t="str">
        <f>"020003"</f>
        <v>0</v>
      </c>
      <c r="C8975" t="s">
        <v>106</v>
      </c>
      <c r="D8975" t="s">
        <v>13770</v>
      </c>
      <c r="E8975" t="str">
        <f>"3330900173761"</f>
        <v>0</v>
      </c>
      <c r="F8975" t="str">
        <f>"001630"</f>
        <v>0</v>
      </c>
      <c r="G8975" t="s">
        <v>21</v>
      </c>
    </row>
    <row r="8976" spans="1:7">
      <c r="A8976">
        <v>8975</v>
      </c>
      <c r="B8976" t="str">
        <f>"020008"</f>
        <v>0</v>
      </c>
      <c r="C8976" t="s">
        <v>7724</v>
      </c>
      <c r="D8976" t="s">
        <v>13771</v>
      </c>
      <c r="E8976" t="str">
        <f>"3331000453342"</f>
        <v>0</v>
      </c>
      <c r="F8976" t="str">
        <f>"001630"</f>
        <v>0</v>
      </c>
      <c r="G8976" t="s">
        <v>21</v>
      </c>
    </row>
    <row r="8977" spans="1:7">
      <c r="A8977">
        <v>8976</v>
      </c>
      <c r="B8977" t="str">
        <f>"020097"</f>
        <v>0</v>
      </c>
      <c r="C8977" t="s">
        <v>13772</v>
      </c>
      <c r="D8977" t="s">
        <v>13773</v>
      </c>
      <c r="E8977" t="str">
        <f>"3339900031361"</f>
        <v>0</v>
      </c>
      <c r="F8977" t="str">
        <f>"001630"</f>
        <v>0</v>
      </c>
      <c r="G8977" t="s">
        <v>21</v>
      </c>
    </row>
    <row r="8978" spans="1:7">
      <c r="A8978">
        <v>8977</v>
      </c>
      <c r="B8978" t="str">
        <f>"020119"</f>
        <v>0</v>
      </c>
      <c r="C8978" t="s">
        <v>112</v>
      </c>
      <c r="D8978" t="s">
        <v>13774</v>
      </c>
      <c r="E8978" t="str">
        <f>"3359900142367"</f>
        <v>0</v>
      </c>
      <c r="F8978" t="str">
        <f>"001630"</f>
        <v>0</v>
      </c>
      <c r="G8978" t="s">
        <v>21</v>
      </c>
    </row>
    <row r="8979" spans="1:7">
      <c r="A8979">
        <v>8978</v>
      </c>
      <c r="B8979" t="str">
        <f>"020297"</f>
        <v>0</v>
      </c>
      <c r="C8979" t="s">
        <v>13775</v>
      </c>
      <c r="D8979" t="s">
        <v>13776</v>
      </c>
      <c r="E8979" t="str">
        <f>"3331000892729"</f>
        <v>0</v>
      </c>
      <c r="F8979" t="str">
        <f>"001630"</f>
        <v>0</v>
      </c>
      <c r="G8979" t="s">
        <v>21</v>
      </c>
    </row>
    <row r="8980" spans="1:7">
      <c r="A8980">
        <v>8979</v>
      </c>
      <c r="B8980" t="str">
        <f>"020413"</f>
        <v>0</v>
      </c>
      <c r="C8980" t="s">
        <v>2476</v>
      </c>
      <c r="D8980" t="s">
        <v>13777</v>
      </c>
      <c r="E8980" t="str">
        <f>"3330100367366"</f>
        <v>0</v>
      </c>
      <c r="F8980" t="str">
        <f>"001630"</f>
        <v>0</v>
      </c>
      <c r="G8980" t="s">
        <v>21</v>
      </c>
    </row>
    <row r="8981" spans="1:7">
      <c r="A8981">
        <v>8980</v>
      </c>
      <c r="B8981" t="str">
        <f>"020456"</f>
        <v>0</v>
      </c>
      <c r="C8981" t="s">
        <v>13778</v>
      </c>
      <c r="D8981" t="s">
        <v>13779</v>
      </c>
      <c r="E8981" t="str">
        <f>"3330300512912"</f>
        <v>0</v>
      </c>
      <c r="F8981" t="str">
        <f>"001630"</f>
        <v>0</v>
      </c>
      <c r="G8981" t="s">
        <v>21</v>
      </c>
    </row>
    <row r="8982" spans="1:7">
      <c r="A8982">
        <v>8981</v>
      </c>
      <c r="B8982" t="str">
        <f>"020457"</f>
        <v>0</v>
      </c>
      <c r="C8982" t="s">
        <v>13780</v>
      </c>
      <c r="D8982" t="s">
        <v>13781</v>
      </c>
      <c r="E8982" t="str">
        <f>"3330100571966"</f>
        <v>0</v>
      </c>
      <c r="F8982" t="str">
        <f>"001630"</f>
        <v>0</v>
      </c>
      <c r="G8982" t="s">
        <v>21</v>
      </c>
    </row>
    <row r="8983" spans="1:7">
      <c r="A8983">
        <v>8982</v>
      </c>
      <c r="B8983" t="str">
        <f>"020538"</f>
        <v>0</v>
      </c>
      <c r="C8983" t="s">
        <v>36</v>
      </c>
      <c r="D8983" t="s">
        <v>13782</v>
      </c>
      <c r="E8983" t="str">
        <f>"3330800751398"</f>
        <v>0</v>
      </c>
      <c r="F8983" t="str">
        <f>"001630"</f>
        <v>0</v>
      </c>
      <c r="G8983" t="s">
        <v>21</v>
      </c>
    </row>
    <row r="8984" spans="1:7">
      <c r="A8984">
        <v>8983</v>
      </c>
      <c r="B8984" t="str">
        <f>"020564"</f>
        <v>0</v>
      </c>
      <c r="C8984" t="s">
        <v>1313</v>
      </c>
      <c r="D8984" t="s">
        <v>13783</v>
      </c>
      <c r="E8984" t="str">
        <f>"3330100103270"</f>
        <v>0</v>
      </c>
      <c r="F8984" t="str">
        <f>"001630"</f>
        <v>0</v>
      </c>
      <c r="G8984" t="s">
        <v>21</v>
      </c>
    </row>
    <row r="8985" spans="1:7">
      <c r="A8985">
        <v>8984</v>
      </c>
      <c r="B8985" t="str">
        <f>"020593"</f>
        <v>0</v>
      </c>
      <c r="C8985" t="s">
        <v>6279</v>
      </c>
      <c r="D8985" t="s">
        <v>13784</v>
      </c>
      <c r="E8985" t="str">
        <f>"3330401624171"</f>
        <v>0</v>
      </c>
      <c r="F8985" t="str">
        <f>"001630"</f>
        <v>0</v>
      </c>
      <c r="G8985" t="s">
        <v>21</v>
      </c>
    </row>
    <row r="8986" spans="1:7">
      <c r="A8986">
        <v>8985</v>
      </c>
      <c r="B8986" t="str">
        <f>"020841"</f>
        <v>0</v>
      </c>
      <c r="C8986" t="s">
        <v>2241</v>
      </c>
      <c r="D8986" t="s">
        <v>13785</v>
      </c>
      <c r="E8986" t="str">
        <f>"3349900350733"</f>
        <v>0</v>
      </c>
      <c r="F8986" t="str">
        <f>"001630"</f>
        <v>0</v>
      </c>
      <c r="G8986" t="s">
        <v>21</v>
      </c>
    </row>
    <row r="8987" spans="1:7">
      <c r="A8987">
        <v>8986</v>
      </c>
      <c r="B8987" t="str">
        <f>"020874"</f>
        <v>0</v>
      </c>
      <c r="C8987" t="s">
        <v>13786</v>
      </c>
      <c r="D8987" t="s">
        <v>11309</v>
      </c>
      <c r="E8987" t="str">
        <f>"3331200011939"</f>
        <v>0</v>
      </c>
      <c r="F8987" t="str">
        <f>"001630"</f>
        <v>0</v>
      </c>
      <c r="G8987" t="s">
        <v>21</v>
      </c>
    </row>
    <row r="8988" spans="1:7">
      <c r="A8988">
        <v>8987</v>
      </c>
      <c r="B8988" t="str">
        <f>"020876"</f>
        <v>0</v>
      </c>
      <c r="C8988" t="s">
        <v>13787</v>
      </c>
      <c r="D8988" t="s">
        <v>13788</v>
      </c>
      <c r="E8988" t="str">
        <f>"3331000351990"</f>
        <v>0</v>
      </c>
      <c r="F8988" t="str">
        <f>"001630"</f>
        <v>0</v>
      </c>
      <c r="G8988" t="s">
        <v>21</v>
      </c>
    </row>
    <row r="8989" spans="1:7">
      <c r="A8989">
        <v>8988</v>
      </c>
      <c r="B8989" t="str">
        <f>"020877"</f>
        <v>0</v>
      </c>
      <c r="C8989" t="s">
        <v>13789</v>
      </c>
      <c r="D8989" t="s">
        <v>13790</v>
      </c>
      <c r="E8989" t="str">
        <f>"3330500576817"</f>
        <v>0</v>
      </c>
      <c r="F8989" t="str">
        <f>"001630"</f>
        <v>0</v>
      </c>
      <c r="G8989" t="s">
        <v>21</v>
      </c>
    </row>
    <row r="8990" spans="1:7">
      <c r="A8990">
        <v>8989</v>
      </c>
      <c r="B8990" t="str">
        <f>"021090"</f>
        <v>0</v>
      </c>
      <c r="C8990" t="s">
        <v>13791</v>
      </c>
      <c r="D8990" t="s">
        <v>13792</v>
      </c>
      <c r="E8990" t="str">
        <f>"3330400824673"</f>
        <v>0</v>
      </c>
      <c r="F8990" t="str">
        <f>"001630"</f>
        <v>0</v>
      </c>
      <c r="G8990" t="s">
        <v>21</v>
      </c>
    </row>
    <row r="8991" spans="1:7">
      <c r="A8991">
        <v>8990</v>
      </c>
      <c r="B8991" t="str">
        <f>"021131"</f>
        <v>0</v>
      </c>
      <c r="C8991" t="s">
        <v>4934</v>
      </c>
      <c r="D8991" t="s">
        <v>13793</v>
      </c>
      <c r="E8991" t="str">
        <f>"3330600106049"</f>
        <v>0</v>
      </c>
      <c r="F8991" t="str">
        <f>"001630"</f>
        <v>0</v>
      </c>
      <c r="G8991" t="s">
        <v>21</v>
      </c>
    </row>
    <row r="8992" spans="1:7">
      <c r="A8992">
        <v>8991</v>
      </c>
      <c r="B8992" t="str">
        <f>"021132"</f>
        <v>0</v>
      </c>
      <c r="C8992" t="s">
        <v>3957</v>
      </c>
      <c r="D8992" t="s">
        <v>13794</v>
      </c>
      <c r="E8992" t="str">
        <f>"3340100137701"</f>
        <v>0</v>
      </c>
      <c r="F8992" t="str">
        <f>"001630"</f>
        <v>0</v>
      </c>
      <c r="G8992" t="s">
        <v>21</v>
      </c>
    </row>
    <row r="8993" spans="1:7">
      <c r="A8993">
        <v>8992</v>
      </c>
      <c r="B8993" t="str">
        <f>"021487"</f>
        <v>0</v>
      </c>
      <c r="C8993" t="s">
        <v>13795</v>
      </c>
      <c r="D8993" t="s">
        <v>13796</v>
      </c>
      <c r="E8993" t="str">
        <f>"3330100823264"</f>
        <v>0</v>
      </c>
      <c r="F8993" t="str">
        <f>"001630"</f>
        <v>0</v>
      </c>
      <c r="G8993" t="s">
        <v>21</v>
      </c>
    </row>
    <row r="8994" spans="1:7">
      <c r="A8994">
        <v>8993</v>
      </c>
      <c r="B8994" t="str">
        <f>"021532"</f>
        <v>0</v>
      </c>
      <c r="C8994" t="s">
        <v>13797</v>
      </c>
      <c r="D8994" t="s">
        <v>13798</v>
      </c>
      <c r="E8994" t="str">
        <f>"3340700176405"</f>
        <v>0</v>
      </c>
      <c r="F8994" t="str">
        <f>"001630"</f>
        <v>0</v>
      </c>
      <c r="G8994" t="s">
        <v>21</v>
      </c>
    </row>
    <row r="8995" spans="1:7">
      <c r="A8995">
        <v>8994</v>
      </c>
      <c r="B8995" t="str">
        <f>"021569"</f>
        <v>0</v>
      </c>
      <c r="C8995" t="s">
        <v>7148</v>
      </c>
      <c r="D8995" t="s">
        <v>13799</v>
      </c>
      <c r="E8995" t="str">
        <f>"3330101470748"</f>
        <v>0</v>
      </c>
      <c r="F8995" t="str">
        <f>"001630"</f>
        <v>0</v>
      </c>
      <c r="G8995" t="s">
        <v>21</v>
      </c>
    </row>
    <row r="8996" spans="1:7">
      <c r="A8996">
        <v>8995</v>
      </c>
      <c r="B8996" t="str">
        <f>"021602"</f>
        <v>0</v>
      </c>
      <c r="C8996" t="s">
        <v>13800</v>
      </c>
      <c r="D8996" t="s">
        <v>13801</v>
      </c>
      <c r="E8996" t="str">
        <f>"3330501168577"</f>
        <v>0</v>
      </c>
      <c r="F8996" t="str">
        <f>"001630"</f>
        <v>0</v>
      </c>
      <c r="G8996" t="s">
        <v>21</v>
      </c>
    </row>
    <row r="8997" spans="1:7">
      <c r="A8997">
        <v>8996</v>
      </c>
      <c r="B8997" t="str">
        <f>"021725"</f>
        <v>0</v>
      </c>
      <c r="C8997" t="s">
        <v>13802</v>
      </c>
      <c r="D8997" t="s">
        <v>13803</v>
      </c>
      <c r="E8997" t="str">
        <f>"3330300501074"</f>
        <v>0</v>
      </c>
      <c r="F8997" t="str">
        <f>"001630"</f>
        <v>0</v>
      </c>
      <c r="G8997" t="s">
        <v>21</v>
      </c>
    </row>
    <row r="8998" spans="1:7">
      <c r="A8998">
        <v>8997</v>
      </c>
      <c r="B8998" t="str">
        <f>"021835"</f>
        <v>0</v>
      </c>
      <c r="C8998" t="s">
        <v>1988</v>
      </c>
      <c r="D8998" t="s">
        <v>13804</v>
      </c>
      <c r="E8998" t="str">
        <f>"3330501131878"</f>
        <v>0</v>
      </c>
      <c r="F8998" t="str">
        <f>"001630"</f>
        <v>0</v>
      </c>
      <c r="G8998" t="s">
        <v>21</v>
      </c>
    </row>
    <row r="8999" spans="1:7">
      <c r="A8999">
        <v>8998</v>
      </c>
      <c r="B8999" t="str">
        <f>"021889"</f>
        <v>0</v>
      </c>
      <c r="C8999" t="s">
        <v>4012</v>
      </c>
      <c r="D8999" t="s">
        <v>13805</v>
      </c>
      <c r="E8999" t="str">
        <f>"5330600004901"</f>
        <v>0</v>
      </c>
      <c r="F8999" t="str">
        <f>"001630"</f>
        <v>0</v>
      </c>
      <c r="G8999" t="s">
        <v>21</v>
      </c>
    </row>
    <row r="9000" spans="1:7">
      <c r="A9000">
        <v>8999</v>
      </c>
      <c r="B9000" t="str">
        <f>"022295"</f>
        <v>0</v>
      </c>
      <c r="C9000" t="s">
        <v>13806</v>
      </c>
      <c r="D9000" t="s">
        <v>6556</v>
      </c>
      <c r="E9000" t="str">
        <f>"3330800408731"</f>
        <v>0</v>
      </c>
      <c r="F9000" t="str">
        <f>"001630"</f>
        <v>0</v>
      </c>
      <c r="G9000" t="s">
        <v>21</v>
      </c>
    </row>
    <row r="9001" spans="1:7">
      <c r="A9001">
        <v>9000</v>
      </c>
      <c r="B9001" t="str">
        <f>"022338"</f>
        <v>0</v>
      </c>
      <c r="C9001" t="s">
        <v>7686</v>
      </c>
      <c r="D9001" t="s">
        <v>13807</v>
      </c>
      <c r="E9001" t="str">
        <f>"3331000374850"</f>
        <v>0</v>
      </c>
      <c r="F9001" t="str">
        <f>"001630"</f>
        <v>0</v>
      </c>
      <c r="G9001" t="s">
        <v>21</v>
      </c>
    </row>
    <row r="9002" spans="1:7">
      <c r="A9002">
        <v>9001</v>
      </c>
      <c r="B9002" t="str">
        <f>"022575"</f>
        <v>0</v>
      </c>
      <c r="C9002" t="s">
        <v>13808</v>
      </c>
      <c r="D9002" t="s">
        <v>13809</v>
      </c>
      <c r="E9002" t="str">
        <f>"3331000031138"</f>
        <v>0</v>
      </c>
      <c r="F9002" t="str">
        <f>"001630"</f>
        <v>0</v>
      </c>
      <c r="G9002" t="s">
        <v>21</v>
      </c>
    </row>
    <row r="9003" spans="1:7">
      <c r="A9003">
        <v>9002</v>
      </c>
      <c r="B9003" t="str">
        <f>"022632"</f>
        <v>0</v>
      </c>
      <c r="C9003" t="s">
        <v>13810</v>
      </c>
      <c r="D9003" t="s">
        <v>13811</v>
      </c>
      <c r="E9003" t="str">
        <f>"3330401309063"</f>
        <v>0</v>
      </c>
      <c r="F9003" t="str">
        <f>"001630"</f>
        <v>0</v>
      </c>
      <c r="G9003" t="s">
        <v>21</v>
      </c>
    </row>
    <row r="9004" spans="1:7">
      <c r="A9004">
        <v>9003</v>
      </c>
      <c r="B9004" t="str">
        <f>"022759"</f>
        <v>0</v>
      </c>
      <c r="C9004" t="s">
        <v>13812</v>
      </c>
      <c r="D9004" t="s">
        <v>13813</v>
      </c>
      <c r="E9004" t="str">
        <f>"1310400017186"</f>
        <v>0</v>
      </c>
      <c r="F9004" t="str">
        <f>"001630"</f>
        <v>0</v>
      </c>
      <c r="G9004" t="s">
        <v>21</v>
      </c>
    </row>
    <row r="9005" spans="1:7">
      <c r="A9005">
        <v>9004</v>
      </c>
      <c r="B9005" t="str">
        <f>"022811"</f>
        <v>0</v>
      </c>
      <c r="C9005" t="s">
        <v>10213</v>
      </c>
      <c r="D9005" t="s">
        <v>12161</v>
      </c>
      <c r="E9005" t="str">
        <f>"3331100035194"</f>
        <v>0</v>
      </c>
      <c r="F9005" t="str">
        <f>"001630"</f>
        <v>0</v>
      </c>
      <c r="G9005" t="s">
        <v>21</v>
      </c>
    </row>
    <row r="9006" spans="1:7">
      <c r="A9006">
        <v>9005</v>
      </c>
      <c r="B9006" t="str">
        <f>"023026"</f>
        <v>0</v>
      </c>
      <c r="C9006" t="s">
        <v>8875</v>
      </c>
      <c r="D9006" t="s">
        <v>13814</v>
      </c>
      <c r="E9006" t="str">
        <f>"3330100469177"</f>
        <v>0</v>
      </c>
      <c r="F9006" t="str">
        <f>"001630"</f>
        <v>0</v>
      </c>
      <c r="G9006" t="s">
        <v>21</v>
      </c>
    </row>
    <row r="9007" spans="1:7">
      <c r="A9007">
        <v>9006</v>
      </c>
      <c r="B9007" t="str">
        <f>"023027"</f>
        <v>0</v>
      </c>
      <c r="C9007" t="s">
        <v>4953</v>
      </c>
      <c r="D9007" t="s">
        <v>13815</v>
      </c>
      <c r="E9007" t="str">
        <f>"3330400896429"</f>
        <v>0</v>
      </c>
      <c r="F9007" t="str">
        <f>"001630"</f>
        <v>0</v>
      </c>
      <c r="G9007" t="s">
        <v>21</v>
      </c>
    </row>
    <row r="9008" spans="1:7">
      <c r="A9008">
        <v>9007</v>
      </c>
      <c r="B9008" t="str">
        <f>"023090"</f>
        <v>0</v>
      </c>
      <c r="C9008" t="s">
        <v>13816</v>
      </c>
      <c r="D9008" t="s">
        <v>13817</v>
      </c>
      <c r="E9008" t="str">
        <f>"3331400289663"</f>
        <v>0</v>
      </c>
      <c r="F9008" t="str">
        <f>"001630"</f>
        <v>0</v>
      </c>
      <c r="G9008" t="s">
        <v>21</v>
      </c>
    </row>
    <row r="9009" spans="1:7">
      <c r="A9009">
        <v>9008</v>
      </c>
      <c r="B9009" t="str">
        <f>"023123"</f>
        <v>0</v>
      </c>
      <c r="C9009" t="s">
        <v>13818</v>
      </c>
      <c r="D9009" t="s">
        <v>13819</v>
      </c>
      <c r="E9009" t="str">
        <f>"3331000707301"</f>
        <v>0</v>
      </c>
      <c r="F9009" t="str">
        <f>"001630"</f>
        <v>0</v>
      </c>
      <c r="G9009" t="s">
        <v>21</v>
      </c>
    </row>
    <row r="9010" spans="1:7">
      <c r="A9010">
        <v>9009</v>
      </c>
      <c r="B9010" t="str">
        <f>"023223"</f>
        <v>0</v>
      </c>
      <c r="C9010" t="s">
        <v>13820</v>
      </c>
      <c r="D9010" t="s">
        <v>13821</v>
      </c>
      <c r="E9010" t="str">
        <f>"3400101415363"</f>
        <v>0</v>
      </c>
      <c r="F9010" t="str">
        <f>"001630"</f>
        <v>0</v>
      </c>
      <c r="G9010" t="s">
        <v>21</v>
      </c>
    </row>
    <row r="9011" spans="1:7">
      <c r="A9011">
        <v>9010</v>
      </c>
      <c r="B9011" t="str">
        <f>"023369"</f>
        <v>0</v>
      </c>
      <c r="C9011" t="s">
        <v>1220</v>
      </c>
      <c r="D9011" t="s">
        <v>13822</v>
      </c>
      <c r="E9011" t="str">
        <f>"3330101408619"</f>
        <v>0</v>
      </c>
      <c r="F9011" t="str">
        <f>"001630"</f>
        <v>0</v>
      </c>
      <c r="G9011" t="s">
        <v>21</v>
      </c>
    </row>
    <row r="9012" spans="1:7">
      <c r="A9012">
        <v>9011</v>
      </c>
      <c r="B9012" t="str">
        <f>"023437"</f>
        <v>0</v>
      </c>
      <c r="C9012" t="s">
        <v>5546</v>
      </c>
      <c r="D9012" t="s">
        <v>13823</v>
      </c>
      <c r="E9012" t="str">
        <f>"1339900020699"</f>
        <v>0</v>
      </c>
      <c r="F9012" t="str">
        <f>"001630"</f>
        <v>0</v>
      </c>
      <c r="G9012" t="s">
        <v>21</v>
      </c>
    </row>
    <row r="9013" spans="1:7">
      <c r="A9013">
        <v>9012</v>
      </c>
      <c r="B9013" t="str">
        <f>"023446"</f>
        <v>0</v>
      </c>
      <c r="C9013" t="s">
        <v>13824</v>
      </c>
      <c r="D9013" t="s">
        <v>13825</v>
      </c>
      <c r="E9013" t="str">
        <f>"3330100374851"</f>
        <v>0</v>
      </c>
      <c r="F9013" t="str">
        <f>"001630"</f>
        <v>0</v>
      </c>
      <c r="G9013" t="s">
        <v>21</v>
      </c>
    </row>
    <row r="9014" spans="1:7">
      <c r="A9014">
        <v>9013</v>
      </c>
      <c r="B9014" t="str">
        <f>"023513"</f>
        <v>0</v>
      </c>
      <c r="C9014" t="s">
        <v>6128</v>
      </c>
      <c r="D9014" t="s">
        <v>13826</v>
      </c>
      <c r="E9014" t="str">
        <f>"3330500964302"</f>
        <v>0</v>
      </c>
      <c r="F9014" t="str">
        <f>"001630"</f>
        <v>0</v>
      </c>
      <c r="G9014" t="s">
        <v>21</v>
      </c>
    </row>
    <row r="9015" spans="1:7">
      <c r="A9015">
        <v>9014</v>
      </c>
      <c r="B9015" t="str">
        <f>"023746"</f>
        <v>0</v>
      </c>
      <c r="C9015" t="s">
        <v>13827</v>
      </c>
      <c r="D9015" t="s">
        <v>13828</v>
      </c>
      <c r="E9015" t="str">
        <f>"3330400445281"</f>
        <v>0</v>
      </c>
      <c r="F9015" t="str">
        <f>"001630"</f>
        <v>0</v>
      </c>
      <c r="G9015" t="s">
        <v>21</v>
      </c>
    </row>
    <row r="9016" spans="1:7">
      <c r="A9016">
        <v>9015</v>
      </c>
      <c r="B9016" t="str">
        <f>"024090"</f>
        <v>0</v>
      </c>
      <c r="C9016" t="s">
        <v>13829</v>
      </c>
      <c r="D9016" t="s">
        <v>13830</v>
      </c>
      <c r="E9016" t="str">
        <f>"3330100202723"</f>
        <v>0</v>
      </c>
      <c r="F9016" t="str">
        <f>"001630"</f>
        <v>0</v>
      </c>
      <c r="G9016" t="s">
        <v>21</v>
      </c>
    </row>
    <row r="9017" spans="1:7">
      <c r="A9017">
        <v>9016</v>
      </c>
      <c r="B9017" t="str">
        <f>"024108"</f>
        <v>0</v>
      </c>
      <c r="C9017" t="s">
        <v>13831</v>
      </c>
      <c r="D9017" t="s">
        <v>13832</v>
      </c>
      <c r="E9017" t="str">
        <f>"3411100323644"</f>
        <v>0</v>
      </c>
      <c r="F9017" t="str">
        <f>"001630"</f>
        <v>0</v>
      </c>
      <c r="G9017" t="s">
        <v>21</v>
      </c>
    </row>
    <row r="9018" spans="1:7">
      <c r="A9018">
        <v>9017</v>
      </c>
      <c r="B9018" t="str">
        <f>"024120"</f>
        <v>0</v>
      </c>
      <c r="C9018" t="s">
        <v>13833</v>
      </c>
      <c r="D9018" t="s">
        <v>13834</v>
      </c>
      <c r="E9018" t="str">
        <f>"3331200152656"</f>
        <v>0</v>
      </c>
      <c r="F9018" t="str">
        <f>"001630"</f>
        <v>0</v>
      </c>
      <c r="G9018" t="s">
        <v>21</v>
      </c>
    </row>
    <row r="9019" spans="1:7">
      <c r="A9019">
        <v>9018</v>
      </c>
      <c r="B9019" t="str">
        <f>"024274"</f>
        <v>0</v>
      </c>
      <c r="C9019" t="s">
        <v>1622</v>
      </c>
      <c r="D9019" t="s">
        <v>13835</v>
      </c>
      <c r="E9019" t="str">
        <f>"1330500052242"</f>
        <v>0</v>
      </c>
      <c r="F9019" t="str">
        <f>"001630"</f>
        <v>0</v>
      </c>
      <c r="G9019" t="s">
        <v>21</v>
      </c>
    </row>
    <row r="9020" spans="1:7">
      <c r="A9020">
        <v>9019</v>
      </c>
      <c r="B9020" t="str">
        <f>"024398"</f>
        <v>0</v>
      </c>
      <c r="C9020" t="s">
        <v>4003</v>
      </c>
      <c r="D9020" t="s">
        <v>12877</v>
      </c>
      <c r="E9020" t="str">
        <f>"3330800684143"</f>
        <v>0</v>
      </c>
      <c r="F9020" t="str">
        <f>"001630"</f>
        <v>0</v>
      </c>
      <c r="G9020" t="s">
        <v>21</v>
      </c>
    </row>
    <row r="9021" spans="1:7">
      <c r="A9021">
        <v>9020</v>
      </c>
      <c r="B9021" t="str">
        <f>"024403"</f>
        <v>0</v>
      </c>
      <c r="C9021" t="s">
        <v>13836</v>
      </c>
      <c r="D9021" t="s">
        <v>13685</v>
      </c>
      <c r="E9021" t="str">
        <f>"1339990001273"</f>
        <v>0</v>
      </c>
      <c r="F9021" t="str">
        <f>"001630"</f>
        <v>0</v>
      </c>
      <c r="G9021" t="s">
        <v>21</v>
      </c>
    </row>
    <row r="9022" spans="1:7">
      <c r="A9022">
        <v>9021</v>
      </c>
      <c r="B9022" t="str">
        <f>"024557"</f>
        <v>0</v>
      </c>
      <c r="C9022" t="s">
        <v>13837</v>
      </c>
      <c r="D9022" t="s">
        <v>13838</v>
      </c>
      <c r="E9022" t="str">
        <f>"1330400137572"</f>
        <v>0</v>
      </c>
      <c r="F9022" t="str">
        <f>"001630"</f>
        <v>0</v>
      </c>
      <c r="G9022" t="s">
        <v>21</v>
      </c>
    </row>
    <row r="9023" spans="1:7">
      <c r="A9023">
        <v>9022</v>
      </c>
      <c r="B9023" t="str">
        <f>"024562"</f>
        <v>0</v>
      </c>
      <c r="C9023" t="s">
        <v>13839</v>
      </c>
      <c r="D9023" t="s">
        <v>13840</v>
      </c>
      <c r="E9023" t="str">
        <f>"3331200153580"</f>
        <v>0</v>
      </c>
      <c r="F9023" t="str">
        <f>"001630"</f>
        <v>0</v>
      </c>
      <c r="G9023" t="s">
        <v>21</v>
      </c>
    </row>
    <row r="9024" spans="1:7">
      <c r="A9024">
        <v>9023</v>
      </c>
      <c r="B9024" t="str">
        <f>"024983"</f>
        <v>0</v>
      </c>
      <c r="C9024" t="s">
        <v>13841</v>
      </c>
      <c r="D9024" t="s">
        <v>13842</v>
      </c>
      <c r="E9024" t="str">
        <f>"1330100016940"</f>
        <v>0</v>
      </c>
      <c r="F9024" t="str">
        <f>"001630"</f>
        <v>0</v>
      </c>
      <c r="G9024" t="s">
        <v>21</v>
      </c>
    </row>
    <row r="9025" spans="1:7">
      <c r="A9025">
        <v>9024</v>
      </c>
      <c r="B9025" t="str">
        <f>"025051"</f>
        <v>0</v>
      </c>
      <c r="C9025" t="s">
        <v>13843</v>
      </c>
      <c r="D9025" t="s">
        <v>13844</v>
      </c>
      <c r="E9025" t="str">
        <f>"1339900078476"</f>
        <v>0</v>
      </c>
      <c r="F9025" t="str">
        <f>"001630"</f>
        <v>0</v>
      </c>
      <c r="G9025" t="s">
        <v>21</v>
      </c>
    </row>
    <row r="9026" spans="1:7">
      <c r="A9026">
        <v>9025</v>
      </c>
      <c r="B9026" t="str">
        <f>"025147"</f>
        <v>0</v>
      </c>
      <c r="C9026" t="s">
        <v>13845</v>
      </c>
      <c r="D9026" t="s">
        <v>13846</v>
      </c>
      <c r="E9026" t="str">
        <f>"1440700008777"</f>
        <v>0</v>
      </c>
      <c r="F9026" t="str">
        <f>"001630"</f>
        <v>0</v>
      </c>
      <c r="G9026" t="s">
        <v>21</v>
      </c>
    </row>
    <row r="9027" spans="1:7">
      <c r="A9027">
        <v>9026</v>
      </c>
      <c r="B9027" t="str">
        <f>"025173"</f>
        <v>0</v>
      </c>
      <c r="C9027" t="s">
        <v>13847</v>
      </c>
      <c r="D9027" t="s">
        <v>13848</v>
      </c>
      <c r="E9027" t="str">
        <f>"3330800615991"</f>
        <v>0</v>
      </c>
      <c r="F9027" t="str">
        <f>"001630"</f>
        <v>0</v>
      </c>
      <c r="G9027" t="s">
        <v>21</v>
      </c>
    </row>
    <row r="9028" spans="1:7">
      <c r="A9028">
        <v>9027</v>
      </c>
      <c r="B9028" t="str">
        <f>"025328"</f>
        <v>0</v>
      </c>
      <c r="C9028" t="s">
        <v>13849</v>
      </c>
      <c r="D9028" t="s">
        <v>13850</v>
      </c>
      <c r="E9028" t="str">
        <f>"3330400879664"</f>
        <v>0</v>
      </c>
      <c r="F9028" t="str">
        <f>"001630"</f>
        <v>0</v>
      </c>
      <c r="G9028" t="s">
        <v>21</v>
      </c>
    </row>
    <row r="9029" spans="1:7">
      <c r="A9029">
        <v>9028</v>
      </c>
      <c r="B9029" t="str">
        <f>"025434"</f>
        <v>0</v>
      </c>
      <c r="C9029" t="s">
        <v>13851</v>
      </c>
      <c r="D9029" t="s">
        <v>13852</v>
      </c>
      <c r="E9029" t="str">
        <f>"3331400313823"</f>
        <v>0</v>
      </c>
      <c r="F9029" t="str">
        <f>"001630"</f>
        <v>0</v>
      </c>
      <c r="G9029" t="s">
        <v>21</v>
      </c>
    </row>
    <row r="9030" spans="1:7">
      <c r="A9030">
        <v>9029</v>
      </c>
      <c r="B9030" t="str">
        <f>"025652"</f>
        <v>0</v>
      </c>
      <c r="C9030" t="s">
        <v>5556</v>
      </c>
      <c r="D9030" t="s">
        <v>5273</v>
      </c>
      <c r="E9030" t="str">
        <f>"3331400212610"</f>
        <v>0</v>
      </c>
      <c r="F9030" t="str">
        <f>"001630"</f>
        <v>0</v>
      </c>
      <c r="G9030" t="s">
        <v>21</v>
      </c>
    </row>
    <row r="9031" spans="1:7">
      <c r="A9031">
        <v>9030</v>
      </c>
      <c r="B9031" t="str">
        <f>"025730"</f>
        <v>0</v>
      </c>
      <c r="C9031" t="s">
        <v>13853</v>
      </c>
      <c r="D9031" t="s">
        <v>13854</v>
      </c>
      <c r="E9031" t="str">
        <f>"3570200669575"</f>
        <v>0</v>
      </c>
      <c r="F9031" t="str">
        <f>"001630"</f>
        <v>0</v>
      </c>
      <c r="G9031" t="s">
        <v>21</v>
      </c>
    </row>
    <row r="9032" spans="1:7">
      <c r="A9032">
        <v>9031</v>
      </c>
      <c r="B9032" t="str">
        <f>"025944"</f>
        <v>0</v>
      </c>
      <c r="C9032" t="s">
        <v>13855</v>
      </c>
      <c r="D9032" t="s">
        <v>13856</v>
      </c>
      <c r="E9032" t="str">
        <f>"1339900030864"</f>
        <v>0</v>
      </c>
      <c r="F9032" t="str">
        <f>"001630"</f>
        <v>0</v>
      </c>
      <c r="G9032" t="s">
        <v>21</v>
      </c>
    </row>
    <row r="9033" spans="1:7">
      <c r="A9033">
        <v>9032</v>
      </c>
      <c r="B9033" t="str">
        <f>"026214"</f>
        <v>0</v>
      </c>
      <c r="C9033" t="s">
        <v>13857</v>
      </c>
      <c r="D9033" t="s">
        <v>9354</v>
      </c>
      <c r="E9033" t="str">
        <f>"1339900026794"</f>
        <v>0</v>
      </c>
      <c r="F9033" t="str">
        <f>"001630"</f>
        <v>0</v>
      </c>
      <c r="G9033" t="s">
        <v>21</v>
      </c>
    </row>
    <row r="9034" spans="1:7">
      <c r="A9034">
        <v>9033</v>
      </c>
      <c r="B9034" t="str">
        <f>"026215"</f>
        <v>0</v>
      </c>
      <c r="C9034" t="s">
        <v>13858</v>
      </c>
      <c r="D9034" t="s">
        <v>13859</v>
      </c>
      <c r="E9034" t="str">
        <f>"3330500323196"</f>
        <v>0</v>
      </c>
      <c r="F9034" t="str">
        <f>"001630"</f>
        <v>0</v>
      </c>
      <c r="G9034" t="s">
        <v>21</v>
      </c>
    </row>
    <row r="9035" spans="1:7">
      <c r="A9035">
        <v>9034</v>
      </c>
      <c r="B9035" t="str">
        <f>"026216"</f>
        <v>0</v>
      </c>
      <c r="C9035" t="s">
        <v>13860</v>
      </c>
      <c r="D9035" t="s">
        <v>13861</v>
      </c>
      <c r="E9035" t="str">
        <f>"1339900227501"</f>
        <v>0</v>
      </c>
      <c r="F9035" t="str">
        <f>"001630"</f>
        <v>0</v>
      </c>
      <c r="G9035" t="s">
        <v>21</v>
      </c>
    </row>
    <row r="9036" spans="1:7">
      <c r="A9036">
        <v>9035</v>
      </c>
      <c r="B9036" t="str">
        <f>"026410"</f>
        <v>0</v>
      </c>
      <c r="C9036" t="s">
        <v>13862</v>
      </c>
      <c r="D9036" t="s">
        <v>13863</v>
      </c>
      <c r="E9036" t="str">
        <f>"5330400204019"</f>
        <v>0</v>
      </c>
      <c r="F9036" t="str">
        <f>"001630"</f>
        <v>0</v>
      </c>
      <c r="G9036" t="s">
        <v>21</v>
      </c>
    </row>
    <row r="9037" spans="1:7">
      <c r="A9037">
        <v>9036</v>
      </c>
      <c r="B9037" t="str">
        <f>"026800"</f>
        <v>0</v>
      </c>
      <c r="C9037" t="s">
        <v>13864</v>
      </c>
      <c r="D9037" t="s">
        <v>13865</v>
      </c>
      <c r="E9037" t="str">
        <f>"1339900351229"</f>
        <v>0</v>
      </c>
      <c r="F9037" t="str">
        <f>"001630"</f>
        <v>0</v>
      </c>
      <c r="G9037" t="s">
        <v>21</v>
      </c>
    </row>
    <row r="9038" spans="1:7">
      <c r="A9038">
        <v>9037</v>
      </c>
      <c r="B9038" t="str">
        <f>"026801"</f>
        <v>0</v>
      </c>
      <c r="C9038" t="s">
        <v>13866</v>
      </c>
      <c r="D9038" t="s">
        <v>13867</v>
      </c>
      <c r="E9038" t="str">
        <f>"1339900060615"</f>
        <v>0</v>
      </c>
      <c r="F9038" t="str">
        <f>"001630"</f>
        <v>0</v>
      </c>
      <c r="G9038" t="s">
        <v>21</v>
      </c>
    </row>
    <row r="9039" spans="1:7">
      <c r="A9039">
        <v>9038</v>
      </c>
      <c r="B9039" t="str">
        <f>"026804"</f>
        <v>0</v>
      </c>
      <c r="C9039" t="s">
        <v>132</v>
      </c>
      <c r="D9039" t="s">
        <v>13758</v>
      </c>
      <c r="E9039" t="str">
        <f>"1120600143021"</f>
        <v>0</v>
      </c>
      <c r="F9039" t="str">
        <f>"001630"</f>
        <v>0</v>
      </c>
      <c r="G9039" t="s">
        <v>21</v>
      </c>
    </row>
    <row r="9040" spans="1:7">
      <c r="A9040">
        <v>9039</v>
      </c>
      <c r="B9040" t="str">
        <f>"018058"</f>
        <v>0</v>
      </c>
      <c r="C9040" t="s">
        <v>13868</v>
      </c>
      <c r="D9040" t="s">
        <v>13869</v>
      </c>
      <c r="E9040" t="str">
        <f>"3341500894755"</f>
        <v>0</v>
      </c>
      <c r="F9040" t="str">
        <f>"001630"</f>
        <v>0</v>
      </c>
      <c r="G9040" t="s">
        <v>21</v>
      </c>
    </row>
    <row r="9041" spans="1:7">
      <c r="A9041">
        <v>9040</v>
      </c>
      <c r="B9041" t="str">
        <f>"021486"</f>
        <v>0</v>
      </c>
      <c r="C9041" t="s">
        <v>13870</v>
      </c>
      <c r="D9041" t="s">
        <v>12031</v>
      </c>
      <c r="E9041" t="str">
        <f>"3349800163044"</f>
        <v>0</v>
      </c>
      <c r="F9041" t="str">
        <f>"001630"</f>
        <v>0</v>
      </c>
      <c r="G9041" t="s">
        <v>21</v>
      </c>
    </row>
    <row r="9042" spans="1:7">
      <c r="A9042">
        <v>9041</v>
      </c>
      <c r="B9042" t="str">
        <f>"023761"</f>
        <v>0</v>
      </c>
      <c r="C9042" t="s">
        <v>1949</v>
      </c>
      <c r="D9042" t="s">
        <v>13871</v>
      </c>
      <c r="E9042" t="str">
        <f>"3340701029805"</f>
        <v>0</v>
      </c>
      <c r="F9042" t="str">
        <f>"001630"</f>
        <v>0</v>
      </c>
      <c r="G9042" t="s">
        <v>21</v>
      </c>
    </row>
    <row r="9043" spans="1:7">
      <c r="A9043">
        <v>9042</v>
      </c>
      <c r="B9043" t="str">
        <f>"025052"</f>
        <v>0</v>
      </c>
      <c r="C9043" t="s">
        <v>13872</v>
      </c>
      <c r="D9043" t="s">
        <v>13873</v>
      </c>
      <c r="E9043" t="str">
        <f>"3310700232453"</f>
        <v>0</v>
      </c>
      <c r="F9043" t="str">
        <f>"001630"</f>
        <v>0</v>
      </c>
      <c r="G9043" t="s">
        <v>21</v>
      </c>
    </row>
    <row r="9044" spans="1:7">
      <c r="A9044">
        <v>9043</v>
      </c>
      <c r="B9044" t="str">
        <f>"025960"</f>
        <v>0</v>
      </c>
      <c r="C9044" t="s">
        <v>11751</v>
      </c>
      <c r="D9044" t="s">
        <v>13874</v>
      </c>
      <c r="E9044" t="str">
        <f>"1349900311740"</f>
        <v>0</v>
      </c>
      <c r="F9044" t="str">
        <f>"001630"</f>
        <v>0</v>
      </c>
      <c r="G9044" t="s">
        <v>21</v>
      </c>
    </row>
    <row r="9045" spans="1:7">
      <c r="A9045">
        <v>9044</v>
      </c>
      <c r="B9045" t="str">
        <f>"026035"</f>
        <v>0</v>
      </c>
      <c r="C9045" t="s">
        <v>13875</v>
      </c>
      <c r="D9045" t="s">
        <v>13876</v>
      </c>
      <c r="E9045" t="str">
        <f>"1341400088203"</f>
        <v>0</v>
      </c>
      <c r="F9045" t="str">
        <f>"001630"</f>
        <v>0</v>
      </c>
      <c r="G9045" t="s">
        <v>21</v>
      </c>
    </row>
    <row r="9046" spans="1:7">
      <c r="A9046">
        <v>9045</v>
      </c>
      <c r="B9046" t="str">
        <f>"027201"</f>
        <v>0</v>
      </c>
      <c r="C9046" t="s">
        <v>13877</v>
      </c>
      <c r="D9046" t="s">
        <v>12126</v>
      </c>
      <c r="E9046" t="str">
        <f>"3340701465214"</f>
        <v>0</v>
      </c>
      <c r="F9046" t="str">
        <f>"001630"</f>
        <v>0</v>
      </c>
      <c r="G9046" t="s">
        <v>21</v>
      </c>
    </row>
    <row r="9047" spans="1:7">
      <c r="A9047">
        <v>9046</v>
      </c>
      <c r="B9047" t="str">
        <f>"014219"</f>
        <v>0</v>
      </c>
      <c r="C9047" t="s">
        <v>13878</v>
      </c>
      <c r="D9047" t="s">
        <v>13879</v>
      </c>
      <c r="E9047" t="str">
        <f>"3460700042343"</f>
        <v>0</v>
      </c>
      <c r="F9047" t="str">
        <f>"001630"</f>
        <v>0</v>
      </c>
      <c r="G9047" t="s">
        <v>21</v>
      </c>
    </row>
    <row r="9048" spans="1:7">
      <c r="A9048">
        <v>9047</v>
      </c>
      <c r="B9048" t="str">
        <f>"013221"</f>
        <v>0</v>
      </c>
      <c r="C9048" t="s">
        <v>425</v>
      </c>
      <c r="D9048" t="s">
        <v>13880</v>
      </c>
      <c r="E9048" t="str">
        <f>"3450400586283"</f>
        <v>0</v>
      </c>
      <c r="F9048" t="str">
        <f>"001630"</f>
        <v>0</v>
      </c>
      <c r="G9048" t="s">
        <v>21</v>
      </c>
    </row>
    <row r="9049" spans="1:7">
      <c r="A9049">
        <v>9048</v>
      </c>
      <c r="B9049" t="str">
        <f>"023747"</f>
        <v>0</v>
      </c>
      <c r="C9049" t="s">
        <v>13881</v>
      </c>
      <c r="D9049" t="s">
        <v>13882</v>
      </c>
      <c r="E9049" t="str">
        <f>"3450300046121"</f>
        <v>0</v>
      </c>
      <c r="F9049" t="str">
        <f>"001630"</f>
        <v>0</v>
      </c>
      <c r="G9049" t="s">
        <v>21</v>
      </c>
    </row>
    <row r="9050" spans="1:7">
      <c r="A9050">
        <v>9049</v>
      </c>
      <c r="B9050" t="str">
        <f>"027206"</f>
        <v>0</v>
      </c>
      <c r="C9050" t="s">
        <v>1804</v>
      </c>
      <c r="D9050" t="s">
        <v>13883</v>
      </c>
      <c r="E9050" t="str">
        <f>"1450600005865"</f>
        <v>0</v>
      </c>
      <c r="F9050" t="str">
        <f>"001630"</f>
        <v>0</v>
      </c>
      <c r="G9050" t="s">
        <v>21</v>
      </c>
    </row>
    <row r="9051" spans="1:7">
      <c r="A9051">
        <v>9050</v>
      </c>
      <c r="B9051" t="str">
        <f>"025653"</f>
        <v>0</v>
      </c>
      <c r="C9051" t="s">
        <v>4577</v>
      </c>
      <c r="D9051" t="s">
        <v>13884</v>
      </c>
      <c r="E9051" t="str">
        <f>"5460590016668"</f>
        <v>0</v>
      </c>
      <c r="F9051" t="str">
        <f>"001630"</f>
        <v>0</v>
      </c>
      <c r="G9051" t="s">
        <v>21</v>
      </c>
    </row>
    <row r="9052" spans="1:7">
      <c r="A9052">
        <v>9051</v>
      </c>
      <c r="B9052" t="str">
        <f>"024532"</f>
        <v>0</v>
      </c>
      <c r="C9052" t="s">
        <v>13885</v>
      </c>
      <c r="D9052" t="s">
        <v>13886</v>
      </c>
      <c r="E9052" t="str">
        <f>"1509900046092"</f>
        <v>0</v>
      </c>
      <c r="F9052" t="str">
        <f>"001630"</f>
        <v>0</v>
      </c>
      <c r="G9052" t="s">
        <v>21</v>
      </c>
    </row>
    <row r="9053" spans="1:7">
      <c r="A9053">
        <v>9052</v>
      </c>
      <c r="B9053" t="str">
        <f>"027513"</f>
        <v>0</v>
      </c>
      <c r="C9053" t="s">
        <v>13887</v>
      </c>
      <c r="D9053" t="s">
        <v>13888</v>
      </c>
      <c r="E9053" t="str">
        <f>"1339900365432"</f>
        <v>0</v>
      </c>
      <c r="F9053" t="str">
        <f>"001630"</f>
        <v>0</v>
      </c>
      <c r="G9053" t="s">
        <v>21</v>
      </c>
    </row>
    <row r="9054" spans="1:7">
      <c r="A9054">
        <v>9053</v>
      </c>
      <c r="B9054" t="str">
        <f>"027608"</f>
        <v>0</v>
      </c>
      <c r="C9054" t="s">
        <v>13889</v>
      </c>
      <c r="D9054" t="s">
        <v>13890</v>
      </c>
      <c r="E9054" t="str">
        <f>"1339900018422"</f>
        <v>0</v>
      </c>
      <c r="F9054" t="str">
        <f>"001630"</f>
        <v>0</v>
      </c>
      <c r="G9054" t="s">
        <v>21</v>
      </c>
    </row>
    <row r="9055" spans="1:7">
      <c r="A9055">
        <v>9054</v>
      </c>
      <c r="B9055" t="str">
        <f>"001008"</f>
        <v>0</v>
      </c>
      <c r="C9055" t="s">
        <v>11534</v>
      </c>
      <c r="D9055" t="s">
        <v>13891</v>
      </c>
      <c r="E9055" t="str">
        <f>"3479900193785"</f>
        <v>0</v>
      </c>
      <c r="F9055" t="str">
        <f>"001650"</f>
        <v>0</v>
      </c>
      <c r="G9055" t="s">
        <v>21</v>
      </c>
    </row>
    <row r="9056" spans="1:7">
      <c r="A9056">
        <v>9055</v>
      </c>
      <c r="B9056" t="str">
        <f>"001845"</f>
        <v>0</v>
      </c>
      <c r="C9056" t="s">
        <v>4100</v>
      </c>
      <c r="D9056" t="s">
        <v>9283</v>
      </c>
      <c r="E9056" t="str">
        <f>"3479900204841"</f>
        <v>0</v>
      </c>
      <c r="F9056" t="str">
        <f>"001650"</f>
        <v>0</v>
      </c>
      <c r="G9056" t="s">
        <v>21</v>
      </c>
    </row>
    <row r="9057" spans="1:7">
      <c r="A9057">
        <v>9056</v>
      </c>
      <c r="B9057" t="str">
        <f>"002649"</f>
        <v>0</v>
      </c>
      <c r="C9057" t="s">
        <v>6184</v>
      </c>
      <c r="D9057" t="s">
        <v>13892</v>
      </c>
      <c r="E9057" t="str">
        <f>"3160400185974"</f>
        <v>0</v>
      </c>
      <c r="F9057" t="str">
        <f>"001650"</f>
        <v>0</v>
      </c>
      <c r="G9057" t="s">
        <v>21</v>
      </c>
    </row>
    <row r="9058" spans="1:7">
      <c r="A9058">
        <v>9057</v>
      </c>
      <c r="B9058" t="str">
        <f>"004598"</f>
        <v>0</v>
      </c>
      <c r="C9058" t="s">
        <v>3411</v>
      </c>
      <c r="D9058" t="s">
        <v>13893</v>
      </c>
      <c r="E9058" t="str">
        <f>"3470500407747"</f>
        <v>0</v>
      </c>
      <c r="F9058" t="str">
        <f>"001650"</f>
        <v>0</v>
      </c>
      <c r="G9058" t="s">
        <v>21</v>
      </c>
    </row>
    <row r="9059" spans="1:7">
      <c r="A9059">
        <v>9058</v>
      </c>
      <c r="B9059" t="str">
        <f>"005189"</f>
        <v>0</v>
      </c>
      <c r="C9059" t="s">
        <v>6659</v>
      </c>
      <c r="D9059" t="s">
        <v>13894</v>
      </c>
      <c r="E9059" t="str">
        <f>"3540200253522"</f>
        <v>0</v>
      </c>
      <c r="F9059" t="str">
        <f>"001650"</f>
        <v>0</v>
      </c>
      <c r="G9059" t="s">
        <v>21</v>
      </c>
    </row>
    <row r="9060" spans="1:7">
      <c r="A9060">
        <v>9059</v>
      </c>
      <c r="B9060" t="str">
        <f>"005191"</f>
        <v>0</v>
      </c>
      <c r="C9060" t="s">
        <v>13895</v>
      </c>
      <c r="D9060" t="s">
        <v>13896</v>
      </c>
      <c r="E9060" t="str">
        <f>"3400101075252"</f>
        <v>0</v>
      </c>
      <c r="F9060" t="str">
        <f>"001650"</f>
        <v>0</v>
      </c>
      <c r="G9060" t="s">
        <v>21</v>
      </c>
    </row>
    <row r="9061" spans="1:7">
      <c r="A9061">
        <v>9060</v>
      </c>
      <c r="B9061" t="str">
        <f>"005194"</f>
        <v>0</v>
      </c>
      <c r="C9061" t="s">
        <v>3897</v>
      </c>
      <c r="D9061" t="s">
        <v>13897</v>
      </c>
      <c r="E9061" t="str">
        <f>"3801500178699"</f>
        <v>0</v>
      </c>
      <c r="F9061" t="str">
        <f>"001650"</f>
        <v>0</v>
      </c>
      <c r="G9061" t="s">
        <v>21</v>
      </c>
    </row>
    <row r="9062" spans="1:7">
      <c r="A9062">
        <v>9061</v>
      </c>
      <c r="B9062" t="str">
        <f>"005555"</f>
        <v>0</v>
      </c>
      <c r="C9062" t="s">
        <v>13898</v>
      </c>
      <c r="D9062" t="s">
        <v>13899</v>
      </c>
      <c r="E9062" t="str">
        <f>"3470101035391"</f>
        <v>0</v>
      </c>
      <c r="F9062" t="str">
        <f>"001650"</f>
        <v>0</v>
      </c>
      <c r="G9062" t="s">
        <v>21</v>
      </c>
    </row>
    <row r="9063" spans="1:7">
      <c r="A9063">
        <v>9062</v>
      </c>
      <c r="B9063" t="str">
        <f>"006413"</f>
        <v>0</v>
      </c>
      <c r="C9063" t="s">
        <v>12087</v>
      </c>
      <c r="D9063" t="s">
        <v>13900</v>
      </c>
      <c r="E9063" t="str">
        <f>"3471201455783"</f>
        <v>0</v>
      </c>
      <c r="F9063" t="str">
        <f>"001650"</f>
        <v>0</v>
      </c>
      <c r="G9063" t="s">
        <v>21</v>
      </c>
    </row>
    <row r="9064" spans="1:7">
      <c r="A9064">
        <v>9063</v>
      </c>
      <c r="B9064" t="str">
        <f>"006543"</f>
        <v>0</v>
      </c>
      <c r="C9064" t="s">
        <v>13901</v>
      </c>
      <c r="D9064" t="s">
        <v>13902</v>
      </c>
      <c r="E9064" t="str">
        <f>"4361100001212"</f>
        <v>0</v>
      </c>
      <c r="F9064" t="str">
        <f>"001650"</f>
        <v>0</v>
      </c>
      <c r="G9064" t="s">
        <v>21</v>
      </c>
    </row>
    <row r="9065" spans="1:7">
      <c r="A9065">
        <v>9064</v>
      </c>
      <c r="B9065" t="str">
        <f>"006571"</f>
        <v>0</v>
      </c>
      <c r="C9065" t="s">
        <v>857</v>
      </c>
      <c r="D9065" t="s">
        <v>13903</v>
      </c>
      <c r="E9065" t="str">
        <f>"3471200321961"</f>
        <v>0</v>
      </c>
      <c r="F9065" t="str">
        <f>"001650"</f>
        <v>0</v>
      </c>
      <c r="G9065" t="s">
        <v>21</v>
      </c>
    </row>
    <row r="9066" spans="1:7">
      <c r="A9066">
        <v>9065</v>
      </c>
      <c r="B9066" t="str">
        <f>"006572"</f>
        <v>0</v>
      </c>
      <c r="C9066" t="s">
        <v>4883</v>
      </c>
      <c r="D9066" t="s">
        <v>2418</v>
      </c>
      <c r="E9066" t="str">
        <f>"3410100745378"</f>
        <v>0</v>
      </c>
      <c r="F9066" t="str">
        <f>"001650"</f>
        <v>0</v>
      </c>
      <c r="G9066" t="s">
        <v>21</v>
      </c>
    </row>
    <row r="9067" spans="1:7">
      <c r="A9067">
        <v>9066</v>
      </c>
      <c r="B9067" t="str">
        <f>"006586"</f>
        <v>0</v>
      </c>
      <c r="C9067" t="s">
        <v>13904</v>
      </c>
      <c r="D9067" t="s">
        <v>13905</v>
      </c>
      <c r="E9067" t="str">
        <f>"3360400064601"</f>
        <v>0</v>
      </c>
      <c r="F9067" t="str">
        <f>"001650"</f>
        <v>0</v>
      </c>
      <c r="G9067" t="s">
        <v>21</v>
      </c>
    </row>
    <row r="9068" spans="1:7">
      <c r="A9068">
        <v>9067</v>
      </c>
      <c r="B9068" t="str">
        <f>"006788"</f>
        <v>0</v>
      </c>
      <c r="C9068" t="s">
        <v>13906</v>
      </c>
      <c r="D9068" t="s">
        <v>13907</v>
      </c>
      <c r="E9068" t="str">
        <f>"3470100731971"</f>
        <v>0</v>
      </c>
      <c r="F9068" t="str">
        <f>"001650"</f>
        <v>0</v>
      </c>
      <c r="G9068" t="s">
        <v>21</v>
      </c>
    </row>
    <row r="9069" spans="1:7">
      <c r="A9069">
        <v>9068</v>
      </c>
      <c r="B9069" t="str">
        <f>"006939"</f>
        <v>0</v>
      </c>
      <c r="C9069" t="s">
        <v>13908</v>
      </c>
      <c r="D9069" t="s">
        <v>13909</v>
      </c>
      <c r="E9069" t="str">
        <f>"5470900004581"</f>
        <v>0</v>
      </c>
      <c r="F9069" t="str">
        <f>"001650"</f>
        <v>0</v>
      </c>
      <c r="G9069" t="s">
        <v>21</v>
      </c>
    </row>
    <row r="9070" spans="1:7">
      <c r="A9070">
        <v>9069</v>
      </c>
      <c r="B9070" t="str">
        <f>"006940"</f>
        <v>0</v>
      </c>
      <c r="C9070" t="s">
        <v>13910</v>
      </c>
      <c r="D9070" t="s">
        <v>13911</v>
      </c>
      <c r="E9070" t="str">
        <f>"3470600289762"</f>
        <v>0</v>
      </c>
      <c r="F9070" t="str">
        <f>"001650"</f>
        <v>0</v>
      </c>
      <c r="G9070" t="s">
        <v>21</v>
      </c>
    </row>
    <row r="9071" spans="1:7">
      <c r="A9071">
        <v>9070</v>
      </c>
      <c r="B9071" t="str">
        <f>"007215"</f>
        <v>0</v>
      </c>
      <c r="C9071" t="s">
        <v>10192</v>
      </c>
      <c r="D9071" t="s">
        <v>13912</v>
      </c>
      <c r="E9071" t="str">
        <f>"3470800521791"</f>
        <v>0</v>
      </c>
      <c r="F9071" t="str">
        <f>"001650"</f>
        <v>0</v>
      </c>
      <c r="G9071" t="s">
        <v>21</v>
      </c>
    </row>
    <row r="9072" spans="1:7">
      <c r="A9072">
        <v>9071</v>
      </c>
      <c r="B9072" t="str">
        <f>"007217"</f>
        <v>0</v>
      </c>
      <c r="C9072" t="s">
        <v>1735</v>
      </c>
      <c r="D9072" t="s">
        <v>13913</v>
      </c>
      <c r="E9072" t="str">
        <f>"3471100007564"</f>
        <v>0</v>
      </c>
      <c r="F9072" t="str">
        <f>"001650"</f>
        <v>0</v>
      </c>
      <c r="G9072" t="s">
        <v>21</v>
      </c>
    </row>
    <row r="9073" spans="1:7">
      <c r="A9073">
        <v>9072</v>
      </c>
      <c r="B9073" t="str">
        <f>"007219"</f>
        <v>0</v>
      </c>
      <c r="C9073" t="s">
        <v>957</v>
      </c>
      <c r="D9073" t="s">
        <v>13914</v>
      </c>
      <c r="E9073" t="str">
        <f>"3479900056532"</f>
        <v>0</v>
      </c>
      <c r="F9073" t="str">
        <f>"001650"</f>
        <v>0</v>
      </c>
      <c r="G9073" t="s">
        <v>21</v>
      </c>
    </row>
    <row r="9074" spans="1:7">
      <c r="A9074">
        <v>9073</v>
      </c>
      <c r="B9074" t="str">
        <f>"007220"</f>
        <v>0</v>
      </c>
      <c r="C9074" t="s">
        <v>130</v>
      </c>
      <c r="D9074" t="s">
        <v>13915</v>
      </c>
      <c r="E9074" t="str">
        <f>"3471300221390"</f>
        <v>0</v>
      </c>
      <c r="F9074" t="str">
        <f>"001650"</f>
        <v>0</v>
      </c>
      <c r="G9074" t="s">
        <v>21</v>
      </c>
    </row>
    <row r="9075" spans="1:7">
      <c r="A9075">
        <v>9074</v>
      </c>
      <c r="B9075" t="str">
        <f>"007428"</f>
        <v>0</v>
      </c>
      <c r="C9075" t="s">
        <v>13916</v>
      </c>
      <c r="D9075" t="s">
        <v>13917</v>
      </c>
      <c r="E9075" t="str">
        <f>"3470400425158"</f>
        <v>0</v>
      </c>
      <c r="F9075" t="str">
        <f>"001650"</f>
        <v>0</v>
      </c>
      <c r="G9075" t="s">
        <v>21</v>
      </c>
    </row>
    <row r="9076" spans="1:7">
      <c r="A9076">
        <v>9075</v>
      </c>
      <c r="B9076" t="str">
        <f>"007795"</f>
        <v>0</v>
      </c>
      <c r="C9076" t="s">
        <v>1260</v>
      </c>
      <c r="D9076" t="s">
        <v>13918</v>
      </c>
      <c r="E9076" t="str">
        <f>"3470300006897"</f>
        <v>0</v>
      </c>
      <c r="F9076" t="str">
        <f>"001650"</f>
        <v>0</v>
      </c>
      <c r="G9076" t="s">
        <v>21</v>
      </c>
    </row>
    <row r="9077" spans="1:7">
      <c r="A9077">
        <v>9076</v>
      </c>
      <c r="B9077" t="str">
        <f>"007822"</f>
        <v>0</v>
      </c>
      <c r="C9077" t="s">
        <v>13919</v>
      </c>
      <c r="D9077" t="s">
        <v>13920</v>
      </c>
      <c r="E9077" t="str">
        <f>"3410200069048"</f>
        <v>0</v>
      </c>
      <c r="F9077" t="str">
        <f>"001650"</f>
        <v>0</v>
      </c>
      <c r="G9077" t="s">
        <v>21</v>
      </c>
    </row>
    <row r="9078" spans="1:7">
      <c r="A9078">
        <v>9077</v>
      </c>
      <c r="B9078" t="str">
        <f>"008038"</f>
        <v>0</v>
      </c>
      <c r="C9078" t="s">
        <v>624</v>
      </c>
      <c r="D9078" t="s">
        <v>13921</v>
      </c>
      <c r="E9078" t="str">
        <f>"4470600001317"</f>
        <v>0</v>
      </c>
      <c r="F9078" t="str">
        <f>"001650"</f>
        <v>0</v>
      </c>
      <c r="G9078" t="s">
        <v>21</v>
      </c>
    </row>
    <row r="9079" spans="1:7">
      <c r="A9079">
        <v>9078</v>
      </c>
      <c r="B9079" t="str">
        <f>"008070"</f>
        <v>0</v>
      </c>
      <c r="C9079" t="s">
        <v>2241</v>
      </c>
      <c r="D9079" t="s">
        <v>13920</v>
      </c>
      <c r="E9079" t="str">
        <f>"3410200387449"</f>
        <v>0</v>
      </c>
      <c r="F9079" t="str">
        <f>"001650"</f>
        <v>0</v>
      </c>
      <c r="G9079" t="s">
        <v>21</v>
      </c>
    </row>
    <row r="9080" spans="1:7">
      <c r="A9080">
        <v>9079</v>
      </c>
      <c r="B9080" t="str">
        <f>"008231"</f>
        <v>0</v>
      </c>
      <c r="C9080" t="s">
        <v>86</v>
      </c>
      <c r="D9080" t="s">
        <v>13922</v>
      </c>
      <c r="E9080" t="str">
        <f>"3470500004359"</f>
        <v>0</v>
      </c>
      <c r="F9080" t="str">
        <f>"001650"</f>
        <v>0</v>
      </c>
      <c r="G9080" t="s">
        <v>21</v>
      </c>
    </row>
    <row r="9081" spans="1:7">
      <c r="A9081">
        <v>9080</v>
      </c>
      <c r="B9081" t="str">
        <f>"008274"</f>
        <v>0</v>
      </c>
      <c r="C9081" t="s">
        <v>104</v>
      </c>
      <c r="D9081" t="s">
        <v>13923</v>
      </c>
      <c r="E9081" t="str">
        <f>"3930600159465"</f>
        <v>0</v>
      </c>
      <c r="F9081" t="str">
        <f>"001650"</f>
        <v>0</v>
      </c>
      <c r="G9081" t="s">
        <v>21</v>
      </c>
    </row>
    <row r="9082" spans="1:7">
      <c r="A9082">
        <v>9081</v>
      </c>
      <c r="B9082" t="str">
        <f>"008350"</f>
        <v>0</v>
      </c>
      <c r="C9082" t="s">
        <v>13924</v>
      </c>
      <c r="D9082" t="s">
        <v>13925</v>
      </c>
      <c r="E9082" t="str">
        <f>"3471200895127"</f>
        <v>0</v>
      </c>
      <c r="F9082" t="str">
        <f>"001650"</f>
        <v>0</v>
      </c>
      <c r="G9082" t="s">
        <v>21</v>
      </c>
    </row>
    <row r="9083" spans="1:7">
      <c r="A9083">
        <v>9082</v>
      </c>
      <c r="B9083" t="str">
        <f>"008353"</f>
        <v>0</v>
      </c>
      <c r="C9083" t="s">
        <v>13926</v>
      </c>
      <c r="D9083" t="s">
        <v>13927</v>
      </c>
      <c r="E9083" t="str">
        <f>"3471400135142"</f>
        <v>0</v>
      </c>
      <c r="F9083" t="str">
        <f>"001650"</f>
        <v>0</v>
      </c>
      <c r="G9083" t="s">
        <v>21</v>
      </c>
    </row>
    <row r="9084" spans="1:7">
      <c r="A9084">
        <v>9083</v>
      </c>
      <c r="B9084" t="str">
        <f>"008512"</f>
        <v>0</v>
      </c>
      <c r="C9084" t="s">
        <v>3638</v>
      </c>
      <c r="D9084" t="s">
        <v>11670</v>
      </c>
      <c r="E9084" t="str">
        <f>"3471200620985"</f>
        <v>0</v>
      </c>
      <c r="F9084" t="str">
        <f>"001650"</f>
        <v>0</v>
      </c>
      <c r="G9084" t="s">
        <v>21</v>
      </c>
    </row>
    <row r="9085" spans="1:7">
      <c r="A9085">
        <v>9084</v>
      </c>
      <c r="B9085" t="str">
        <f>"008640"</f>
        <v>0</v>
      </c>
      <c r="C9085" t="s">
        <v>13928</v>
      </c>
      <c r="D9085" t="s">
        <v>13929</v>
      </c>
      <c r="E9085" t="str">
        <f>"3470800379269"</f>
        <v>0</v>
      </c>
      <c r="F9085" t="str">
        <f>"001650"</f>
        <v>0</v>
      </c>
      <c r="G9085" t="s">
        <v>21</v>
      </c>
    </row>
    <row r="9086" spans="1:7">
      <c r="A9086">
        <v>9085</v>
      </c>
      <c r="B9086" t="str">
        <f>"008888"</f>
        <v>0</v>
      </c>
      <c r="C9086" t="s">
        <v>13930</v>
      </c>
      <c r="D9086" t="s">
        <v>13918</v>
      </c>
      <c r="E9086" t="str">
        <f>"3470100084967"</f>
        <v>0</v>
      </c>
      <c r="F9086" t="str">
        <f>"001650"</f>
        <v>0</v>
      </c>
      <c r="G9086" t="s">
        <v>21</v>
      </c>
    </row>
    <row r="9087" spans="1:7">
      <c r="A9087">
        <v>9086</v>
      </c>
      <c r="B9087" t="str">
        <f>"008889"</f>
        <v>0</v>
      </c>
      <c r="C9087" t="s">
        <v>13931</v>
      </c>
      <c r="D9087" t="s">
        <v>13932</v>
      </c>
      <c r="E9087" t="str">
        <f>"5479990002875"</f>
        <v>0</v>
      </c>
      <c r="F9087" t="str">
        <f>"001650"</f>
        <v>0</v>
      </c>
      <c r="G9087" t="s">
        <v>21</v>
      </c>
    </row>
    <row r="9088" spans="1:7">
      <c r="A9088">
        <v>9087</v>
      </c>
      <c r="B9088" t="str">
        <f>"008904"</f>
        <v>0</v>
      </c>
      <c r="C9088" t="s">
        <v>2239</v>
      </c>
      <c r="D9088" t="s">
        <v>1932</v>
      </c>
      <c r="E9088" t="str">
        <f>"3471100005910"</f>
        <v>0</v>
      </c>
      <c r="F9088" t="str">
        <f>"001650"</f>
        <v>0</v>
      </c>
      <c r="G9088" t="s">
        <v>21</v>
      </c>
    </row>
    <row r="9089" spans="1:7">
      <c r="A9089">
        <v>9088</v>
      </c>
      <c r="B9089" t="str">
        <f>"009006"</f>
        <v>0</v>
      </c>
      <c r="C9089" t="s">
        <v>13933</v>
      </c>
      <c r="D9089" t="s">
        <v>13934</v>
      </c>
      <c r="E9089" t="str">
        <f>"3471100012436"</f>
        <v>0</v>
      </c>
      <c r="F9089" t="str">
        <f>"001650"</f>
        <v>0</v>
      </c>
      <c r="G9089" t="s">
        <v>21</v>
      </c>
    </row>
    <row r="9090" spans="1:7">
      <c r="A9090">
        <v>9089</v>
      </c>
      <c r="B9090" t="str">
        <f>"009241"</f>
        <v>0</v>
      </c>
      <c r="C9090" t="s">
        <v>13935</v>
      </c>
      <c r="D9090" t="s">
        <v>359</v>
      </c>
      <c r="E9090" t="str">
        <f>"3470500133051"</f>
        <v>0</v>
      </c>
      <c r="F9090" t="str">
        <f>"001650"</f>
        <v>0</v>
      </c>
      <c r="G9090" t="s">
        <v>21</v>
      </c>
    </row>
    <row r="9091" spans="1:7">
      <c r="A9091">
        <v>9090</v>
      </c>
      <c r="B9091" t="str">
        <f>"009304"</f>
        <v>0</v>
      </c>
      <c r="C9091" t="s">
        <v>160</v>
      </c>
      <c r="D9091" t="s">
        <v>13936</v>
      </c>
      <c r="E9091" t="str">
        <f>"3400200211928"</f>
        <v>0</v>
      </c>
      <c r="F9091" t="str">
        <f>"001650"</f>
        <v>0</v>
      </c>
      <c r="G9091" t="s">
        <v>21</v>
      </c>
    </row>
    <row r="9092" spans="1:7">
      <c r="A9092">
        <v>9091</v>
      </c>
      <c r="B9092" t="str">
        <f>"009416"</f>
        <v>0</v>
      </c>
      <c r="C9092" t="s">
        <v>4757</v>
      </c>
      <c r="D9092" t="s">
        <v>13905</v>
      </c>
      <c r="E9092" t="str">
        <f>"3360400064598"</f>
        <v>0</v>
      </c>
      <c r="F9092" t="str">
        <f>"001650"</f>
        <v>0</v>
      </c>
      <c r="G9092" t="s">
        <v>21</v>
      </c>
    </row>
    <row r="9093" spans="1:7">
      <c r="A9093">
        <v>9092</v>
      </c>
      <c r="B9093" t="str">
        <f>"010206"</f>
        <v>0</v>
      </c>
      <c r="C9093" t="s">
        <v>678</v>
      </c>
      <c r="D9093" t="s">
        <v>11999</v>
      </c>
      <c r="E9093" t="str">
        <f>"3450700611321"</f>
        <v>0</v>
      </c>
      <c r="F9093" t="str">
        <f>"001650"</f>
        <v>0</v>
      </c>
      <c r="G9093" t="s">
        <v>21</v>
      </c>
    </row>
    <row r="9094" spans="1:7">
      <c r="A9094">
        <v>9093</v>
      </c>
      <c r="B9094" t="str">
        <f>"010207"</f>
        <v>0</v>
      </c>
      <c r="C9094" t="s">
        <v>13937</v>
      </c>
      <c r="D9094" t="s">
        <v>13938</v>
      </c>
      <c r="E9094" t="str">
        <f>"3470100574298"</f>
        <v>0</v>
      </c>
      <c r="F9094" t="str">
        <f>"001650"</f>
        <v>0</v>
      </c>
      <c r="G9094" t="s">
        <v>21</v>
      </c>
    </row>
    <row r="9095" spans="1:7">
      <c r="A9095">
        <v>9094</v>
      </c>
      <c r="B9095" t="str">
        <f>"010455"</f>
        <v>0</v>
      </c>
      <c r="C9095" t="s">
        <v>13939</v>
      </c>
      <c r="D9095" t="s">
        <v>13940</v>
      </c>
      <c r="E9095" t="str">
        <f>"3480900102480"</f>
        <v>0</v>
      </c>
      <c r="F9095" t="str">
        <f>"001650"</f>
        <v>0</v>
      </c>
      <c r="G9095" t="s">
        <v>21</v>
      </c>
    </row>
    <row r="9096" spans="1:7">
      <c r="A9096">
        <v>9095</v>
      </c>
      <c r="B9096" t="str">
        <f>"010777"</f>
        <v>0</v>
      </c>
      <c r="C9096" t="s">
        <v>13941</v>
      </c>
      <c r="D9096" t="s">
        <v>12921</v>
      </c>
      <c r="E9096" t="str">
        <f>"3470101108118"</f>
        <v>0</v>
      </c>
      <c r="F9096" t="str">
        <f>"001650"</f>
        <v>0</v>
      </c>
      <c r="G9096" t="s">
        <v>21</v>
      </c>
    </row>
    <row r="9097" spans="1:7">
      <c r="A9097">
        <v>9096</v>
      </c>
      <c r="B9097" t="str">
        <f>"010985"</f>
        <v>0</v>
      </c>
      <c r="C9097" t="s">
        <v>13942</v>
      </c>
      <c r="D9097" t="s">
        <v>13943</v>
      </c>
      <c r="E9097" t="str">
        <f>"3410900322846"</f>
        <v>0</v>
      </c>
      <c r="F9097" t="str">
        <f>"001650"</f>
        <v>0</v>
      </c>
      <c r="G9097" t="s">
        <v>21</v>
      </c>
    </row>
    <row r="9098" spans="1:7">
      <c r="A9098">
        <v>9097</v>
      </c>
      <c r="B9098" t="str">
        <f>"011068"</f>
        <v>0</v>
      </c>
      <c r="C9098" t="s">
        <v>2608</v>
      </c>
      <c r="D9098" t="s">
        <v>13944</v>
      </c>
      <c r="E9098" t="str">
        <f>"3470300511184"</f>
        <v>0</v>
      </c>
      <c r="F9098" t="str">
        <f>"001650"</f>
        <v>0</v>
      </c>
      <c r="G9098" t="s">
        <v>21</v>
      </c>
    </row>
    <row r="9099" spans="1:7">
      <c r="A9099">
        <v>9098</v>
      </c>
      <c r="B9099" t="str">
        <f>"011198"</f>
        <v>0</v>
      </c>
      <c r="C9099" t="s">
        <v>229</v>
      </c>
      <c r="D9099" t="s">
        <v>13945</v>
      </c>
      <c r="E9099" t="str">
        <f>"3860400453182"</f>
        <v>0</v>
      </c>
      <c r="F9099" t="str">
        <f>"001650"</f>
        <v>0</v>
      </c>
      <c r="G9099" t="s">
        <v>21</v>
      </c>
    </row>
    <row r="9100" spans="1:7">
      <c r="A9100">
        <v>9099</v>
      </c>
      <c r="B9100" t="str">
        <f>"011901"</f>
        <v>0</v>
      </c>
      <c r="C9100" t="s">
        <v>13946</v>
      </c>
      <c r="D9100" t="s">
        <v>13947</v>
      </c>
      <c r="E9100" t="str">
        <f>"3471200004419"</f>
        <v>0</v>
      </c>
      <c r="F9100" t="str">
        <f>"001650"</f>
        <v>0</v>
      </c>
      <c r="G9100" t="s">
        <v>21</v>
      </c>
    </row>
    <row r="9101" spans="1:7">
      <c r="A9101">
        <v>9100</v>
      </c>
      <c r="B9101" t="str">
        <f>"012174"</f>
        <v>0</v>
      </c>
      <c r="C9101" t="s">
        <v>144</v>
      </c>
      <c r="D9101" t="s">
        <v>13948</v>
      </c>
      <c r="E9101" t="str">
        <f>"3550800067053"</f>
        <v>0</v>
      </c>
      <c r="F9101" t="str">
        <f>"001650"</f>
        <v>0</v>
      </c>
      <c r="G9101" t="s">
        <v>21</v>
      </c>
    </row>
    <row r="9102" spans="1:7">
      <c r="A9102">
        <v>9101</v>
      </c>
      <c r="B9102" t="str">
        <f>"012440"</f>
        <v>0</v>
      </c>
      <c r="C9102" t="s">
        <v>6323</v>
      </c>
      <c r="D9102" t="s">
        <v>13949</v>
      </c>
      <c r="E9102" t="str">
        <f>"5470690004637"</f>
        <v>0</v>
      </c>
      <c r="F9102" t="str">
        <f>"001650"</f>
        <v>0</v>
      </c>
      <c r="G9102" t="s">
        <v>21</v>
      </c>
    </row>
    <row r="9103" spans="1:7">
      <c r="A9103">
        <v>9102</v>
      </c>
      <c r="B9103" t="str">
        <f>"012516"</f>
        <v>0</v>
      </c>
      <c r="C9103" t="s">
        <v>7600</v>
      </c>
      <c r="D9103" t="s">
        <v>13950</v>
      </c>
      <c r="E9103" t="str">
        <f>"3479900148470"</f>
        <v>0</v>
      </c>
      <c r="F9103" t="str">
        <f>"001650"</f>
        <v>0</v>
      </c>
      <c r="G9103" t="s">
        <v>21</v>
      </c>
    </row>
    <row r="9104" spans="1:7">
      <c r="A9104">
        <v>9103</v>
      </c>
      <c r="B9104" t="str">
        <f>"012904"</f>
        <v>0</v>
      </c>
      <c r="C9104" t="s">
        <v>887</v>
      </c>
      <c r="D9104" t="s">
        <v>13951</v>
      </c>
      <c r="E9104" t="str">
        <f>"3450100648780"</f>
        <v>0</v>
      </c>
      <c r="F9104" t="str">
        <f>"001650"</f>
        <v>0</v>
      </c>
      <c r="G9104" t="s">
        <v>21</v>
      </c>
    </row>
    <row r="9105" spans="1:7">
      <c r="A9105">
        <v>9104</v>
      </c>
      <c r="B9105" t="str">
        <f>"012909"</f>
        <v>0</v>
      </c>
      <c r="C9105" t="s">
        <v>12669</v>
      </c>
      <c r="D9105" t="s">
        <v>2330</v>
      </c>
      <c r="E9105" t="str">
        <f>"5560100004586"</f>
        <v>0</v>
      </c>
      <c r="F9105" t="str">
        <f>"001650"</f>
        <v>0</v>
      </c>
      <c r="G9105" t="s">
        <v>21</v>
      </c>
    </row>
    <row r="9106" spans="1:7">
      <c r="A9106">
        <v>9105</v>
      </c>
      <c r="B9106" t="str">
        <f>"013050"</f>
        <v>0</v>
      </c>
      <c r="C9106" t="s">
        <v>5962</v>
      </c>
      <c r="D9106" t="s">
        <v>13952</v>
      </c>
      <c r="E9106" t="str">
        <f>"3501600006183"</f>
        <v>0</v>
      </c>
      <c r="F9106" t="str">
        <f>"001650"</f>
        <v>0</v>
      </c>
      <c r="G9106" t="s">
        <v>21</v>
      </c>
    </row>
    <row r="9107" spans="1:7">
      <c r="A9107">
        <v>9106</v>
      </c>
      <c r="B9107" t="str">
        <f>"013372"</f>
        <v>0</v>
      </c>
      <c r="C9107" t="s">
        <v>4678</v>
      </c>
      <c r="D9107" t="s">
        <v>13953</v>
      </c>
      <c r="E9107" t="str">
        <f>"3930700032629"</f>
        <v>0</v>
      </c>
      <c r="F9107" t="str">
        <f>"001650"</f>
        <v>0</v>
      </c>
      <c r="G9107" t="s">
        <v>21</v>
      </c>
    </row>
    <row r="9108" spans="1:7">
      <c r="A9108">
        <v>9107</v>
      </c>
      <c r="B9108" t="str">
        <f>"013400"</f>
        <v>0</v>
      </c>
      <c r="C9108" t="s">
        <v>13954</v>
      </c>
      <c r="D9108" t="s">
        <v>13955</v>
      </c>
      <c r="E9108" t="str">
        <f>"3471201594562"</f>
        <v>0</v>
      </c>
      <c r="F9108" t="str">
        <f>"001650"</f>
        <v>0</v>
      </c>
      <c r="G9108" t="s">
        <v>21</v>
      </c>
    </row>
    <row r="9109" spans="1:7">
      <c r="A9109">
        <v>9108</v>
      </c>
      <c r="B9109" t="str">
        <f>"013414"</f>
        <v>0</v>
      </c>
      <c r="C9109" t="s">
        <v>3915</v>
      </c>
      <c r="D9109" t="s">
        <v>13956</v>
      </c>
      <c r="E9109" t="str">
        <f>"3471201516464"</f>
        <v>0</v>
      </c>
      <c r="F9109" t="str">
        <f>"001650"</f>
        <v>0</v>
      </c>
      <c r="G9109" t="s">
        <v>21</v>
      </c>
    </row>
    <row r="9110" spans="1:7">
      <c r="A9110">
        <v>9109</v>
      </c>
      <c r="B9110" t="str">
        <f>"013515"</f>
        <v>0</v>
      </c>
      <c r="C9110" t="s">
        <v>7593</v>
      </c>
      <c r="D9110" t="s">
        <v>13957</v>
      </c>
      <c r="E9110" t="str">
        <f>"3410600115802"</f>
        <v>0</v>
      </c>
      <c r="F9110" t="str">
        <f>"001650"</f>
        <v>0</v>
      </c>
      <c r="G9110" t="s">
        <v>21</v>
      </c>
    </row>
    <row r="9111" spans="1:7">
      <c r="A9111">
        <v>9110</v>
      </c>
      <c r="B9111" t="str">
        <f>"013593"</f>
        <v>0</v>
      </c>
      <c r="C9111" t="s">
        <v>5201</v>
      </c>
      <c r="D9111" t="s">
        <v>13958</v>
      </c>
      <c r="E9111" t="str">
        <f>"3470100476784"</f>
        <v>0</v>
      </c>
      <c r="F9111" t="str">
        <f>"001650"</f>
        <v>0</v>
      </c>
      <c r="G9111" t="s">
        <v>21</v>
      </c>
    </row>
    <row r="9112" spans="1:7">
      <c r="A9112">
        <v>9111</v>
      </c>
      <c r="B9112" t="str">
        <f>"014052"</f>
        <v>0</v>
      </c>
      <c r="C9112" t="s">
        <v>13959</v>
      </c>
      <c r="D9112" t="s">
        <v>13960</v>
      </c>
      <c r="E9112" t="str">
        <f>"3479900056907"</f>
        <v>0</v>
      </c>
      <c r="F9112" t="str">
        <f>"001650"</f>
        <v>0</v>
      </c>
      <c r="G9112" t="s">
        <v>21</v>
      </c>
    </row>
    <row r="9113" spans="1:7">
      <c r="A9113">
        <v>9112</v>
      </c>
      <c r="B9113" t="str">
        <f>"014395"</f>
        <v>0</v>
      </c>
      <c r="C9113" t="s">
        <v>326</v>
      </c>
      <c r="D9113" t="s">
        <v>13961</v>
      </c>
      <c r="E9113" t="str">
        <f>"3470101483041"</f>
        <v>0</v>
      </c>
      <c r="F9113" t="str">
        <f>"001650"</f>
        <v>0</v>
      </c>
      <c r="G9113" t="s">
        <v>21</v>
      </c>
    </row>
    <row r="9114" spans="1:7">
      <c r="A9114">
        <v>9113</v>
      </c>
      <c r="B9114" t="str">
        <f>"014839"</f>
        <v>0</v>
      </c>
      <c r="C9114" t="s">
        <v>2076</v>
      </c>
      <c r="D9114" t="s">
        <v>13962</v>
      </c>
      <c r="E9114" t="str">
        <f>"3480900043157"</f>
        <v>0</v>
      </c>
      <c r="F9114" t="str">
        <f>"001650"</f>
        <v>0</v>
      </c>
      <c r="G9114" t="s">
        <v>21</v>
      </c>
    </row>
    <row r="9115" spans="1:7">
      <c r="A9115">
        <v>9114</v>
      </c>
      <c r="B9115" t="str">
        <f>"015450"</f>
        <v>0</v>
      </c>
      <c r="C9115" t="s">
        <v>4435</v>
      </c>
      <c r="D9115" t="s">
        <v>13963</v>
      </c>
      <c r="E9115" t="str">
        <f>"3450700636481"</f>
        <v>0</v>
      </c>
      <c r="F9115" t="str">
        <f>"001650"</f>
        <v>0</v>
      </c>
      <c r="G9115" t="s">
        <v>21</v>
      </c>
    </row>
    <row r="9116" spans="1:7">
      <c r="A9116">
        <v>9115</v>
      </c>
      <c r="B9116" t="str">
        <f>"016192"</f>
        <v>0</v>
      </c>
      <c r="C9116" t="s">
        <v>2303</v>
      </c>
      <c r="D9116" t="s">
        <v>13964</v>
      </c>
      <c r="E9116" t="str">
        <f>"3411900384460"</f>
        <v>0</v>
      </c>
      <c r="F9116" t="str">
        <f>"001650"</f>
        <v>0</v>
      </c>
      <c r="G9116" t="s">
        <v>21</v>
      </c>
    </row>
    <row r="9117" spans="1:7">
      <c r="A9117">
        <v>9116</v>
      </c>
      <c r="B9117" t="str">
        <f>"017717"</f>
        <v>0</v>
      </c>
      <c r="C9117" t="s">
        <v>9970</v>
      </c>
      <c r="D9117" t="s">
        <v>13965</v>
      </c>
      <c r="E9117" t="str">
        <f>"3479900064462"</f>
        <v>0</v>
      </c>
      <c r="F9117" t="str">
        <f>"001650"</f>
        <v>0</v>
      </c>
      <c r="G9117" t="s">
        <v>21</v>
      </c>
    </row>
    <row r="9118" spans="1:7">
      <c r="A9118">
        <v>9117</v>
      </c>
      <c r="B9118" t="str">
        <f>"018863"</f>
        <v>0</v>
      </c>
      <c r="C9118" t="s">
        <v>4059</v>
      </c>
      <c r="D9118" t="s">
        <v>2695</v>
      </c>
      <c r="E9118" t="str">
        <f>"3471100163248"</f>
        <v>0</v>
      </c>
      <c r="F9118" t="str">
        <f>"001650"</f>
        <v>0</v>
      </c>
      <c r="G9118" t="s">
        <v>21</v>
      </c>
    </row>
    <row r="9119" spans="1:7">
      <c r="A9119">
        <v>9118</v>
      </c>
      <c r="B9119" t="str">
        <f>"018971"</f>
        <v>0</v>
      </c>
      <c r="C9119" t="s">
        <v>13966</v>
      </c>
      <c r="D9119" t="s">
        <v>13967</v>
      </c>
      <c r="E9119" t="str">
        <f>"3360800227109"</f>
        <v>0</v>
      </c>
      <c r="F9119" t="str">
        <f>"001650"</f>
        <v>0</v>
      </c>
      <c r="G9119" t="s">
        <v>21</v>
      </c>
    </row>
    <row r="9120" spans="1:7">
      <c r="A9120">
        <v>9119</v>
      </c>
      <c r="B9120" t="str">
        <f>"019032"</f>
        <v>0</v>
      </c>
      <c r="C9120" t="s">
        <v>468</v>
      </c>
      <c r="D9120" t="s">
        <v>13957</v>
      </c>
      <c r="E9120" t="str">
        <f>"5460100010421"</f>
        <v>0</v>
      </c>
      <c r="F9120" t="str">
        <f>"001650"</f>
        <v>0</v>
      </c>
      <c r="G9120" t="s">
        <v>21</v>
      </c>
    </row>
    <row r="9121" spans="1:7">
      <c r="A9121">
        <v>9120</v>
      </c>
      <c r="B9121" t="str">
        <f>"010874"</f>
        <v>0</v>
      </c>
      <c r="C9121" t="s">
        <v>326</v>
      </c>
      <c r="D9121" t="s">
        <v>13968</v>
      </c>
      <c r="E9121" t="str">
        <f>"3470600213201"</f>
        <v>0</v>
      </c>
      <c r="F9121" t="str">
        <f>"001650"</f>
        <v>0</v>
      </c>
      <c r="G9121" t="s">
        <v>21</v>
      </c>
    </row>
    <row r="9122" spans="1:7">
      <c r="A9122">
        <v>9121</v>
      </c>
      <c r="B9122" t="str">
        <f>"018571"</f>
        <v>0</v>
      </c>
      <c r="C9122" t="s">
        <v>13969</v>
      </c>
      <c r="D9122" t="s">
        <v>13970</v>
      </c>
      <c r="E9122" t="str">
        <f>"3470100025570"</f>
        <v>0</v>
      </c>
      <c r="F9122" t="str">
        <f>"001650"</f>
        <v>0</v>
      </c>
      <c r="G9122" t="s">
        <v>21</v>
      </c>
    </row>
    <row r="9123" spans="1:7">
      <c r="A9123">
        <v>9122</v>
      </c>
      <c r="B9123" t="str">
        <f>"024534"</f>
        <v>0</v>
      </c>
      <c r="C9123" t="s">
        <v>13971</v>
      </c>
      <c r="D9123" t="s">
        <v>13972</v>
      </c>
      <c r="E9123" t="str">
        <f>"3470500201219"</f>
        <v>0</v>
      </c>
      <c r="F9123" t="str">
        <f>"001650"</f>
        <v>0</v>
      </c>
      <c r="G9123" t="s">
        <v>21</v>
      </c>
    </row>
    <row r="9124" spans="1:7">
      <c r="A9124">
        <v>9123</v>
      </c>
      <c r="B9124" t="str">
        <f>"022041"</f>
        <v>0</v>
      </c>
      <c r="C9124" t="s">
        <v>13973</v>
      </c>
      <c r="D9124" t="s">
        <v>13974</v>
      </c>
      <c r="E9124" t="str">
        <f>"3471400168601"</f>
        <v>0</v>
      </c>
      <c r="F9124" t="str">
        <f>"001650"</f>
        <v>0</v>
      </c>
      <c r="G9124" t="s">
        <v>21</v>
      </c>
    </row>
    <row r="9125" spans="1:7">
      <c r="A9125">
        <v>9124</v>
      </c>
      <c r="B9125" t="str">
        <f>"022822"</f>
        <v>0</v>
      </c>
      <c r="C9125" t="s">
        <v>13975</v>
      </c>
      <c r="D9125" t="s">
        <v>13976</v>
      </c>
      <c r="E9125" t="str">
        <f>"3100201896871"</f>
        <v>0</v>
      </c>
      <c r="F9125" t="str">
        <f>"001650"</f>
        <v>0</v>
      </c>
      <c r="G9125" t="s">
        <v>21</v>
      </c>
    </row>
    <row r="9126" spans="1:7">
      <c r="A9126">
        <v>9125</v>
      </c>
      <c r="B9126" t="str">
        <f>"027211"</f>
        <v>0</v>
      </c>
      <c r="C9126" t="s">
        <v>13977</v>
      </c>
      <c r="D9126" t="s">
        <v>13978</v>
      </c>
      <c r="E9126" t="str">
        <f>"3930100785961"</f>
        <v>0</v>
      </c>
      <c r="F9126" t="str">
        <f>"001650"</f>
        <v>0</v>
      </c>
      <c r="G9126" t="s">
        <v>21</v>
      </c>
    </row>
    <row r="9127" spans="1:7">
      <c r="A9127">
        <v>9126</v>
      </c>
      <c r="B9127" t="str">
        <f>"025150"</f>
        <v>0</v>
      </c>
      <c r="C9127" t="s">
        <v>13979</v>
      </c>
      <c r="D9127" t="s">
        <v>13980</v>
      </c>
      <c r="E9127" t="str">
        <f>"1229800005702"</f>
        <v>0</v>
      </c>
      <c r="F9127" t="str">
        <f>"001650"</f>
        <v>0</v>
      </c>
      <c r="G9127" t="s">
        <v>21</v>
      </c>
    </row>
    <row r="9128" spans="1:7">
      <c r="A9128">
        <v>9127</v>
      </c>
      <c r="B9128" t="str">
        <f>"013244"</f>
        <v>0</v>
      </c>
      <c r="C9128" t="s">
        <v>13981</v>
      </c>
      <c r="D9128" t="s">
        <v>13982</v>
      </c>
      <c r="E9128" t="str">
        <f>"3930100443202"</f>
        <v>0</v>
      </c>
      <c r="F9128" t="str">
        <f>"001650"</f>
        <v>0</v>
      </c>
      <c r="G9128" t="s">
        <v>21</v>
      </c>
    </row>
    <row r="9129" spans="1:7">
      <c r="A9129">
        <v>9128</v>
      </c>
      <c r="B9129" t="str">
        <f>"018706"</f>
        <v>0</v>
      </c>
      <c r="C9129" t="s">
        <v>546</v>
      </c>
      <c r="D9129" t="s">
        <v>13983</v>
      </c>
      <c r="E9129" t="str">
        <f>"3341500408494"</f>
        <v>0</v>
      </c>
      <c r="F9129" t="str">
        <f>"001650"</f>
        <v>0</v>
      </c>
      <c r="G9129" t="s">
        <v>21</v>
      </c>
    </row>
    <row r="9130" spans="1:7">
      <c r="A9130">
        <v>9129</v>
      </c>
      <c r="B9130" t="str">
        <f>"019518"</f>
        <v>0</v>
      </c>
      <c r="C9130" t="s">
        <v>802</v>
      </c>
      <c r="D9130" t="s">
        <v>13984</v>
      </c>
      <c r="E9130" t="str">
        <f>"3460900006367"</f>
        <v>0</v>
      </c>
      <c r="F9130" t="str">
        <f>"001650"</f>
        <v>0</v>
      </c>
      <c r="G9130" t="s">
        <v>21</v>
      </c>
    </row>
    <row r="9131" spans="1:7">
      <c r="A9131">
        <v>9130</v>
      </c>
      <c r="B9131" t="str">
        <f>"023178"</f>
        <v>0</v>
      </c>
      <c r="C9131" t="s">
        <v>13985</v>
      </c>
      <c r="D9131" t="s">
        <v>2806</v>
      </c>
      <c r="E9131" t="str">
        <f>"3470600263950"</f>
        <v>0</v>
      </c>
      <c r="F9131" t="str">
        <f>"001650"</f>
        <v>0</v>
      </c>
      <c r="G9131" t="s">
        <v>21</v>
      </c>
    </row>
    <row r="9132" spans="1:7">
      <c r="A9132">
        <v>9131</v>
      </c>
      <c r="B9132" t="str">
        <f>"025472"</f>
        <v>0</v>
      </c>
      <c r="C9132" t="s">
        <v>8902</v>
      </c>
      <c r="D9132" t="s">
        <v>13986</v>
      </c>
      <c r="E9132" t="str">
        <f>"2409900017121"</f>
        <v>0</v>
      </c>
      <c r="F9132" t="str">
        <f>"001650"</f>
        <v>0</v>
      </c>
      <c r="G9132" t="s">
        <v>21</v>
      </c>
    </row>
    <row r="9133" spans="1:7">
      <c r="A9133">
        <v>9132</v>
      </c>
      <c r="B9133" t="str">
        <f>"012529"</f>
        <v>0</v>
      </c>
      <c r="C9133" t="s">
        <v>13987</v>
      </c>
      <c r="D9133" t="s">
        <v>13988</v>
      </c>
      <c r="E9133" t="str">
        <f>"3230300019524"</f>
        <v>0</v>
      </c>
      <c r="F9133" t="str">
        <f>"001650"</f>
        <v>0</v>
      </c>
      <c r="G9133" t="s">
        <v>21</v>
      </c>
    </row>
    <row r="9134" spans="1:7">
      <c r="A9134">
        <v>9133</v>
      </c>
      <c r="B9134" t="str">
        <f>"017485"</f>
        <v>0</v>
      </c>
      <c r="C9134" t="s">
        <v>7593</v>
      </c>
      <c r="D9134" t="s">
        <v>13989</v>
      </c>
      <c r="E9134" t="str">
        <f>"3411700046323"</f>
        <v>0</v>
      </c>
      <c r="F9134" t="str">
        <f>"001650"</f>
        <v>0</v>
      </c>
      <c r="G9134" t="s">
        <v>21</v>
      </c>
    </row>
    <row r="9135" spans="1:7">
      <c r="A9135">
        <v>9134</v>
      </c>
      <c r="B9135" t="str">
        <f>"018928"</f>
        <v>0</v>
      </c>
      <c r="C9135" t="s">
        <v>6968</v>
      </c>
      <c r="D9135" t="s">
        <v>13990</v>
      </c>
      <c r="E9135" t="str">
        <f>"3410400727596"</f>
        <v>0</v>
      </c>
      <c r="F9135" t="str">
        <f>"001650"</f>
        <v>0</v>
      </c>
      <c r="G9135" t="s">
        <v>21</v>
      </c>
    </row>
    <row r="9136" spans="1:7">
      <c r="A9136">
        <v>9135</v>
      </c>
      <c r="B9136" t="str">
        <f>"020825"</f>
        <v>0</v>
      </c>
      <c r="C9136" t="s">
        <v>2898</v>
      </c>
      <c r="D9136" t="s">
        <v>13991</v>
      </c>
      <c r="E9136" t="str">
        <f>"3471300108950"</f>
        <v>0</v>
      </c>
      <c r="F9136" t="str">
        <f>"001650"</f>
        <v>0</v>
      </c>
      <c r="G9136" t="s">
        <v>21</v>
      </c>
    </row>
    <row r="9137" spans="1:7">
      <c r="A9137">
        <v>9136</v>
      </c>
      <c r="B9137" t="str">
        <f>"018779"</f>
        <v>0</v>
      </c>
      <c r="C9137" t="s">
        <v>13992</v>
      </c>
      <c r="D9137" t="s">
        <v>11476</v>
      </c>
      <c r="E9137" t="str">
        <f>"3350400507317"</f>
        <v>0</v>
      </c>
      <c r="F9137" t="str">
        <f>"001650"</f>
        <v>0</v>
      </c>
      <c r="G9137" t="s">
        <v>21</v>
      </c>
    </row>
    <row r="9138" spans="1:7">
      <c r="A9138">
        <v>9137</v>
      </c>
      <c r="B9138" t="str">
        <f>"022529"</f>
        <v>0</v>
      </c>
      <c r="C9138" t="s">
        <v>13993</v>
      </c>
      <c r="D9138" t="s">
        <v>13994</v>
      </c>
      <c r="E9138" t="str">
        <f>"2450100003446"</f>
        <v>0</v>
      </c>
      <c r="F9138" t="str">
        <f>"001650"</f>
        <v>0</v>
      </c>
      <c r="G9138" t="s">
        <v>21</v>
      </c>
    </row>
    <row r="9139" spans="1:7">
      <c r="A9139">
        <v>9138</v>
      </c>
      <c r="B9139" t="str">
        <f>"006760"</f>
        <v>0</v>
      </c>
      <c r="C9139" t="s">
        <v>3815</v>
      </c>
      <c r="D9139" t="s">
        <v>13962</v>
      </c>
      <c r="E9139" t="str">
        <f>"3460600269800"</f>
        <v>0</v>
      </c>
      <c r="F9139" t="str">
        <f>"001650"</f>
        <v>0</v>
      </c>
      <c r="G9139" t="s">
        <v>21</v>
      </c>
    </row>
    <row r="9140" spans="1:7">
      <c r="A9140">
        <v>9139</v>
      </c>
      <c r="B9140" t="str">
        <f>"008832"</f>
        <v>0</v>
      </c>
      <c r="C9140" t="s">
        <v>13995</v>
      </c>
      <c r="D9140" t="s">
        <v>13996</v>
      </c>
      <c r="E9140" t="str">
        <f>"3470500029408"</f>
        <v>0</v>
      </c>
      <c r="F9140" t="str">
        <f>"001650"</f>
        <v>0</v>
      </c>
      <c r="G9140" t="s">
        <v>21</v>
      </c>
    </row>
    <row r="9141" spans="1:7">
      <c r="A9141">
        <v>9140</v>
      </c>
      <c r="B9141" t="str">
        <f>"009190"</f>
        <v>0</v>
      </c>
      <c r="C9141" t="s">
        <v>13997</v>
      </c>
      <c r="D9141" t="s">
        <v>13998</v>
      </c>
      <c r="E9141" t="str">
        <f>"3409900240431"</f>
        <v>0</v>
      </c>
      <c r="F9141" t="str">
        <f>"001650"</f>
        <v>0</v>
      </c>
      <c r="G9141" t="s">
        <v>21</v>
      </c>
    </row>
    <row r="9142" spans="1:7">
      <c r="A9142">
        <v>9141</v>
      </c>
      <c r="B9142" t="str">
        <f>"009242"</f>
        <v>0</v>
      </c>
      <c r="C9142" t="s">
        <v>13999</v>
      </c>
      <c r="D9142" t="s">
        <v>359</v>
      </c>
      <c r="E9142" t="str">
        <f>"3440800565232"</f>
        <v>0</v>
      </c>
      <c r="F9142" t="str">
        <f>"001650"</f>
        <v>0</v>
      </c>
      <c r="G9142" t="s">
        <v>21</v>
      </c>
    </row>
    <row r="9143" spans="1:7">
      <c r="A9143">
        <v>9142</v>
      </c>
      <c r="B9143" t="str">
        <f>"009549"</f>
        <v>0</v>
      </c>
      <c r="C9143" t="s">
        <v>403</v>
      </c>
      <c r="D9143" t="s">
        <v>14000</v>
      </c>
      <c r="E9143" t="str">
        <f>"3471000046061"</f>
        <v>0</v>
      </c>
      <c r="F9143" t="str">
        <f>"001650"</f>
        <v>0</v>
      </c>
      <c r="G9143" t="s">
        <v>21</v>
      </c>
    </row>
    <row r="9144" spans="1:7">
      <c r="A9144">
        <v>9143</v>
      </c>
      <c r="B9144" t="str">
        <f>"010172"</f>
        <v>0</v>
      </c>
      <c r="C9144" t="s">
        <v>2601</v>
      </c>
      <c r="D9144" t="s">
        <v>14001</v>
      </c>
      <c r="E9144" t="str">
        <f>"3470400016321"</f>
        <v>0</v>
      </c>
      <c r="F9144" t="str">
        <f>"001650"</f>
        <v>0</v>
      </c>
      <c r="G9144" t="s">
        <v>21</v>
      </c>
    </row>
    <row r="9145" spans="1:7">
      <c r="A9145">
        <v>9144</v>
      </c>
      <c r="B9145" t="str">
        <f>"010434"</f>
        <v>0</v>
      </c>
      <c r="C9145" t="s">
        <v>14002</v>
      </c>
      <c r="D9145" t="s">
        <v>14003</v>
      </c>
      <c r="E9145" t="str">
        <f>"3471500077004"</f>
        <v>0</v>
      </c>
      <c r="F9145" t="str">
        <f>"001650"</f>
        <v>0</v>
      </c>
      <c r="G9145" t="s">
        <v>21</v>
      </c>
    </row>
    <row r="9146" spans="1:7">
      <c r="A9146">
        <v>9145</v>
      </c>
      <c r="B9146" t="str">
        <f>"010630"</f>
        <v>0</v>
      </c>
      <c r="C9146" t="s">
        <v>112</v>
      </c>
      <c r="D9146" t="s">
        <v>14004</v>
      </c>
      <c r="E9146" t="str">
        <f>"3470800026463"</f>
        <v>0</v>
      </c>
      <c r="F9146" t="str">
        <f>"001650"</f>
        <v>0</v>
      </c>
      <c r="G9146" t="s">
        <v>21</v>
      </c>
    </row>
    <row r="9147" spans="1:7">
      <c r="A9147">
        <v>9146</v>
      </c>
      <c r="B9147" t="str">
        <f>"010731"</f>
        <v>0</v>
      </c>
      <c r="C9147" t="s">
        <v>8873</v>
      </c>
      <c r="D9147" t="s">
        <v>14005</v>
      </c>
      <c r="E9147" t="str">
        <f>"3550600128024"</f>
        <v>0</v>
      </c>
      <c r="F9147" t="str">
        <f>"001650"</f>
        <v>0</v>
      </c>
      <c r="G9147" t="s">
        <v>21</v>
      </c>
    </row>
    <row r="9148" spans="1:7">
      <c r="A9148">
        <v>9147</v>
      </c>
      <c r="B9148" t="str">
        <f>"010818"</f>
        <v>0</v>
      </c>
      <c r="C9148" t="s">
        <v>3620</v>
      </c>
      <c r="D9148" t="s">
        <v>14004</v>
      </c>
      <c r="E9148" t="str">
        <f>"3470900201330"</f>
        <v>0</v>
      </c>
      <c r="F9148" t="str">
        <f>"001650"</f>
        <v>0</v>
      </c>
      <c r="G9148" t="s">
        <v>21</v>
      </c>
    </row>
    <row r="9149" spans="1:7">
      <c r="A9149">
        <v>9148</v>
      </c>
      <c r="B9149" t="str">
        <f>"011726"</f>
        <v>0</v>
      </c>
      <c r="C9149" t="s">
        <v>14006</v>
      </c>
      <c r="D9149" t="s">
        <v>14007</v>
      </c>
      <c r="E9149" t="str">
        <f>"3460500821918"</f>
        <v>0</v>
      </c>
      <c r="F9149" t="str">
        <f>"001650"</f>
        <v>0</v>
      </c>
      <c r="G9149" t="s">
        <v>21</v>
      </c>
    </row>
    <row r="9150" spans="1:7">
      <c r="A9150">
        <v>9149</v>
      </c>
      <c r="B9150" t="str">
        <f>"012215"</f>
        <v>0</v>
      </c>
      <c r="C9150" t="s">
        <v>130</v>
      </c>
      <c r="D9150" t="s">
        <v>14008</v>
      </c>
      <c r="E9150" t="str">
        <f>"3660500549108"</f>
        <v>0</v>
      </c>
      <c r="F9150" t="str">
        <f>"001650"</f>
        <v>0</v>
      </c>
      <c r="G9150" t="s">
        <v>21</v>
      </c>
    </row>
    <row r="9151" spans="1:7">
      <c r="A9151">
        <v>9150</v>
      </c>
      <c r="B9151" t="str">
        <f>"012438"</f>
        <v>0</v>
      </c>
      <c r="C9151" t="s">
        <v>1035</v>
      </c>
      <c r="D9151" t="s">
        <v>14009</v>
      </c>
      <c r="E9151" t="str">
        <f>"5460100058962"</f>
        <v>0</v>
      </c>
      <c r="F9151" t="str">
        <f>"001650"</f>
        <v>0</v>
      </c>
      <c r="G9151" t="s">
        <v>21</v>
      </c>
    </row>
    <row r="9152" spans="1:7">
      <c r="A9152">
        <v>9151</v>
      </c>
      <c r="B9152" t="str">
        <f>"012439"</f>
        <v>0</v>
      </c>
      <c r="C9152" t="s">
        <v>14010</v>
      </c>
      <c r="D9152" t="s">
        <v>14011</v>
      </c>
      <c r="E9152" t="str">
        <f>"3470700014854"</f>
        <v>0</v>
      </c>
      <c r="F9152" t="str">
        <f>"001650"</f>
        <v>0</v>
      </c>
      <c r="G9152" t="s">
        <v>21</v>
      </c>
    </row>
    <row r="9153" spans="1:7">
      <c r="A9153">
        <v>9152</v>
      </c>
      <c r="B9153" t="str">
        <f>"012528"</f>
        <v>0</v>
      </c>
      <c r="C9153" t="s">
        <v>4225</v>
      </c>
      <c r="D9153" t="s">
        <v>14012</v>
      </c>
      <c r="E9153" t="str">
        <f>"3461200316003"</f>
        <v>0</v>
      </c>
      <c r="F9153" t="str">
        <f>"001650"</f>
        <v>0</v>
      </c>
      <c r="G9153" t="s">
        <v>21</v>
      </c>
    </row>
    <row r="9154" spans="1:7">
      <c r="A9154">
        <v>9153</v>
      </c>
      <c r="B9154" t="str">
        <f>"012690"</f>
        <v>0</v>
      </c>
      <c r="C9154" t="s">
        <v>2441</v>
      </c>
      <c r="D9154" t="s">
        <v>14013</v>
      </c>
      <c r="E9154" t="str">
        <f>"3501500327026"</f>
        <v>0</v>
      </c>
      <c r="F9154" t="str">
        <f>"001650"</f>
        <v>0</v>
      </c>
      <c r="G9154" t="s">
        <v>21</v>
      </c>
    </row>
    <row r="9155" spans="1:7">
      <c r="A9155">
        <v>9154</v>
      </c>
      <c r="B9155" t="str">
        <f>"012873"</f>
        <v>0</v>
      </c>
      <c r="C9155" t="s">
        <v>14014</v>
      </c>
      <c r="D9155" t="s">
        <v>14015</v>
      </c>
      <c r="E9155" t="str">
        <f>"3470600186149"</f>
        <v>0</v>
      </c>
      <c r="F9155" t="str">
        <f>"001650"</f>
        <v>0</v>
      </c>
      <c r="G9155" t="s">
        <v>21</v>
      </c>
    </row>
    <row r="9156" spans="1:7">
      <c r="A9156">
        <v>9155</v>
      </c>
      <c r="B9156" t="str">
        <f>"012910"</f>
        <v>0</v>
      </c>
      <c r="C9156" t="s">
        <v>570</v>
      </c>
      <c r="D9156" t="s">
        <v>14016</v>
      </c>
      <c r="E9156" t="str">
        <f>"3501200223624"</f>
        <v>0</v>
      </c>
      <c r="F9156" t="str">
        <f>"001650"</f>
        <v>0</v>
      </c>
      <c r="G9156" t="s">
        <v>21</v>
      </c>
    </row>
    <row r="9157" spans="1:7">
      <c r="A9157">
        <v>9156</v>
      </c>
      <c r="B9157" t="str">
        <f>"012947"</f>
        <v>0</v>
      </c>
      <c r="C9157" t="s">
        <v>197</v>
      </c>
      <c r="D9157" t="s">
        <v>14017</v>
      </c>
      <c r="E9157" t="str">
        <f>"3480300403675"</f>
        <v>0</v>
      </c>
      <c r="F9157" t="str">
        <f>"001650"</f>
        <v>0</v>
      </c>
      <c r="G9157" t="s">
        <v>21</v>
      </c>
    </row>
    <row r="9158" spans="1:7">
      <c r="A9158">
        <v>9157</v>
      </c>
      <c r="B9158" t="str">
        <f>"013828"</f>
        <v>0</v>
      </c>
      <c r="C9158" t="s">
        <v>2232</v>
      </c>
      <c r="D9158" t="s">
        <v>14018</v>
      </c>
      <c r="E9158" t="str">
        <f>"3930500943768"</f>
        <v>0</v>
      </c>
      <c r="F9158" t="str">
        <f>"001650"</f>
        <v>0</v>
      </c>
      <c r="G9158" t="s">
        <v>21</v>
      </c>
    </row>
    <row r="9159" spans="1:7">
      <c r="A9159">
        <v>9158</v>
      </c>
      <c r="B9159" t="str">
        <f>"014190"</f>
        <v>0</v>
      </c>
      <c r="C9159" t="s">
        <v>14019</v>
      </c>
      <c r="D9159" t="s">
        <v>14020</v>
      </c>
      <c r="E9159" t="str">
        <f>"3410600245773"</f>
        <v>0</v>
      </c>
      <c r="F9159" t="str">
        <f>"001650"</f>
        <v>0</v>
      </c>
      <c r="G9159" t="s">
        <v>21</v>
      </c>
    </row>
    <row r="9160" spans="1:7">
      <c r="A9160">
        <v>9159</v>
      </c>
      <c r="B9160" t="str">
        <f>"014856"</f>
        <v>0</v>
      </c>
      <c r="C9160" t="s">
        <v>4779</v>
      </c>
      <c r="D9160" t="s">
        <v>10598</v>
      </c>
      <c r="E9160" t="str">
        <f>"3411200759916"</f>
        <v>0</v>
      </c>
      <c r="F9160" t="str">
        <f>"001650"</f>
        <v>0</v>
      </c>
      <c r="G9160" t="s">
        <v>21</v>
      </c>
    </row>
    <row r="9161" spans="1:7">
      <c r="A9161">
        <v>9160</v>
      </c>
      <c r="B9161" t="str">
        <f>"015469"</f>
        <v>0</v>
      </c>
      <c r="C9161" t="s">
        <v>798</v>
      </c>
      <c r="D9161" t="s">
        <v>14021</v>
      </c>
      <c r="E9161" t="str">
        <f>"3470500083151"</f>
        <v>0</v>
      </c>
      <c r="F9161" t="str">
        <f>"001650"</f>
        <v>0</v>
      </c>
      <c r="G9161" t="s">
        <v>21</v>
      </c>
    </row>
    <row r="9162" spans="1:7">
      <c r="A9162">
        <v>9161</v>
      </c>
      <c r="B9162" t="str">
        <f>"016119"</f>
        <v>0</v>
      </c>
      <c r="C9162" t="s">
        <v>4829</v>
      </c>
      <c r="D9162" t="s">
        <v>14022</v>
      </c>
      <c r="E9162" t="str">
        <f>"3470100561951"</f>
        <v>0</v>
      </c>
      <c r="F9162" t="str">
        <f>"001650"</f>
        <v>0</v>
      </c>
      <c r="G9162" t="s">
        <v>21</v>
      </c>
    </row>
    <row r="9163" spans="1:7">
      <c r="A9163">
        <v>9162</v>
      </c>
      <c r="B9163" t="str">
        <f>"016216"</f>
        <v>0</v>
      </c>
      <c r="C9163" t="s">
        <v>14023</v>
      </c>
      <c r="D9163" t="s">
        <v>14024</v>
      </c>
      <c r="E9163" t="str">
        <f>"3110401231490"</f>
        <v>0</v>
      </c>
      <c r="F9163" t="str">
        <f>"001650"</f>
        <v>0</v>
      </c>
      <c r="G9163" t="s">
        <v>21</v>
      </c>
    </row>
    <row r="9164" spans="1:7">
      <c r="A9164">
        <v>9163</v>
      </c>
      <c r="B9164" t="str">
        <f>"016289"</f>
        <v>0</v>
      </c>
      <c r="C9164" t="s">
        <v>14025</v>
      </c>
      <c r="D9164" t="s">
        <v>14026</v>
      </c>
      <c r="E9164" t="str">
        <f>"3470800268475"</f>
        <v>0</v>
      </c>
      <c r="F9164" t="str">
        <f>"001650"</f>
        <v>0</v>
      </c>
      <c r="G9164" t="s">
        <v>21</v>
      </c>
    </row>
    <row r="9165" spans="1:7">
      <c r="A9165">
        <v>9164</v>
      </c>
      <c r="B9165" t="str">
        <f>"016343"</f>
        <v>0</v>
      </c>
      <c r="C9165" t="s">
        <v>4700</v>
      </c>
      <c r="D9165" t="s">
        <v>6506</v>
      </c>
      <c r="E9165" t="str">
        <f>"3470100563601"</f>
        <v>0</v>
      </c>
      <c r="F9165" t="str">
        <f>"001650"</f>
        <v>0</v>
      </c>
      <c r="G9165" t="s">
        <v>21</v>
      </c>
    </row>
    <row r="9166" spans="1:7">
      <c r="A9166">
        <v>9165</v>
      </c>
      <c r="B9166" t="str">
        <f>"016345"</f>
        <v>0</v>
      </c>
      <c r="C9166" t="s">
        <v>14027</v>
      </c>
      <c r="D9166" t="s">
        <v>151</v>
      </c>
      <c r="E9166" t="str">
        <f>"3240200290951"</f>
        <v>0</v>
      </c>
      <c r="F9166" t="str">
        <f>"001650"</f>
        <v>0</v>
      </c>
      <c r="G9166" t="s">
        <v>21</v>
      </c>
    </row>
    <row r="9167" spans="1:7">
      <c r="A9167">
        <v>9166</v>
      </c>
      <c r="B9167" t="str">
        <f>"016346"</f>
        <v>0</v>
      </c>
      <c r="C9167" t="s">
        <v>798</v>
      </c>
      <c r="D9167" t="s">
        <v>14028</v>
      </c>
      <c r="E9167" t="str">
        <f>"3669900025767"</f>
        <v>0</v>
      </c>
      <c r="F9167" t="str">
        <f>"001650"</f>
        <v>0</v>
      </c>
      <c r="G9167" t="s">
        <v>21</v>
      </c>
    </row>
    <row r="9168" spans="1:7">
      <c r="A9168">
        <v>9167</v>
      </c>
      <c r="B9168" t="str">
        <f>"016882"</f>
        <v>0</v>
      </c>
      <c r="C9168" t="s">
        <v>2634</v>
      </c>
      <c r="D9168" t="s">
        <v>14029</v>
      </c>
      <c r="E9168" t="str">
        <f>"3409900937059"</f>
        <v>0</v>
      </c>
      <c r="F9168" t="str">
        <f>"001650"</f>
        <v>0</v>
      </c>
      <c r="G9168" t="s">
        <v>21</v>
      </c>
    </row>
    <row r="9169" spans="1:7">
      <c r="A9169">
        <v>9168</v>
      </c>
      <c r="B9169" t="str">
        <f>"017001"</f>
        <v>0</v>
      </c>
      <c r="C9169" t="s">
        <v>953</v>
      </c>
      <c r="D9169" t="s">
        <v>14030</v>
      </c>
      <c r="E9169" t="str">
        <f>"3471500001083"</f>
        <v>0</v>
      </c>
      <c r="F9169" t="str">
        <f>"001650"</f>
        <v>0</v>
      </c>
      <c r="G9169" t="s">
        <v>21</v>
      </c>
    </row>
    <row r="9170" spans="1:7">
      <c r="A9170">
        <v>9169</v>
      </c>
      <c r="B9170" t="str">
        <f>"017107"</f>
        <v>0</v>
      </c>
      <c r="C9170" t="s">
        <v>5158</v>
      </c>
      <c r="D9170" t="s">
        <v>14031</v>
      </c>
      <c r="E9170" t="str">
        <f>"3461400159131"</f>
        <v>0</v>
      </c>
      <c r="F9170" t="str">
        <f>"001650"</f>
        <v>0</v>
      </c>
      <c r="G9170" t="s">
        <v>21</v>
      </c>
    </row>
    <row r="9171" spans="1:7">
      <c r="A9171">
        <v>9170</v>
      </c>
      <c r="B9171" t="str">
        <f>"017211"</f>
        <v>0</v>
      </c>
      <c r="C9171" t="s">
        <v>1649</v>
      </c>
      <c r="D9171" t="s">
        <v>14032</v>
      </c>
      <c r="E9171" t="str">
        <f>"3420300261986"</f>
        <v>0</v>
      </c>
      <c r="F9171" t="str">
        <f>"001650"</f>
        <v>0</v>
      </c>
      <c r="G9171" t="s">
        <v>21</v>
      </c>
    </row>
    <row r="9172" spans="1:7">
      <c r="A9172">
        <v>9171</v>
      </c>
      <c r="B9172" t="str">
        <f>"017213"</f>
        <v>0</v>
      </c>
      <c r="C9172" t="s">
        <v>2345</v>
      </c>
      <c r="D9172" t="s">
        <v>14033</v>
      </c>
      <c r="E9172" t="str">
        <f>"3521200337158"</f>
        <v>0</v>
      </c>
      <c r="F9172" t="str">
        <f>"001650"</f>
        <v>0</v>
      </c>
      <c r="G9172" t="s">
        <v>21</v>
      </c>
    </row>
    <row r="9173" spans="1:7">
      <c r="A9173">
        <v>9172</v>
      </c>
      <c r="B9173" t="str">
        <f>"017505"</f>
        <v>0</v>
      </c>
      <c r="C9173" t="s">
        <v>6012</v>
      </c>
      <c r="D9173" t="s">
        <v>14034</v>
      </c>
      <c r="E9173" t="str">
        <f>"5440100006644"</f>
        <v>0</v>
      </c>
      <c r="F9173" t="str">
        <f>"001650"</f>
        <v>0</v>
      </c>
      <c r="G9173" t="s">
        <v>21</v>
      </c>
    </row>
    <row r="9174" spans="1:7">
      <c r="A9174">
        <v>9173</v>
      </c>
      <c r="B9174" t="str">
        <f>"017581"</f>
        <v>0</v>
      </c>
      <c r="C9174" t="s">
        <v>5347</v>
      </c>
      <c r="D9174" t="s">
        <v>14035</v>
      </c>
      <c r="E9174" t="str">
        <f>"3461000298818"</f>
        <v>0</v>
      </c>
      <c r="F9174" t="str">
        <f>"001650"</f>
        <v>0</v>
      </c>
      <c r="G9174" t="s">
        <v>21</v>
      </c>
    </row>
    <row r="9175" spans="1:7">
      <c r="A9175">
        <v>9174</v>
      </c>
      <c r="B9175" t="str">
        <f>"017584"</f>
        <v>0</v>
      </c>
      <c r="C9175" t="s">
        <v>14036</v>
      </c>
      <c r="D9175" t="s">
        <v>14037</v>
      </c>
      <c r="E9175" t="str">
        <f>"3480800536542"</f>
        <v>0</v>
      </c>
      <c r="F9175" t="str">
        <f>"001650"</f>
        <v>0</v>
      </c>
      <c r="G9175" t="s">
        <v>21</v>
      </c>
    </row>
    <row r="9176" spans="1:7">
      <c r="A9176">
        <v>9175</v>
      </c>
      <c r="B9176" t="str">
        <f>"017671"</f>
        <v>0</v>
      </c>
      <c r="C9176" t="s">
        <v>14038</v>
      </c>
      <c r="D9176" t="s">
        <v>14039</v>
      </c>
      <c r="E9176" t="str">
        <f>"3960800031926"</f>
        <v>0</v>
      </c>
      <c r="F9176" t="str">
        <f>"001650"</f>
        <v>0</v>
      </c>
      <c r="G9176" t="s">
        <v>21</v>
      </c>
    </row>
    <row r="9177" spans="1:7">
      <c r="A9177">
        <v>9176</v>
      </c>
      <c r="B9177" t="str">
        <f>"017942"</f>
        <v>0</v>
      </c>
      <c r="C9177" t="s">
        <v>3634</v>
      </c>
      <c r="D9177" t="s">
        <v>14040</v>
      </c>
      <c r="E9177" t="str">
        <f>"3411200621337"</f>
        <v>0</v>
      </c>
      <c r="F9177" t="str">
        <f>"001650"</f>
        <v>0</v>
      </c>
      <c r="G9177" t="s">
        <v>21</v>
      </c>
    </row>
    <row r="9178" spans="1:7">
      <c r="A9178">
        <v>9177</v>
      </c>
      <c r="B9178" t="str">
        <f>"018242"</f>
        <v>0</v>
      </c>
      <c r="C9178" t="s">
        <v>14041</v>
      </c>
      <c r="D9178" t="s">
        <v>14042</v>
      </c>
      <c r="E9178" t="str">
        <f>"3470400088691"</f>
        <v>0</v>
      </c>
      <c r="F9178" t="str">
        <f>"001650"</f>
        <v>0</v>
      </c>
      <c r="G9178" t="s">
        <v>21</v>
      </c>
    </row>
    <row r="9179" spans="1:7">
      <c r="A9179">
        <v>9178</v>
      </c>
      <c r="B9179" t="str">
        <f>"018521"</f>
        <v>0</v>
      </c>
      <c r="C9179" t="s">
        <v>14043</v>
      </c>
      <c r="D9179" t="s">
        <v>14044</v>
      </c>
      <c r="E9179" t="str">
        <f>"3470101426012"</f>
        <v>0</v>
      </c>
      <c r="F9179" t="str">
        <f>"001650"</f>
        <v>0</v>
      </c>
      <c r="G9179" t="s">
        <v>21</v>
      </c>
    </row>
    <row r="9180" spans="1:7">
      <c r="A9180">
        <v>9179</v>
      </c>
      <c r="B9180" t="str">
        <f>"018718"</f>
        <v>0</v>
      </c>
      <c r="C9180" t="s">
        <v>3212</v>
      </c>
      <c r="D9180" t="s">
        <v>14045</v>
      </c>
      <c r="E9180" t="str">
        <f>"3440601190514"</f>
        <v>0</v>
      </c>
      <c r="F9180" t="str">
        <f>"001650"</f>
        <v>0</v>
      </c>
      <c r="G9180" t="s">
        <v>21</v>
      </c>
    </row>
    <row r="9181" spans="1:7">
      <c r="A9181">
        <v>9180</v>
      </c>
      <c r="B9181" t="str">
        <f>"018765"</f>
        <v>0</v>
      </c>
      <c r="C9181" t="s">
        <v>14046</v>
      </c>
      <c r="D9181" t="s">
        <v>14047</v>
      </c>
      <c r="E9181" t="str">
        <f>"3101501087863"</f>
        <v>0</v>
      </c>
      <c r="F9181" t="str">
        <f>"001650"</f>
        <v>0</v>
      </c>
      <c r="G9181" t="s">
        <v>21</v>
      </c>
    </row>
    <row r="9182" spans="1:7">
      <c r="A9182">
        <v>9181</v>
      </c>
      <c r="B9182" t="str">
        <f>"018929"</f>
        <v>0</v>
      </c>
      <c r="C9182" t="s">
        <v>14048</v>
      </c>
      <c r="D9182" t="s">
        <v>14049</v>
      </c>
      <c r="E9182" t="str">
        <f>"3470100704230"</f>
        <v>0</v>
      </c>
      <c r="F9182" t="str">
        <f>"001650"</f>
        <v>0</v>
      </c>
      <c r="G9182" t="s">
        <v>21</v>
      </c>
    </row>
    <row r="9183" spans="1:7">
      <c r="A9183">
        <v>9182</v>
      </c>
      <c r="B9183" t="str">
        <f>"019372"</f>
        <v>0</v>
      </c>
      <c r="C9183" t="s">
        <v>8765</v>
      </c>
      <c r="D9183" t="s">
        <v>14050</v>
      </c>
      <c r="E9183" t="str">
        <f>"3470900200121"</f>
        <v>0</v>
      </c>
      <c r="F9183" t="str">
        <f>"001650"</f>
        <v>0</v>
      </c>
      <c r="G9183" t="s">
        <v>21</v>
      </c>
    </row>
    <row r="9184" spans="1:7">
      <c r="A9184">
        <v>9183</v>
      </c>
      <c r="B9184" t="str">
        <f>"019497"</f>
        <v>0</v>
      </c>
      <c r="C9184" t="s">
        <v>14051</v>
      </c>
      <c r="D9184" t="s">
        <v>14052</v>
      </c>
      <c r="E9184" t="str">
        <f>"3479900042141"</f>
        <v>0</v>
      </c>
      <c r="F9184" t="str">
        <f>"001650"</f>
        <v>0</v>
      </c>
      <c r="G9184" t="s">
        <v>21</v>
      </c>
    </row>
    <row r="9185" spans="1:7">
      <c r="A9185">
        <v>9184</v>
      </c>
      <c r="B9185" t="str">
        <f>"019579"</f>
        <v>0</v>
      </c>
      <c r="C9185" t="s">
        <v>14053</v>
      </c>
      <c r="D9185" t="s">
        <v>14054</v>
      </c>
      <c r="E9185" t="str">
        <f>"3471100174576"</f>
        <v>0</v>
      </c>
      <c r="F9185" t="str">
        <f>"001650"</f>
        <v>0</v>
      </c>
      <c r="G9185" t="s">
        <v>21</v>
      </c>
    </row>
    <row r="9186" spans="1:7">
      <c r="A9186">
        <v>9185</v>
      </c>
      <c r="B9186" t="str">
        <f>"019608"</f>
        <v>0</v>
      </c>
      <c r="C9186" t="s">
        <v>14055</v>
      </c>
      <c r="D9186" t="s">
        <v>14056</v>
      </c>
      <c r="E9186" t="str">
        <f>"3470900080028"</f>
        <v>0</v>
      </c>
      <c r="F9186" t="str">
        <f>"001650"</f>
        <v>0</v>
      </c>
      <c r="G9186" t="s">
        <v>21</v>
      </c>
    </row>
    <row r="9187" spans="1:7">
      <c r="A9187">
        <v>9186</v>
      </c>
      <c r="B9187" t="str">
        <f>"020143"</f>
        <v>0</v>
      </c>
      <c r="C9187" t="s">
        <v>12856</v>
      </c>
      <c r="D9187" t="s">
        <v>14057</v>
      </c>
      <c r="E9187" t="str">
        <f>"3470400163625"</f>
        <v>0</v>
      </c>
      <c r="F9187" t="str">
        <f>"001650"</f>
        <v>0</v>
      </c>
      <c r="G9187" t="s">
        <v>21</v>
      </c>
    </row>
    <row r="9188" spans="1:7">
      <c r="A9188">
        <v>9187</v>
      </c>
      <c r="B9188" t="str">
        <f>"020911"</f>
        <v>0</v>
      </c>
      <c r="C9188" t="s">
        <v>14058</v>
      </c>
      <c r="D9188" t="s">
        <v>14059</v>
      </c>
      <c r="E9188" t="str">
        <f>"3311100275713"</f>
        <v>0</v>
      </c>
      <c r="F9188" t="str">
        <f>"001650"</f>
        <v>0</v>
      </c>
      <c r="G9188" t="s">
        <v>21</v>
      </c>
    </row>
    <row r="9189" spans="1:7">
      <c r="A9189">
        <v>9188</v>
      </c>
      <c r="B9189" t="str">
        <f>"021605"</f>
        <v>0</v>
      </c>
      <c r="C9189" t="s">
        <v>14060</v>
      </c>
      <c r="D9189" t="s">
        <v>14061</v>
      </c>
      <c r="E9189" t="str">
        <f>"3470800397127"</f>
        <v>0</v>
      </c>
      <c r="F9189" t="str">
        <f>"001650"</f>
        <v>0</v>
      </c>
      <c r="G9189" t="s">
        <v>21</v>
      </c>
    </row>
    <row r="9190" spans="1:7">
      <c r="A9190">
        <v>9189</v>
      </c>
      <c r="B9190" t="str">
        <f>"021711"</f>
        <v>0</v>
      </c>
      <c r="C9190" t="s">
        <v>14062</v>
      </c>
      <c r="D9190" t="s">
        <v>14063</v>
      </c>
      <c r="E9190" t="str">
        <f>"3479900165439"</f>
        <v>0</v>
      </c>
      <c r="F9190" t="str">
        <f>"001650"</f>
        <v>0</v>
      </c>
      <c r="G9190" t="s">
        <v>21</v>
      </c>
    </row>
    <row r="9191" spans="1:7">
      <c r="A9191">
        <v>9190</v>
      </c>
      <c r="B9191" t="str">
        <f>"021793"</f>
        <v>0</v>
      </c>
      <c r="C9191" t="s">
        <v>3922</v>
      </c>
      <c r="D9191" t="s">
        <v>14064</v>
      </c>
      <c r="E9191" t="str">
        <f>"3470500392014"</f>
        <v>0</v>
      </c>
      <c r="F9191" t="str">
        <f>"001650"</f>
        <v>0</v>
      </c>
      <c r="G9191" t="s">
        <v>21</v>
      </c>
    </row>
    <row r="9192" spans="1:7">
      <c r="A9192">
        <v>9191</v>
      </c>
      <c r="B9192" t="str">
        <f>"021853"</f>
        <v>0</v>
      </c>
      <c r="C9192" t="s">
        <v>14065</v>
      </c>
      <c r="D9192" t="s">
        <v>14061</v>
      </c>
      <c r="E9192" t="str">
        <f>"3331400184799"</f>
        <v>0</v>
      </c>
      <c r="F9192" t="str">
        <f>"001650"</f>
        <v>0</v>
      </c>
      <c r="G9192" t="s">
        <v>21</v>
      </c>
    </row>
    <row r="9193" spans="1:7">
      <c r="A9193">
        <v>9192</v>
      </c>
      <c r="B9193" t="str">
        <f>"021855"</f>
        <v>0</v>
      </c>
      <c r="C9193" t="s">
        <v>12248</v>
      </c>
      <c r="D9193" t="s">
        <v>14066</v>
      </c>
      <c r="E9193" t="str">
        <f>"1470300012700"</f>
        <v>0</v>
      </c>
      <c r="F9193" t="str">
        <f>"001650"</f>
        <v>0</v>
      </c>
      <c r="G9193" t="s">
        <v>21</v>
      </c>
    </row>
    <row r="9194" spans="1:7">
      <c r="A9194">
        <v>9193</v>
      </c>
      <c r="B9194" t="str">
        <f>"022043"</f>
        <v>0</v>
      </c>
      <c r="C9194" t="s">
        <v>14067</v>
      </c>
      <c r="D9194" t="s">
        <v>14068</v>
      </c>
      <c r="E9194" t="str">
        <f>"5470100057206"</f>
        <v>0</v>
      </c>
      <c r="F9194" t="str">
        <f>"001650"</f>
        <v>0</v>
      </c>
      <c r="G9194" t="s">
        <v>21</v>
      </c>
    </row>
    <row r="9195" spans="1:7">
      <c r="A9195">
        <v>9194</v>
      </c>
      <c r="B9195" t="str">
        <f>"022082"</f>
        <v>0</v>
      </c>
      <c r="C9195" t="s">
        <v>14069</v>
      </c>
      <c r="D9195" t="s">
        <v>14070</v>
      </c>
      <c r="E9195" t="str">
        <f>"5470890006170"</f>
        <v>0</v>
      </c>
      <c r="F9195" t="str">
        <f>"001650"</f>
        <v>0</v>
      </c>
      <c r="G9195" t="s">
        <v>21</v>
      </c>
    </row>
    <row r="9196" spans="1:7">
      <c r="A9196">
        <v>9195</v>
      </c>
      <c r="B9196" t="str">
        <f>"022369"</f>
        <v>0</v>
      </c>
      <c r="C9196" t="s">
        <v>14071</v>
      </c>
      <c r="D9196" t="s">
        <v>5798</v>
      </c>
      <c r="E9196" t="str">
        <f>"3401400147761"</f>
        <v>0</v>
      </c>
      <c r="F9196" t="str">
        <f>"001650"</f>
        <v>0</v>
      </c>
      <c r="G9196" t="s">
        <v>21</v>
      </c>
    </row>
    <row r="9197" spans="1:7">
      <c r="A9197">
        <v>9196</v>
      </c>
      <c r="B9197" t="str">
        <f>"022507"</f>
        <v>0</v>
      </c>
      <c r="C9197" t="s">
        <v>14072</v>
      </c>
      <c r="D9197" t="s">
        <v>14073</v>
      </c>
      <c r="E9197" t="str">
        <f>"3240200085959"</f>
        <v>0</v>
      </c>
      <c r="F9197" t="str">
        <f>"001650"</f>
        <v>0</v>
      </c>
      <c r="G9197" t="s">
        <v>21</v>
      </c>
    </row>
    <row r="9198" spans="1:7">
      <c r="A9198">
        <v>9197</v>
      </c>
      <c r="B9198" t="str">
        <f>"022530"</f>
        <v>0</v>
      </c>
      <c r="C9198" t="s">
        <v>14074</v>
      </c>
      <c r="D9198" t="s">
        <v>14075</v>
      </c>
      <c r="E9198" t="str">
        <f>"3440700265105"</f>
        <v>0</v>
      </c>
      <c r="F9198" t="str">
        <f>"001650"</f>
        <v>0</v>
      </c>
      <c r="G9198" t="s">
        <v>21</v>
      </c>
    </row>
    <row r="9199" spans="1:7">
      <c r="A9199">
        <v>9198</v>
      </c>
      <c r="B9199" t="str">
        <f>"023269"</f>
        <v>0</v>
      </c>
      <c r="C9199" t="s">
        <v>3712</v>
      </c>
      <c r="D9199" t="s">
        <v>14076</v>
      </c>
      <c r="E9199" t="str">
        <f>"1470100068159"</f>
        <v>0</v>
      </c>
      <c r="F9199" t="str">
        <f>"001650"</f>
        <v>0</v>
      </c>
      <c r="G9199" t="s">
        <v>21</v>
      </c>
    </row>
    <row r="9200" spans="1:7">
      <c r="A9200">
        <v>9199</v>
      </c>
      <c r="B9200" t="str">
        <f>"023277"</f>
        <v>0</v>
      </c>
      <c r="C9200" t="s">
        <v>14077</v>
      </c>
      <c r="D9200" t="s">
        <v>14078</v>
      </c>
      <c r="E9200" t="str">
        <f>"3479900123361"</f>
        <v>0</v>
      </c>
      <c r="F9200" t="str">
        <f>"001650"</f>
        <v>0</v>
      </c>
      <c r="G9200" t="s">
        <v>21</v>
      </c>
    </row>
    <row r="9201" spans="1:7">
      <c r="A9201">
        <v>9200</v>
      </c>
      <c r="B9201" t="str">
        <f>"023612"</f>
        <v>0</v>
      </c>
      <c r="C9201" t="s">
        <v>8239</v>
      </c>
      <c r="D9201" t="s">
        <v>14079</v>
      </c>
      <c r="E9201" t="str">
        <f>"3471000064299"</f>
        <v>0</v>
      </c>
      <c r="F9201" t="str">
        <f>"001650"</f>
        <v>0</v>
      </c>
      <c r="G9201" t="s">
        <v>21</v>
      </c>
    </row>
    <row r="9202" spans="1:7">
      <c r="A9202">
        <v>9201</v>
      </c>
      <c r="B9202" t="str">
        <f>"024278"</f>
        <v>0</v>
      </c>
      <c r="C9202" t="s">
        <v>14080</v>
      </c>
      <c r="D9202" t="s">
        <v>14081</v>
      </c>
      <c r="E9202" t="str">
        <f>"1470900004368"</f>
        <v>0</v>
      </c>
      <c r="F9202" t="str">
        <f>"001650"</f>
        <v>0</v>
      </c>
      <c r="G9202" t="s">
        <v>21</v>
      </c>
    </row>
    <row r="9203" spans="1:7">
      <c r="A9203">
        <v>9202</v>
      </c>
      <c r="B9203" t="str">
        <f>"024861"</f>
        <v>0</v>
      </c>
      <c r="C9203" t="s">
        <v>14082</v>
      </c>
      <c r="D9203" t="s">
        <v>14083</v>
      </c>
      <c r="E9203" t="str">
        <f>"1479900083061"</f>
        <v>0</v>
      </c>
      <c r="F9203" t="str">
        <f>"001650"</f>
        <v>0</v>
      </c>
      <c r="G9203" t="s">
        <v>21</v>
      </c>
    </row>
    <row r="9204" spans="1:7">
      <c r="A9204">
        <v>9203</v>
      </c>
      <c r="B9204" t="str">
        <f>"024987"</f>
        <v>0</v>
      </c>
      <c r="C9204" t="s">
        <v>5546</v>
      </c>
      <c r="D9204" t="s">
        <v>14084</v>
      </c>
      <c r="E9204" t="str">
        <f>"1509900615798"</f>
        <v>0</v>
      </c>
      <c r="F9204" t="str">
        <f>"001650"</f>
        <v>0</v>
      </c>
      <c r="G9204" t="s">
        <v>21</v>
      </c>
    </row>
    <row r="9205" spans="1:7">
      <c r="A9205">
        <v>9204</v>
      </c>
      <c r="B9205" t="str">
        <f>"024988"</f>
        <v>0</v>
      </c>
      <c r="C9205" t="s">
        <v>14085</v>
      </c>
      <c r="D9205" t="s">
        <v>14086</v>
      </c>
      <c r="E9205" t="str">
        <f>"3470500056898"</f>
        <v>0</v>
      </c>
      <c r="F9205" t="str">
        <f>"001650"</f>
        <v>0</v>
      </c>
      <c r="G9205" t="s">
        <v>21</v>
      </c>
    </row>
    <row r="9206" spans="1:7">
      <c r="A9206">
        <v>9205</v>
      </c>
      <c r="B9206" t="str">
        <f>"025105"</f>
        <v>0</v>
      </c>
      <c r="C9206" t="s">
        <v>14087</v>
      </c>
      <c r="D9206" t="s">
        <v>14088</v>
      </c>
      <c r="E9206" t="str">
        <f>"3341600837265"</f>
        <v>0</v>
      </c>
      <c r="F9206" t="str">
        <f>"001650"</f>
        <v>0</v>
      </c>
      <c r="G9206" t="s">
        <v>21</v>
      </c>
    </row>
    <row r="9207" spans="1:7">
      <c r="A9207">
        <v>9206</v>
      </c>
      <c r="B9207" t="str">
        <f>"025474"</f>
        <v>0</v>
      </c>
      <c r="C9207" t="s">
        <v>14089</v>
      </c>
      <c r="D9207" t="s">
        <v>14090</v>
      </c>
      <c r="E9207" t="str">
        <f>"1471200147892"</f>
        <v>0</v>
      </c>
      <c r="F9207" t="str">
        <f>"001650"</f>
        <v>0</v>
      </c>
      <c r="G9207" t="s">
        <v>21</v>
      </c>
    </row>
    <row r="9208" spans="1:7">
      <c r="A9208">
        <v>9207</v>
      </c>
      <c r="B9208" t="str">
        <f>"025656"</f>
        <v>0</v>
      </c>
      <c r="C9208" t="s">
        <v>4771</v>
      </c>
      <c r="D9208" t="s">
        <v>14091</v>
      </c>
      <c r="E9208" t="str">
        <f>"3411300201054"</f>
        <v>0</v>
      </c>
      <c r="F9208" t="str">
        <f>"001650"</f>
        <v>0</v>
      </c>
      <c r="G9208" t="s">
        <v>21</v>
      </c>
    </row>
    <row r="9209" spans="1:7">
      <c r="A9209">
        <v>9208</v>
      </c>
      <c r="B9209" t="str">
        <f>"025963"</f>
        <v>0</v>
      </c>
      <c r="C9209" t="s">
        <v>14092</v>
      </c>
      <c r="D9209" t="s">
        <v>14093</v>
      </c>
      <c r="E9209" t="str">
        <f>"1470800226610"</f>
        <v>0</v>
      </c>
      <c r="F9209" t="str">
        <f>"001650"</f>
        <v>0</v>
      </c>
      <c r="G9209" t="s">
        <v>21</v>
      </c>
    </row>
    <row r="9210" spans="1:7">
      <c r="A9210">
        <v>9209</v>
      </c>
      <c r="B9210" t="str">
        <f>"026040"</f>
        <v>0</v>
      </c>
      <c r="C9210" t="s">
        <v>14094</v>
      </c>
      <c r="D9210" t="s">
        <v>14095</v>
      </c>
      <c r="E9210" t="str">
        <f>"5479990002506"</f>
        <v>0</v>
      </c>
      <c r="F9210" t="str">
        <f>"001650"</f>
        <v>0</v>
      </c>
      <c r="G9210" t="s">
        <v>21</v>
      </c>
    </row>
    <row r="9211" spans="1:7">
      <c r="A9211">
        <v>9210</v>
      </c>
      <c r="B9211" t="str">
        <f>"026044"</f>
        <v>0</v>
      </c>
      <c r="C9211" t="s">
        <v>14096</v>
      </c>
      <c r="D9211" t="s">
        <v>14097</v>
      </c>
      <c r="E9211" t="str">
        <f>"1471100051478"</f>
        <v>0</v>
      </c>
      <c r="F9211" t="str">
        <f>"001650"</f>
        <v>0</v>
      </c>
      <c r="G9211" t="s">
        <v>21</v>
      </c>
    </row>
    <row r="9212" spans="1:7">
      <c r="A9212">
        <v>9211</v>
      </c>
      <c r="B9212" t="str">
        <f>"026217"</f>
        <v>0</v>
      </c>
      <c r="C9212" t="s">
        <v>570</v>
      </c>
      <c r="D9212" t="s">
        <v>14098</v>
      </c>
      <c r="E9212" t="str">
        <f>"1471400045686"</f>
        <v>0</v>
      </c>
      <c r="F9212" t="str">
        <f>"001650"</f>
        <v>0</v>
      </c>
      <c r="G9212" t="s">
        <v>21</v>
      </c>
    </row>
    <row r="9213" spans="1:7">
      <c r="A9213">
        <v>9212</v>
      </c>
      <c r="B9213" t="str">
        <f>"026805"</f>
        <v>0</v>
      </c>
      <c r="C9213" t="s">
        <v>5473</v>
      </c>
      <c r="D9213" t="s">
        <v>10519</v>
      </c>
      <c r="E9213" t="str">
        <f>"2479900018969"</f>
        <v>0</v>
      </c>
      <c r="F9213" t="str">
        <f>"001650"</f>
        <v>0</v>
      </c>
      <c r="G9213" t="s">
        <v>21</v>
      </c>
    </row>
    <row r="9214" spans="1:7">
      <c r="A9214">
        <v>9213</v>
      </c>
      <c r="B9214" t="str">
        <f>"026807"</f>
        <v>0</v>
      </c>
      <c r="C9214" t="s">
        <v>14099</v>
      </c>
      <c r="D9214" t="s">
        <v>5674</v>
      </c>
      <c r="E9214" t="str">
        <f>"1479900228167"</f>
        <v>0</v>
      </c>
      <c r="F9214" t="str">
        <f>"001650"</f>
        <v>0</v>
      </c>
      <c r="G9214" t="s">
        <v>21</v>
      </c>
    </row>
    <row r="9215" spans="1:7">
      <c r="A9215">
        <v>9214</v>
      </c>
      <c r="B9215" t="str">
        <f>"026808"</f>
        <v>0</v>
      </c>
      <c r="C9215" t="s">
        <v>14100</v>
      </c>
      <c r="D9215" t="s">
        <v>14101</v>
      </c>
      <c r="E9215" t="str">
        <f>"3471400035733"</f>
        <v>0</v>
      </c>
      <c r="F9215" t="str">
        <f>"001650"</f>
        <v>0</v>
      </c>
      <c r="G9215" t="s">
        <v>21</v>
      </c>
    </row>
    <row r="9216" spans="1:7">
      <c r="A9216">
        <v>9215</v>
      </c>
      <c r="B9216" t="str">
        <f>"026809"</f>
        <v>0</v>
      </c>
      <c r="C9216" t="s">
        <v>488</v>
      </c>
      <c r="D9216" t="s">
        <v>14102</v>
      </c>
      <c r="E9216" t="str">
        <f>"3450800104537"</f>
        <v>0</v>
      </c>
      <c r="F9216" t="str">
        <f>"001650"</f>
        <v>0</v>
      </c>
      <c r="G9216" t="s">
        <v>21</v>
      </c>
    </row>
    <row r="9217" spans="1:7">
      <c r="A9217">
        <v>9216</v>
      </c>
      <c r="B9217" t="str">
        <f>"026810"</f>
        <v>0</v>
      </c>
      <c r="C9217" t="s">
        <v>14103</v>
      </c>
      <c r="D9217" t="s">
        <v>14104</v>
      </c>
      <c r="E9217" t="str">
        <f>"1470900083055"</f>
        <v>0</v>
      </c>
      <c r="F9217" t="str">
        <f>"001650"</f>
        <v>0</v>
      </c>
      <c r="G9217" t="s">
        <v>21</v>
      </c>
    </row>
    <row r="9218" spans="1:7">
      <c r="A9218">
        <v>9217</v>
      </c>
      <c r="B9218" t="str">
        <f>"027207"</f>
        <v>0</v>
      </c>
      <c r="C9218" t="s">
        <v>4182</v>
      </c>
      <c r="D9218" t="s">
        <v>14040</v>
      </c>
      <c r="E9218" t="str">
        <f>"1399900012033"</f>
        <v>0</v>
      </c>
      <c r="F9218" t="str">
        <f>"001650"</f>
        <v>0</v>
      </c>
      <c r="G9218" t="s">
        <v>21</v>
      </c>
    </row>
    <row r="9219" spans="1:7">
      <c r="A9219">
        <v>9218</v>
      </c>
      <c r="B9219" t="str">
        <f>"027398"</f>
        <v>0</v>
      </c>
      <c r="C9219" t="s">
        <v>14105</v>
      </c>
      <c r="D9219" t="s">
        <v>14106</v>
      </c>
      <c r="E9219" t="str">
        <f>"1479900257248"</f>
        <v>0</v>
      </c>
      <c r="F9219" t="str">
        <f>"001650"</f>
        <v>0</v>
      </c>
      <c r="G9219" t="s">
        <v>21</v>
      </c>
    </row>
    <row r="9220" spans="1:7">
      <c r="A9220">
        <v>9219</v>
      </c>
      <c r="B9220" t="str">
        <f>"027400"</f>
        <v>0</v>
      </c>
      <c r="C9220" t="s">
        <v>14107</v>
      </c>
      <c r="D9220" t="s">
        <v>14108</v>
      </c>
      <c r="E9220" t="str">
        <f>"1479900137528"</f>
        <v>0</v>
      </c>
      <c r="F9220" t="str">
        <f>"001650"</f>
        <v>0</v>
      </c>
      <c r="G9220" t="s">
        <v>21</v>
      </c>
    </row>
    <row r="9221" spans="1:7">
      <c r="A9221">
        <v>9220</v>
      </c>
      <c r="B9221" t="str">
        <f>"014964"</f>
        <v>0</v>
      </c>
      <c r="C9221" t="s">
        <v>403</v>
      </c>
      <c r="D9221" t="s">
        <v>228</v>
      </c>
      <c r="E9221" t="str">
        <f>"3509900372883"</f>
        <v>0</v>
      </c>
      <c r="F9221" t="str">
        <f>"001650"</f>
        <v>0</v>
      </c>
      <c r="G9221" t="s">
        <v>21</v>
      </c>
    </row>
    <row r="9222" spans="1:7">
      <c r="A9222">
        <v>9221</v>
      </c>
      <c r="B9222" t="str">
        <f>"023394"</f>
        <v>0</v>
      </c>
      <c r="C9222" t="s">
        <v>13845</v>
      </c>
      <c r="D9222" t="s">
        <v>14109</v>
      </c>
      <c r="E9222" t="str">
        <f>"1480900004953"</f>
        <v>0</v>
      </c>
      <c r="F9222" t="str">
        <f>"001650"</f>
        <v>0</v>
      </c>
      <c r="G9222" t="s">
        <v>21</v>
      </c>
    </row>
    <row r="9223" spans="1:7">
      <c r="A9223">
        <v>9222</v>
      </c>
      <c r="B9223" t="str">
        <f>"026646"</f>
        <v>0</v>
      </c>
      <c r="C9223" t="s">
        <v>14110</v>
      </c>
      <c r="D9223" t="s">
        <v>14111</v>
      </c>
      <c r="E9223" t="str">
        <f>"1489900280711"</f>
        <v>0</v>
      </c>
      <c r="F9223" t="str">
        <f>"001650"</f>
        <v>0</v>
      </c>
      <c r="G9223" t="s">
        <v>21</v>
      </c>
    </row>
    <row r="9224" spans="1:7">
      <c r="A9224">
        <v>9223</v>
      </c>
      <c r="B9224" t="str">
        <f>"025329"</f>
        <v>0</v>
      </c>
      <c r="C9224" t="s">
        <v>14112</v>
      </c>
      <c r="D9224" t="s">
        <v>14113</v>
      </c>
      <c r="E9224" t="str">
        <f>"1551000002571"</f>
        <v>0</v>
      </c>
      <c r="F9224" t="str">
        <f>"001650"</f>
        <v>0</v>
      </c>
      <c r="G9224" t="s">
        <v>21</v>
      </c>
    </row>
    <row r="9225" spans="1:7">
      <c r="A9225">
        <v>9224</v>
      </c>
      <c r="B9225" t="str">
        <f>"026218"</f>
        <v>0</v>
      </c>
      <c r="C9225" t="s">
        <v>36</v>
      </c>
      <c r="D9225" t="s">
        <v>14114</v>
      </c>
      <c r="E9225" t="str">
        <f>"1560100035195"</f>
        <v>0</v>
      </c>
      <c r="F9225" t="str">
        <f>"001650"</f>
        <v>0</v>
      </c>
      <c r="G9225" t="s">
        <v>21</v>
      </c>
    </row>
    <row r="9226" spans="1:7">
      <c r="A9226">
        <v>9225</v>
      </c>
      <c r="B9226" t="str">
        <f>"027209"</f>
        <v>0</v>
      </c>
      <c r="C9226" t="s">
        <v>12151</v>
      </c>
      <c r="D9226" t="s">
        <v>14115</v>
      </c>
      <c r="E9226" t="str">
        <f>"1571000062078"</f>
        <v>0</v>
      </c>
      <c r="F9226" t="str">
        <f>"001650"</f>
        <v>0</v>
      </c>
      <c r="G9226" t="s">
        <v>21</v>
      </c>
    </row>
    <row r="9227" spans="1:7">
      <c r="A9227">
        <v>9226</v>
      </c>
      <c r="B9227" t="str">
        <f>"021710"</f>
        <v>0</v>
      </c>
      <c r="C9227" t="s">
        <v>14116</v>
      </c>
      <c r="D9227" t="s">
        <v>14117</v>
      </c>
      <c r="E9227" t="str">
        <f>"3730100019674"</f>
        <v>0</v>
      </c>
      <c r="F9227" t="str">
        <f>"001650"</f>
        <v>0</v>
      </c>
      <c r="G9227" t="s">
        <v>21</v>
      </c>
    </row>
    <row r="9228" spans="1:7">
      <c r="A9228">
        <v>9227</v>
      </c>
      <c r="B9228" t="str">
        <f>"025793"</f>
        <v>0</v>
      </c>
      <c r="C9228" t="s">
        <v>14118</v>
      </c>
      <c r="D9228" t="s">
        <v>14119</v>
      </c>
      <c r="E9228" t="str">
        <f>"1103700945121"</f>
        <v>0</v>
      </c>
      <c r="F9228" t="str">
        <f>"001650"</f>
        <v>0</v>
      </c>
      <c r="G9228" t="s">
        <v>21</v>
      </c>
    </row>
    <row r="9229" spans="1:7">
      <c r="A9229">
        <v>9228</v>
      </c>
      <c r="B9229" t="str">
        <f>"027529"</f>
        <v>0</v>
      </c>
      <c r="C9229" t="s">
        <v>14120</v>
      </c>
      <c r="D9229" t="s">
        <v>1589</v>
      </c>
      <c r="E9229" t="str">
        <f>"1430400082556"</f>
        <v>0</v>
      </c>
      <c r="F9229" t="str">
        <f>"001650"</f>
        <v>0</v>
      </c>
      <c r="G9229" t="s">
        <v>21</v>
      </c>
    </row>
    <row r="9230" spans="1:7">
      <c r="A9230">
        <v>9229</v>
      </c>
      <c r="B9230" t="str">
        <f>"000905"</f>
        <v>0</v>
      </c>
      <c r="C9230" t="s">
        <v>2758</v>
      </c>
      <c r="D9230" t="s">
        <v>12779</v>
      </c>
      <c r="E9230" t="str">
        <f>"3940300057314"</f>
        <v>0</v>
      </c>
      <c r="F9230" t="str">
        <f>"001670"</f>
        <v>0</v>
      </c>
      <c r="G9230" t="s">
        <v>21</v>
      </c>
    </row>
    <row r="9231" spans="1:7">
      <c r="A9231">
        <v>9230</v>
      </c>
      <c r="B9231" t="str">
        <f>"001271"</f>
        <v>0</v>
      </c>
      <c r="C9231" t="s">
        <v>2301</v>
      </c>
      <c r="D9231" t="s">
        <v>14121</v>
      </c>
      <c r="E9231" t="str">
        <f>"4909900008272"</f>
        <v>0</v>
      </c>
      <c r="F9231" t="str">
        <f>"001670"</f>
        <v>0</v>
      </c>
      <c r="G9231" t="s">
        <v>21</v>
      </c>
    </row>
    <row r="9232" spans="1:7">
      <c r="A9232">
        <v>9231</v>
      </c>
      <c r="B9232" t="str">
        <f>"001276"</f>
        <v>0</v>
      </c>
      <c r="C9232" t="s">
        <v>14122</v>
      </c>
      <c r="D9232" t="s">
        <v>9296</v>
      </c>
      <c r="E9232" t="str">
        <f>"3900700138290"</f>
        <v>0</v>
      </c>
      <c r="F9232" t="str">
        <f>"001670"</f>
        <v>0</v>
      </c>
      <c r="G9232" t="s">
        <v>21</v>
      </c>
    </row>
    <row r="9233" spans="1:7">
      <c r="A9233">
        <v>9232</v>
      </c>
      <c r="B9233" t="str">
        <f>"001506"</f>
        <v>0</v>
      </c>
      <c r="C9233" t="s">
        <v>9370</v>
      </c>
      <c r="D9233" t="s">
        <v>14123</v>
      </c>
      <c r="E9233" t="str">
        <f>"3900100396492"</f>
        <v>0</v>
      </c>
      <c r="F9233" t="str">
        <f>"001670"</f>
        <v>0</v>
      </c>
      <c r="G9233" t="s">
        <v>21</v>
      </c>
    </row>
    <row r="9234" spans="1:7">
      <c r="A9234">
        <v>9233</v>
      </c>
      <c r="B9234" t="str">
        <f>"001524"</f>
        <v>0</v>
      </c>
      <c r="C9234" t="s">
        <v>14124</v>
      </c>
      <c r="D9234" t="s">
        <v>14125</v>
      </c>
      <c r="E9234" t="str">
        <f>"3909900154491"</f>
        <v>0</v>
      </c>
      <c r="F9234" t="str">
        <f>"001670"</f>
        <v>0</v>
      </c>
      <c r="G9234" t="s">
        <v>21</v>
      </c>
    </row>
    <row r="9235" spans="1:7">
      <c r="A9235">
        <v>9234</v>
      </c>
      <c r="B9235" t="str">
        <f>"001583"</f>
        <v>0</v>
      </c>
      <c r="C9235" t="s">
        <v>435</v>
      </c>
      <c r="D9235" t="s">
        <v>4735</v>
      </c>
      <c r="E9235" t="str">
        <f>"3900700126135"</f>
        <v>0</v>
      </c>
      <c r="F9235" t="str">
        <f>"001670"</f>
        <v>0</v>
      </c>
      <c r="G9235" t="s">
        <v>21</v>
      </c>
    </row>
    <row r="9236" spans="1:7">
      <c r="A9236">
        <v>9235</v>
      </c>
      <c r="B9236" t="str">
        <f>"002285"</f>
        <v>0</v>
      </c>
      <c r="C9236" t="s">
        <v>14126</v>
      </c>
      <c r="D9236" t="s">
        <v>6151</v>
      </c>
      <c r="E9236" t="str">
        <f>"3909800200203"</f>
        <v>0</v>
      </c>
      <c r="F9236" t="str">
        <f>"001670"</f>
        <v>0</v>
      </c>
      <c r="G9236" t="s">
        <v>21</v>
      </c>
    </row>
    <row r="9237" spans="1:7">
      <c r="A9237">
        <v>9236</v>
      </c>
      <c r="B9237" t="str">
        <f>"002295"</f>
        <v>0</v>
      </c>
      <c r="C9237" t="s">
        <v>14127</v>
      </c>
      <c r="D9237" t="s">
        <v>4663</v>
      </c>
      <c r="E9237" t="str">
        <f>"3900400152947"</f>
        <v>0</v>
      </c>
      <c r="F9237" t="str">
        <f>"001670"</f>
        <v>0</v>
      </c>
      <c r="G9237" t="s">
        <v>21</v>
      </c>
    </row>
    <row r="9238" spans="1:7">
      <c r="A9238">
        <v>9237</v>
      </c>
      <c r="B9238" t="str">
        <f>"002380"</f>
        <v>0</v>
      </c>
      <c r="C9238" t="s">
        <v>1341</v>
      </c>
      <c r="D9238" t="s">
        <v>14128</v>
      </c>
      <c r="E9238" t="str">
        <f>"3900100054168"</f>
        <v>0</v>
      </c>
      <c r="F9238" t="str">
        <f>"001670"</f>
        <v>0</v>
      </c>
      <c r="G9238" t="s">
        <v>21</v>
      </c>
    </row>
    <row r="9239" spans="1:7">
      <c r="A9239">
        <v>9238</v>
      </c>
      <c r="B9239" t="str">
        <f>"002514"</f>
        <v>0</v>
      </c>
      <c r="C9239" t="s">
        <v>14129</v>
      </c>
      <c r="D9239" t="s">
        <v>14130</v>
      </c>
      <c r="E9239" t="str">
        <f>"3969900341682"</f>
        <v>0</v>
      </c>
      <c r="F9239" t="str">
        <f>"001670"</f>
        <v>0</v>
      </c>
      <c r="G9239" t="s">
        <v>21</v>
      </c>
    </row>
    <row r="9240" spans="1:7">
      <c r="A9240">
        <v>9239</v>
      </c>
      <c r="B9240" t="str">
        <f>"002528"</f>
        <v>0</v>
      </c>
      <c r="C9240" t="s">
        <v>8939</v>
      </c>
      <c r="D9240" t="s">
        <v>1850</v>
      </c>
      <c r="E9240" t="str">
        <f>"3901101293574"</f>
        <v>0</v>
      </c>
      <c r="F9240" t="str">
        <f>"001670"</f>
        <v>0</v>
      </c>
      <c r="G9240" t="s">
        <v>21</v>
      </c>
    </row>
    <row r="9241" spans="1:7">
      <c r="A9241">
        <v>9240</v>
      </c>
      <c r="B9241" t="str">
        <f>"002655"</f>
        <v>0</v>
      </c>
      <c r="C9241" t="s">
        <v>1408</v>
      </c>
      <c r="D9241" t="s">
        <v>14131</v>
      </c>
      <c r="E9241" t="str">
        <f>"3900100054443"</f>
        <v>0</v>
      </c>
      <c r="F9241" t="str">
        <f>"001670"</f>
        <v>0</v>
      </c>
      <c r="G9241" t="s">
        <v>21</v>
      </c>
    </row>
    <row r="9242" spans="1:7">
      <c r="A9242">
        <v>9241</v>
      </c>
      <c r="B9242" t="str">
        <f>"002683"</f>
        <v>0</v>
      </c>
      <c r="C9242" t="s">
        <v>5717</v>
      </c>
      <c r="D9242" t="s">
        <v>14132</v>
      </c>
      <c r="E9242" t="str">
        <f>"5929990004024"</f>
        <v>0</v>
      </c>
      <c r="F9242" t="str">
        <f>"001670"</f>
        <v>0</v>
      </c>
      <c r="G9242" t="s">
        <v>21</v>
      </c>
    </row>
    <row r="9243" spans="1:7">
      <c r="A9243">
        <v>9242</v>
      </c>
      <c r="B9243" t="str">
        <f>"002695"</f>
        <v>0</v>
      </c>
      <c r="C9243" t="s">
        <v>14133</v>
      </c>
      <c r="D9243" t="s">
        <v>14134</v>
      </c>
      <c r="E9243" t="str">
        <f>"3901101092064"</f>
        <v>0</v>
      </c>
      <c r="F9243" t="str">
        <f>"001670"</f>
        <v>0</v>
      </c>
      <c r="G9243" t="s">
        <v>21</v>
      </c>
    </row>
    <row r="9244" spans="1:7">
      <c r="A9244">
        <v>9243</v>
      </c>
      <c r="B9244" t="str">
        <f>"002914"</f>
        <v>0</v>
      </c>
      <c r="C9244" t="s">
        <v>14135</v>
      </c>
      <c r="D9244" t="s">
        <v>14134</v>
      </c>
      <c r="E9244" t="str">
        <f>"3939900147525"</f>
        <v>0</v>
      </c>
      <c r="F9244" t="str">
        <f>"001670"</f>
        <v>0</v>
      </c>
      <c r="G9244" t="s">
        <v>21</v>
      </c>
    </row>
    <row r="9245" spans="1:7">
      <c r="A9245">
        <v>9244</v>
      </c>
      <c r="B9245" t="str">
        <f>"003155"</f>
        <v>0</v>
      </c>
      <c r="C9245" t="s">
        <v>341</v>
      </c>
      <c r="D9245" t="s">
        <v>14136</v>
      </c>
      <c r="E9245" t="str">
        <f>"5900199011756"</f>
        <v>0</v>
      </c>
      <c r="F9245" t="str">
        <f>"001670"</f>
        <v>0</v>
      </c>
      <c r="G9245" t="s">
        <v>21</v>
      </c>
    </row>
    <row r="9246" spans="1:7">
      <c r="A9246">
        <v>9245</v>
      </c>
      <c r="B9246" t="str">
        <f>"003604"</f>
        <v>0</v>
      </c>
      <c r="C9246" t="s">
        <v>2779</v>
      </c>
      <c r="D9246" t="s">
        <v>14137</v>
      </c>
      <c r="E9246" t="str">
        <f>"3929900033082"</f>
        <v>0</v>
      </c>
      <c r="F9246" t="str">
        <f>"001670"</f>
        <v>0</v>
      </c>
      <c r="G9246" t="s">
        <v>21</v>
      </c>
    </row>
    <row r="9247" spans="1:7">
      <c r="A9247">
        <v>9246</v>
      </c>
      <c r="B9247" t="str">
        <f>"003605"</f>
        <v>0</v>
      </c>
      <c r="C9247" t="s">
        <v>2445</v>
      </c>
      <c r="D9247" t="s">
        <v>14138</v>
      </c>
      <c r="E9247" t="str">
        <f>"3900900002367"</f>
        <v>0</v>
      </c>
      <c r="F9247" t="str">
        <f>"001670"</f>
        <v>0</v>
      </c>
      <c r="G9247" t="s">
        <v>21</v>
      </c>
    </row>
    <row r="9248" spans="1:7">
      <c r="A9248">
        <v>9247</v>
      </c>
      <c r="B9248" t="str">
        <f>"003763"</f>
        <v>0</v>
      </c>
      <c r="C9248" t="s">
        <v>4757</v>
      </c>
      <c r="D9248" t="s">
        <v>14139</v>
      </c>
      <c r="E9248" t="str">
        <f>"3960500126891"</f>
        <v>0</v>
      </c>
      <c r="F9248" t="str">
        <f>"001670"</f>
        <v>0</v>
      </c>
      <c r="G9248" t="s">
        <v>21</v>
      </c>
    </row>
    <row r="9249" spans="1:7">
      <c r="A9249">
        <v>9248</v>
      </c>
      <c r="B9249" t="str">
        <f>"003786"</f>
        <v>0</v>
      </c>
      <c r="C9249" t="s">
        <v>878</v>
      </c>
      <c r="D9249" t="s">
        <v>14140</v>
      </c>
      <c r="E9249" t="str">
        <f>"3909801044060"</f>
        <v>0</v>
      </c>
      <c r="F9249" t="str">
        <f>"001670"</f>
        <v>0</v>
      </c>
      <c r="G9249" t="s">
        <v>21</v>
      </c>
    </row>
    <row r="9250" spans="1:7">
      <c r="A9250">
        <v>9249</v>
      </c>
      <c r="B9250" t="str">
        <f>"004207"</f>
        <v>0</v>
      </c>
      <c r="C9250" t="s">
        <v>14141</v>
      </c>
      <c r="D9250" t="s">
        <v>14142</v>
      </c>
      <c r="E9250" t="str">
        <f>"3909800846511"</f>
        <v>0</v>
      </c>
      <c r="F9250" t="str">
        <f>"001670"</f>
        <v>0</v>
      </c>
      <c r="G9250" t="s">
        <v>21</v>
      </c>
    </row>
    <row r="9251" spans="1:7">
      <c r="A9251">
        <v>9250</v>
      </c>
      <c r="B9251" t="str">
        <f>"004215"</f>
        <v>0</v>
      </c>
      <c r="C9251" t="s">
        <v>126</v>
      </c>
      <c r="D9251" t="s">
        <v>14143</v>
      </c>
      <c r="E9251" t="str">
        <f>"3940200141844"</f>
        <v>0</v>
      </c>
      <c r="F9251" t="str">
        <f>"001670"</f>
        <v>0</v>
      </c>
      <c r="G9251" t="s">
        <v>21</v>
      </c>
    </row>
    <row r="9252" spans="1:7">
      <c r="A9252">
        <v>9251</v>
      </c>
      <c r="B9252" t="str">
        <f>"004222"</f>
        <v>0</v>
      </c>
      <c r="C9252" t="s">
        <v>590</v>
      </c>
      <c r="D9252" t="s">
        <v>14144</v>
      </c>
      <c r="E9252" t="str">
        <f>"3770200245765"</f>
        <v>0</v>
      </c>
      <c r="F9252" t="str">
        <f>"001670"</f>
        <v>0</v>
      </c>
      <c r="G9252" t="s">
        <v>21</v>
      </c>
    </row>
    <row r="9253" spans="1:7">
      <c r="A9253">
        <v>9252</v>
      </c>
      <c r="B9253" t="str">
        <f>"004256"</f>
        <v>0</v>
      </c>
      <c r="C9253" t="s">
        <v>957</v>
      </c>
      <c r="D9253" t="s">
        <v>14145</v>
      </c>
      <c r="E9253" t="str">
        <f>"3909900388131"</f>
        <v>0</v>
      </c>
      <c r="F9253" t="str">
        <f>"001670"</f>
        <v>0</v>
      </c>
      <c r="G9253" t="s">
        <v>21</v>
      </c>
    </row>
    <row r="9254" spans="1:7">
      <c r="A9254">
        <v>9253</v>
      </c>
      <c r="B9254" t="str">
        <f>"004467"</f>
        <v>0</v>
      </c>
      <c r="C9254" t="s">
        <v>14146</v>
      </c>
      <c r="D9254" t="s">
        <v>242</v>
      </c>
      <c r="E9254" t="str">
        <f>"3841700669629"</f>
        <v>0</v>
      </c>
      <c r="F9254" t="str">
        <f>"001670"</f>
        <v>0</v>
      </c>
      <c r="G9254" t="s">
        <v>21</v>
      </c>
    </row>
    <row r="9255" spans="1:7">
      <c r="A9255">
        <v>9254</v>
      </c>
      <c r="B9255" t="str">
        <f>"004517"</f>
        <v>0</v>
      </c>
      <c r="C9255" t="s">
        <v>14147</v>
      </c>
      <c r="D9255" t="s">
        <v>14148</v>
      </c>
      <c r="E9255" t="str">
        <f>"3900800166805"</f>
        <v>0</v>
      </c>
      <c r="F9255" t="str">
        <f>"001670"</f>
        <v>0</v>
      </c>
      <c r="G9255" t="s">
        <v>21</v>
      </c>
    </row>
    <row r="9256" spans="1:7">
      <c r="A9256">
        <v>9255</v>
      </c>
      <c r="B9256" t="str">
        <f>"004596"</f>
        <v>0</v>
      </c>
      <c r="C9256" t="s">
        <v>2076</v>
      </c>
      <c r="D9256" t="s">
        <v>14149</v>
      </c>
      <c r="E9256" t="str">
        <f>"4901100006430"</f>
        <v>0</v>
      </c>
      <c r="F9256" t="str">
        <f>"001670"</f>
        <v>0</v>
      </c>
      <c r="G9256" t="s">
        <v>21</v>
      </c>
    </row>
    <row r="9257" spans="1:7">
      <c r="A9257">
        <v>9256</v>
      </c>
      <c r="B9257" t="str">
        <f>"004808"</f>
        <v>0</v>
      </c>
      <c r="C9257" t="s">
        <v>14150</v>
      </c>
      <c r="D9257" t="s">
        <v>14151</v>
      </c>
      <c r="E9257" t="str">
        <f>"3950300091083"</f>
        <v>0</v>
      </c>
      <c r="F9257" t="str">
        <f>"001670"</f>
        <v>0</v>
      </c>
      <c r="G9257" t="s">
        <v>21</v>
      </c>
    </row>
    <row r="9258" spans="1:7">
      <c r="A9258">
        <v>9257</v>
      </c>
      <c r="B9258" t="str">
        <f>"004848"</f>
        <v>0</v>
      </c>
      <c r="C9258" t="s">
        <v>14152</v>
      </c>
      <c r="D9258" t="s">
        <v>14153</v>
      </c>
      <c r="E9258" t="str">
        <f>"3900900009868"</f>
        <v>0</v>
      </c>
      <c r="F9258" t="str">
        <f>"001670"</f>
        <v>0</v>
      </c>
      <c r="G9258" t="s">
        <v>21</v>
      </c>
    </row>
    <row r="9259" spans="1:7">
      <c r="A9259">
        <v>9258</v>
      </c>
      <c r="B9259" t="str">
        <f>"004849"</f>
        <v>0</v>
      </c>
      <c r="C9259" t="s">
        <v>520</v>
      </c>
      <c r="D9259" t="s">
        <v>14154</v>
      </c>
      <c r="E9259" t="str">
        <f>"3900200104027"</f>
        <v>0</v>
      </c>
      <c r="F9259" t="str">
        <f>"001670"</f>
        <v>0</v>
      </c>
      <c r="G9259" t="s">
        <v>21</v>
      </c>
    </row>
    <row r="9260" spans="1:7">
      <c r="A9260">
        <v>9259</v>
      </c>
      <c r="B9260" t="str">
        <f>"004855"</f>
        <v>0</v>
      </c>
      <c r="C9260" t="s">
        <v>14155</v>
      </c>
      <c r="D9260" t="s">
        <v>14156</v>
      </c>
      <c r="E9260" t="str">
        <f>"4909800001926"</f>
        <v>0</v>
      </c>
      <c r="F9260" t="str">
        <f>"001670"</f>
        <v>0</v>
      </c>
      <c r="G9260" t="s">
        <v>21</v>
      </c>
    </row>
    <row r="9261" spans="1:7">
      <c r="A9261">
        <v>9260</v>
      </c>
      <c r="B9261" t="str">
        <f>"004857"</f>
        <v>0</v>
      </c>
      <c r="C9261" t="s">
        <v>4305</v>
      </c>
      <c r="D9261" t="s">
        <v>14157</v>
      </c>
      <c r="E9261" t="str">
        <f>"3910500102917"</f>
        <v>0</v>
      </c>
      <c r="F9261" t="str">
        <f>"001670"</f>
        <v>0</v>
      </c>
      <c r="G9261" t="s">
        <v>21</v>
      </c>
    </row>
    <row r="9262" spans="1:7">
      <c r="A9262">
        <v>9261</v>
      </c>
      <c r="B9262" t="str">
        <f>"004945"</f>
        <v>0</v>
      </c>
      <c r="C9262" t="s">
        <v>14158</v>
      </c>
      <c r="D9262" t="s">
        <v>14159</v>
      </c>
      <c r="E9262" t="str">
        <f>"3909900309363"</f>
        <v>0</v>
      </c>
      <c r="F9262" t="str">
        <f>"001670"</f>
        <v>0</v>
      </c>
      <c r="G9262" t="s">
        <v>21</v>
      </c>
    </row>
    <row r="9263" spans="1:7">
      <c r="A9263">
        <v>9262</v>
      </c>
      <c r="B9263" t="str">
        <f>"004952"</f>
        <v>0</v>
      </c>
      <c r="C9263" t="s">
        <v>445</v>
      </c>
      <c r="D9263" t="s">
        <v>14160</v>
      </c>
      <c r="E9263" t="str">
        <f>"3909900269248"</f>
        <v>0</v>
      </c>
      <c r="F9263" t="str">
        <f>"001670"</f>
        <v>0</v>
      </c>
      <c r="G9263" t="s">
        <v>21</v>
      </c>
    </row>
    <row r="9264" spans="1:7">
      <c r="A9264">
        <v>9263</v>
      </c>
      <c r="B9264" t="str">
        <f>"004974"</f>
        <v>0</v>
      </c>
      <c r="C9264" t="s">
        <v>1978</v>
      </c>
      <c r="D9264" t="s">
        <v>14161</v>
      </c>
      <c r="E9264" t="str">
        <f>"3960400033336"</f>
        <v>0</v>
      </c>
      <c r="F9264" t="str">
        <f>"001670"</f>
        <v>0</v>
      </c>
      <c r="G9264" t="s">
        <v>21</v>
      </c>
    </row>
    <row r="9265" spans="1:7">
      <c r="A9265">
        <v>9264</v>
      </c>
      <c r="B9265" t="str">
        <f>"005005"</f>
        <v>0</v>
      </c>
      <c r="C9265" t="s">
        <v>488</v>
      </c>
      <c r="D9265" t="s">
        <v>14162</v>
      </c>
      <c r="E9265" t="str">
        <f>"3909801095616"</f>
        <v>0</v>
      </c>
      <c r="F9265" t="str">
        <f>"001670"</f>
        <v>0</v>
      </c>
      <c r="G9265" t="s">
        <v>21</v>
      </c>
    </row>
    <row r="9266" spans="1:7">
      <c r="A9266">
        <v>9265</v>
      </c>
      <c r="B9266" t="str">
        <f>"005152"</f>
        <v>0</v>
      </c>
      <c r="C9266" t="s">
        <v>470</v>
      </c>
      <c r="D9266" t="s">
        <v>14163</v>
      </c>
      <c r="E9266" t="str">
        <f>"3950600008947"</f>
        <v>0</v>
      </c>
      <c r="F9266" t="str">
        <f>"001670"</f>
        <v>0</v>
      </c>
      <c r="G9266" t="s">
        <v>21</v>
      </c>
    </row>
    <row r="9267" spans="1:7">
      <c r="A9267">
        <v>9266</v>
      </c>
      <c r="B9267" t="str">
        <f>"005793"</f>
        <v>0</v>
      </c>
      <c r="C9267" t="s">
        <v>14164</v>
      </c>
      <c r="D9267" t="s">
        <v>14165</v>
      </c>
      <c r="E9267" t="str">
        <f>"3950300024050"</f>
        <v>0</v>
      </c>
      <c r="F9267" t="str">
        <f>"001670"</f>
        <v>0</v>
      </c>
      <c r="G9267" t="s">
        <v>21</v>
      </c>
    </row>
    <row r="9268" spans="1:7">
      <c r="A9268">
        <v>9267</v>
      </c>
      <c r="B9268" t="str">
        <f>"005923"</f>
        <v>0</v>
      </c>
      <c r="C9268" t="s">
        <v>14166</v>
      </c>
      <c r="D9268" t="s">
        <v>14167</v>
      </c>
      <c r="E9268" t="str">
        <f>"3901100082715"</f>
        <v>0</v>
      </c>
      <c r="F9268" t="str">
        <f>"001670"</f>
        <v>0</v>
      </c>
      <c r="G9268" t="s">
        <v>21</v>
      </c>
    </row>
    <row r="9269" spans="1:7">
      <c r="A9269">
        <v>9268</v>
      </c>
      <c r="B9269" t="str">
        <f>"006044"</f>
        <v>0</v>
      </c>
      <c r="C9269" t="s">
        <v>397</v>
      </c>
      <c r="D9269" t="s">
        <v>14168</v>
      </c>
      <c r="E9269" t="str">
        <f>"3960300019536"</f>
        <v>0</v>
      </c>
      <c r="F9269" t="str">
        <f>"001670"</f>
        <v>0</v>
      </c>
      <c r="G9269" t="s">
        <v>21</v>
      </c>
    </row>
    <row r="9270" spans="1:7">
      <c r="A9270">
        <v>9269</v>
      </c>
      <c r="B9270" t="str">
        <f>"007021"</f>
        <v>0</v>
      </c>
      <c r="C9270" t="s">
        <v>4225</v>
      </c>
      <c r="D9270" t="s">
        <v>398</v>
      </c>
      <c r="E9270" t="str">
        <f>"3930600029448"</f>
        <v>0</v>
      </c>
      <c r="F9270" t="str">
        <f>"001670"</f>
        <v>0</v>
      </c>
      <c r="G9270" t="s">
        <v>21</v>
      </c>
    </row>
    <row r="9271" spans="1:7">
      <c r="A9271">
        <v>9270</v>
      </c>
      <c r="B9271" t="str">
        <f>"008680"</f>
        <v>0</v>
      </c>
      <c r="C9271" t="s">
        <v>5962</v>
      </c>
      <c r="D9271" t="s">
        <v>14169</v>
      </c>
      <c r="E9271" t="str">
        <f>"3809900216773"</f>
        <v>0</v>
      </c>
      <c r="F9271" t="str">
        <f>"001670"</f>
        <v>0</v>
      </c>
      <c r="G9271" t="s">
        <v>21</v>
      </c>
    </row>
    <row r="9272" spans="1:7">
      <c r="A9272">
        <v>9271</v>
      </c>
      <c r="B9272" t="str">
        <f>"008805"</f>
        <v>0</v>
      </c>
      <c r="C9272" t="s">
        <v>14170</v>
      </c>
      <c r="D9272" t="s">
        <v>14171</v>
      </c>
      <c r="E9272" t="str">
        <f>"3960700033242"</f>
        <v>0</v>
      </c>
      <c r="F9272" t="str">
        <f>"001670"</f>
        <v>0</v>
      </c>
      <c r="G9272" t="s">
        <v>21</v>
      </c>
    </row>
    <row r="9273" spans="1:7">
      <c r="A9273">
        <v>9272</v>
      </c>
      <c r="B9273" t="str">
        <f>"009053"</f>
        <v>0</v>
      </c>
      <c r="C9273" t="s">
        <v>8172</v>
      </c>
      <c r="D9273" t="s">
        <v>14172</v>
      </c>
      <c r="E9273" t="str">
        <f>"3801600349495"</f>
        <v>0</v>
      </c>
      <c r="F9273" t="str">
        <f>"001670"</f>
        <v>0</v>
      </c>
      <c r="G9273" t="s">
        <v>21</v>
      </c>
    </row>
    <row r="9274" spans="1:7">
      <c r="A9274">
        <v>9273</v>
      </c>
      <c r="B9274" t="str">
        <f>"009158"</f>
        <v>0</v>
      </c>
      <c r="C9274" t="s">
        <v>7350</v>
      </c>
      <c r="D9274" t="s">
        <v>14173</v>
      </c>
      <c r="E9274" t="str">
        <f>"3960600104547"</f>
        <v>0</v>
      </c>
      <c r="F9274" t="str">
        <f>"001670"</f>
        <v>0</v>
      </c>
      <c r="G9274" t="s">
        <v>21</v>
      </c>
    </row>
    <row r="9275" spans="1:7">
      <c r="A9275">
        <v>9274</v>
      </c>
      <c r="B9275" t="str">
        <f>"009182"</f>
        <v>0</v>
      </c>
      <c r="C9275" t="s">
        <v>14174</v>
      </c>
      <c r="D9275" t="s">
        <v>14175</v>
      </c>
      <c r="E9275" t="str">
        <f>"3900700423911"</f>
        <v>0</v>
      </c>
      <c r="F9275" t="str">
        <f>"001670"</f>
        <v>0</v>
      </c>
      <c r="G9275" t="s">
        <v>21</v>
      </c>
    </row>
    <row r="9276" spans="1:7">
      <c r="A9276">
        <v>9275</v>
      </c>
      <c r="B9276" t="str">
        <f>"009581"</f>
        <v>0</v>
      </c>
      <c r="C9276" t="s">
        <v>14176</v>
      </c>
      <c r="D9276" t="s">
        <v>14177</v>
      </c>
      <c r="E9276" t="str">
        <f>"3909700100550"</f>
        <v>0</v>
      </c>
      <c r="F9276" t="str">
        <f>"001670"</f>
        <v>0</v>
      </c>
      <c r="G9276" t="s">
        <v>21</v>
      </c>
    </row>
    <row r="9277" spans="1:7">
      <c r="A9277">
        <v>9276</v>
      </c>
      <c r="B9277" t="str">
        <f>"009582"</f>
        <v>0</v>
      </c>
      <c r="C9277" t="s">
        <v>3823</v>
      </c>
      <c r="D9277" t="s">
        <v>14178</v>
      </c>
      <c r="E9277" t="str">
        <f>"3900700720924"</f>
        <v>0</v>
      </c>
      <c r="F9277" t="str">
        <f>"001670"</f>
        <v>0</v>
      </c>
      <c r="G9277" t="s">
        <v>21</v>
      </c>
    </row>
    <row r="9278" spans="1:7">
      <c r="A9278">
        <v>9277</v>
      </c>
      <c r="B9278" t="str">
        <f>"009804"</f>
        <v>0</v>
      </c>
      <c r="C9278" t="s">
        <v>14179</v>
      </c>
      <c r="D9278" t="s">
        <v>14180</v>
      </c>
      <c r="E9278" t="str">
        <f>"3901100842361"</f>
        <v>0</v>
      </c>
      <c r="F9278" t="str">
        <f>"001670"</f>
        <v>0</v>
      </c>
      <c r="G9278" t="s">
        <v>21</v>
      </c>
    </row>
    <row r="9279" spans="1:7">
      <c r="A9279">
        <v>9278</v>
      </c>
      <c r="B9279" t="str">
        <f>"010476"</f>
        <v>0</v>
      </c>
      <c r="C9279" t="s">
        <v>4433</v>
      </c>
      <c r="D9279" t="s">
        <v>14181</v>
      </c>
      <c r="E9279" t="str">
        <f>"3909900113167"</f>
        <v>0</v>
      </c>
      <c r="F9279" t="str">
        <f>"001670"</f>
        <v>0</v>
      </c>
      <c r="G9279" t="s">
        <v>21</v>
      </c>
    </row>
    <row r="9280" spans="1:7">
      <c r="A9280">
        <v>9279</v>
      </c>
      <c r="B9280" t="str">
        <f>"010521"</f>
        <v>0</v>
      </c>
      <c r="C9280" t="s">
        <v>881</v>
      </c>
      <c r="D9280" t="s">
        <v>14182</v>
      </c>
      <c r="E9280" t="str">
        <f>"3901200018016"</f>
        <v>0</v>
      </c>
      <c r="F9280" t="str">
        <f>"001670"</f>
        <v>0</v>
      </c>
      <c r="G9280" t="s">
        <v>21</v>
      </c>
    </row>
    <row r="9281" spans="1:7">
      <c r="A9281">
        <v>9280</v>
      </c>
      <c r="B9281" t="str">
        <f>"010913"</f>
        <v>0</v>
      </c>
      <c r="C9281" t="s">
        <v>14183</v>
      </c>
      <c r="D9281" t="s">
        <v>14184</v>
      </c>
      <c r="E9281" t="str">
        <f>"3900900015060"</f>
        <v>0</v>
      </c>
      <c r="F9281" t="str">
        <f>"001670"</f>
        <v>0</v>
      </c>
      <c r="G9281" t="s">
        <v>21</v>
      </c>
    </row>
    <row r="9282" spans="1:7">
      <c r="A9282">
        <v>9281</v>
      </c>
      <c r="B9282" t="str">
        <f>"011069"</f>
        <v>0</v>
      </c>
      <c r="C9282" t="s">
        <v>14185</v>
      </c>
      <c r="D9282" t="s">
        <v>14186</v>
      </c>
      <c r="E9282" t="str">
        <f>"3909801132074"</f>
        <v>0</v>
      </c>
      <c r="F9282" t="str">
        <f>"001670"</f>
        <v>0</v>
      </c>
      <c r="G9282" t="s">
        <v>21</v>
      </c>
    </row>
    <row r="9283" spans="1:7">
      <c r="A9283">
        <v>9282</v>
      </c>
      <c r="B9283" t="str">
        <f>"011099"</f>
        <v>0</v>
      </c>
      <c r="C9283" t="s">
        <v>5135</v>
      </c>
      <c r="D9283" t="s">
        <v>14187</v>
      </c>
      <c r="E9283" t="str">
        <f>"3900900689371"</f>
        <v>0</v>
      </c>
      <c r="F9283" t="str">
        <f>"001670"</f>
        <v>0</v>
      </c>
      <c r="G9283" t="s">
        <v>21</v>
      </c>
    </row>
    <row r="9284" spans="1:7">
      <c r="A9284">
        <v>9283</v>
      </c>
      <c r="B9284" t="str">
        <f>"011512"</f>
        <v>0</v>
      </c>
      <c r="C9284" t="s">
        <v>379</v>
      </c>
      <c r="D9284" t="s">
        <v>14188</v>
      </c>
      <c r="E9284" t="str">
        <f>"3900300352821"</f>
        <v>0</v>
      </c>
      <c r="F9284" t="str">
        <f>"001670"</f>
        <v>0</v>
      </c>
      <c r="G9284" t="s">
        <v>21</v>
      </c>
    </row>
    <row r="9285" spans="1:7">
      <c r="A9285">
        <v>9284</v>
      </c>
      <c r="B9285" t="str">
        <f>"011734"</f>
        <v>0</v>
      </c>
      <c r="C9285" t="s">
        <v>1028</v>
      </c>
      <c r="D9285" t="s">
        <v>5961</v>
      </c>
      <c r="E9285" t="str">
        <f>"3900200097357"</f>
        <v>0</v>
      </c>
      <c r="F9285" t="str">
        <f>"001670"</f>
        <v>0</v>
      </c>
      <c r="G9285" t="s">
        <v>21</v>
      </c>
    </row>
    <row r="9286" spans="1:7">
      <c r="A9286">
        <v>9285</v>
      </c>
      <c r="B9286" t="str">
        <f>"012934"</f>
        <v>0</v>
      </c>
      <c r="C9286" t="s">
        <v>518</v>
      </c>
      <c r="D9286" t="s">
        <v>14189</v>
      </c>
      <c r="E9286" t="str">
        <f>"3940400176781"</f>
        <v>0</v>
      </c>
      <c r="F9286" t="str">
        <f>"001670"</f>
        <v>0</v>
      </c>
      <c r="G9286" t="s">
        <v>21</v>
      </c>
    </row>
    <row r="9287" spans="1:7">
      <c r="A9287">
        <v>9286</v>
      </c>
      <c r="B9287" t="str">
        <f>"012976"</f>
        <v>0</v>
      </c>
      <c r="C9287" t="s">
        <v>10344</v>
      </c>
      <c r="D9287" t="s">
        <v>14190</v>
      </c>
      <c r="E9287" t="str">
        <f>"3909800057290"</f>
        <v>0</v>
      </c>
      <c r="F9287" t="str">
        <f>"001670"</f>
        <v>0</v>
      </c>
      <c r="G9287" t="s">
        <v>21</v>
      </c>
    </row>
    <row r="9288" spans="1:7">
      <c r="A9288">
        <v>9287</v>
      </c>
      <c r="B9288" t="str">
        <f>"013393"</f>
        <v>0</v>
      </c>
      <c r="C9288" t="s">
        <v>14191</v>
      </c>
      <c r="D9288" t="s">
        <v>14192</v>
      </c>
      <c r="E9288" t="str">
        <f>"3810300015477"</f>
        <v>0</v>
      </c>
      <c r="F9288" t="str">
        <f>"001670"</f>
        <v>0</v>
      </c>
      <c r="G9288" t="s">
        <v>21</v>
      </c>
    </row>
    <row r="9289" spans="1:7">
      <c r="A9289">
        <v>9288</v>
      </c>
      <c r="B9289" t="str">
        <f>"013894"</f>
        <v>0</v>
      </c>
      <c r="C9289" t="s">
        <v>14193</v>
      </c>
      <c r="D9289" t="s">
        <v>14194</v>
      </c>
      <c r="E9289" t="str">
        <f>"3801600159360"</f>
        <v>0</v>
      </c>
      <c r="F9289" t="str">
        <f>"001670"</f>
        <v>0</v>
      </c>
      <c r="G9289" t="s">
        <v>21</v>
      </c>
    </row>
    <row r="9290" spans="1:7">
      <c r="A9290">
        <v>9289</v>
      </c>
      <c r="B9290" t="str">
        <f>"015074"</f>
        <v>0</v>
      </c>
      <c r="C9290" t="s">
        <v>7606</v>
      </c>
      <c r="D9290" t="s">
        <v>14195</v>
      </c>
      <c r="E9290" t="str">
        <f>"3100602553699"</f>
        <v>0</v>
      </c>
      <c r="F9290" t="str">
        <f>"001670"</f>
        <v>0</v>
      </c>
      <c r="G9290" t="s">
        <v>21</v>
      </c>
    </row>
    <row r="9291" spans="1:7">
      <c r="A9291">
        <v>9290</v>
      </c>
      <c r="B9291" t="str">
        <f>"015387"</f>
        <v>0</v>
      </c>
      <c r="C9291" t="s">
        <v>14196</v>
      </c>
      <c r="D9291" t="s">
        <v>14197</v>
      </c>
      <c r="E9291" t="str">
        <f>"3900700493235"</f>
        <v>0</v>
      </c>
      <c r="F9291" t="str">
        <f>"001670"</f>
        <v>0</v>
      </c>
      <c r="G9291" t="s">
        <v>21</v>
      </c>
    </row>
    <row r="9292" spans="1:7">
      <c r="A9292">
        <v>9291</v>
      </c>
      <c r="B9292" t="str">
        <f>"015388"</f>
        <v>0</v>
      </c>
      <c r="C9292" t="s">
        <v>14198</v>
      </c>
      <c r="D9292" t="s">
        <v>14199</v>
      </c>
      <c r="E9292" t="str">
        <f>"3900100054338"</f>
        <v>0</v>
      </c>
      <c r="F9292" t="str">
        <f>"001670"</f>
        <v>0</v>
      </c>
      <c r="G9292" t="s">
        <v>21</v>
      </c>
    </row>
    <row r="9293" spans="1:7">
      <c r="A9293">
        <v>9292</v>
      </c>
      <c r="B9293" t="str">
        <f>"015471"</f>
        <v>0</v>
      </c>
      <c r="C9293" t="s">
        <v>14200</v>
      </c>
      <c r="D9293" t="s">
        <v>14201</v>
      </c>
      <c r="E9293" t="str">
        <f>"3909900296083"</f>
        <v>0</v>
      </c>
      <c r="F9293" t="str">
        <f>"001670"</f>
        <v>0</v>
      </c>
      <c r="G9293" t="s">
        <v>21</v>
      </c>
    </row>
    <row r="9294" spans="1:7">
      <c r="A9294">
        <v>9293</v>
      </c>
      <c r="B9294" t="str">
        <f>"015833"</f>
        <v>0</v>
      </c>
      <c r="C9294" t="s">
        <v>32</v>
      </c>
      <c r="D9294" t="s">
        <v>14202</v>
      </c>
      <c r="E9294" t="str">
        <f>"3900900784250"</f>
        <v>0</v>
      </c>
      <c r="F9294" t="str">
        <f>"001670"</f>
        <v>0</v>
      </c>
      <c r="G9294" t="s">
        <v>21</v>
      </c>
    </row>
    <row r="9295" spans="1:7">
      <c r="A9295">
        <v>9294</v>
      </c>
      <c r="B9295" t="str">
        <f>"015932"</f>
        <v>0</v>
      </c>
      <c r="C9295" t="s">
        <v>239</v>
      </c>
      <c r="D9295" t="s">
        <v>14203</v>
      </c>
      <c r="E9295" t="str">
        <f>"3901100306770"</f>
        <v>0</v>
      </c>
      <c r="F9295" t="str">
        <f>"001670"</f>
        <v>0</v>
      </c>
      <c r="G9295" t="s">
        <v>21</v>
      </c>
    </row>
    <row r="9296" spans="1:7">
      <c r="A9296">
        <v>9295</v>
      </c>
      <c r="B9296" t="str">
        <f>"016711"</f>
        <v>0</v>
      </c>
      <c r="C9296" t="s">
        <v>14204</v>
      </c>
      <c r="D9296" t="s">
        <v>14205</v>
      </c>
      <c r="E9296" t="str">
        <f>"3900200249602"</f>
        <v>0</v>
      </c>
      <c r="F9296" t="str">
        <f>"001670"</f>
        <v>0</v>
      </c>
      <c r="G9296" t="s">
        <v>21</v>
      </c>
    </row>
    <row r="9297" spans="1:7">
      <c r="A9297">
        <v>9296</v>
      </c>
      <c r="B9297" t="str">
        <f>"017007"</f>
        <v>0</v>
      </c>
      <c r="C9297" t="s">
        <v>3801</v>
      </c>
      <c r="D9297" t="s">
        <v>14206</v>
      </c>
      <c r="E9297" t="str">
        <f>"3820700027936"</f>
        <v>0</v>
      </c>
      <c r="F9297" t="str">
        <f>"001670"</f>
        <v>0</v>
      </c>
      <c r="G9297" t="s">
        <v>21</v>
      </c>
    </row>
    <row r="9298" spans="1:7">
      <c r="A9298">
        <v>9297</v>
      </c>
      <c r="B9298" t="str">
        <f>"017010"</f>
        <v>0</v>
      </c>
      <c r="C9298" t="s">
        <v>14207</v>
      </c>
      <c r="D9298" t="s">
        <v>13496</v>
      </c>
      <c r="E9298" t="str">
        <f>"3900400113445"</f>
        <v>0</v>
      </c>
      <c r="F9298" t="str">
        <f>"001670"</f>
        <v>0</v>
      </c>
      <c r="G9298" t="s">
        <v>21</v>
      </c>
    </row>
    <row r="9299" spans="1:7">
      <c r="A9299">
        <v>9298</v>
      </c>
      <c r="B9299" t="str">
        <f>"017042"</f>
        <v>0</v>
      </c>
      <c r="C9299" t="s">
        <v>14208</v>
      </c>
      <c r="D9299" t="s">
        <v>14209</v>
      </c>
      <c r="E9299" t="str">
        <f>"3901000388987"</f>
        <v>0</v>
      </c>
      <c r="F9299" t="str">
        <f>"001670"</f>
        <v>0</v>
      </c>
      <c r="G9299" t="s">
        <v>21</v>
      </c>
    </row>
    <row r="9300" spans="1:7">
      <c r="A9300">
        <v>9299</v>
      </c>
      <c r="B9300" t="str">
        <f>"017214"</f>
        <v>0</v>
      </c>
      <c r="C9300" t="s">
        <v>6301</v>
      </c>
      <c r="D9300" t="s">
        <v>14210</v>
      </c>
      <c r="E9300" t="str">
        <f>"3909900766292"</f>
        <v>0</v>
      </c>
      <c r="F9300" t="str">
        <f>"001670"</f>
        <v>0</v>
      </c>
      <c r="G9300" t="s">
        <v>21</v>
      </c>
    </row>
    <row r="9301" spans="1:7">
      <c r="A9301">
        <v>9300</v>
      </c>
      <c r="B9301" t="str">
        <f>"017215"</f>
        <v>0</v>
      </c>
      <c r="C9301" t="s">
        <v>1855</v>
      </c>
      <c r="D9301" t="s">
        <v>14210</v>
      </c>
      <c r="E9301" t="str">
        <f>"3909900766306"</f>
        <v>0</v>
      </c>
      <c r="F9301" t="str">
        <f>"001670"</f>
        <v>0</v>
      </c>
      <c r="G9301" t="s">
        <v>21</v>
      </c>
    </row>
    <row r="9302" spans="1:7">
      <c r="A9302">
        <v>9301</v>
      </c>
      <c r="B9302" t="str">
        <f>"017216"</f>
        <v>0</v>
      </c>
      <c r="C9302" t="s">
        <v>14211</v>
      </c>
      <c r="D9302" t="s">
        <v>12694</v>
      </c>
      <c r="E9302" t="str">
        <f>"3900100054206"</f>
        <v>0</v>
      </c>
      <c r="F9302" t="str">
        <f>"001670"</f>
        <v>0</v>
      </c>
      <c r="G9302" t="s">
        <v>21</v>
      </c>
    </row>
    <row r="9303" spans="1:7">
      <c r="A9303">
        <v>9302</v>
      </c>
      <c r="B9303" t="str">
        <f>"017532"</f>
        <v>0</v>
      </c>
      <c r="C9303" t="s">
        <v>11381</v>
      </c>
      <c r="D9303" t="s">
        <v>14212</v>
      </c>
      <c r="E9303" t="str">
        <f>"3900300295665"</f>
        <v>0</v>
      </c>
      <c r="F9303" t="str">
        <f>"001670"</f>
        <v>0</v>
      </c>
      <c r="G9303" t="s">
        <v>21</v>
      </c>
    </row>
    <row r="9304" spans="1:7">
      <c r="A9304">
        <v>9303</v>
      </c>
      <c r="B9304" t="str">
        <f>"017556"</f>
        <v>0</v>
      </c>
      <c r="C9304" t="s">
        <v>14213</v>
      </c>
      <c r="D9304" t="s">
        <v>3567</v>
      </c>
      <c r="E9304" t="str">
        <f>"3909900390811"</f>
        <v>0</v>
      </c>
      <c r="F9304" t="str">
        <f>"001670"</f>
        <v>0</v>
      </c>
      <c r="G9304" t="s">
        <v>21</v>
      </c>
    </row>
    <row r="9305" spans="1:7">
      <c r="A9305">
        <v>9304</v>
      </c>
      <c r="B9305" t="str">
        <f>"017787"</f>
        <v>0</v>
      </c>
      <c r="C9305" t="s">
        <v>14214</v>
      </c>
      <c r="D9305" t="s">
        <v>13888</v>
      </c>
      <c r="E9305" t="str">
        <f>"3930100495873"</f>
        <v>0</v>
      </c>
      <c r="F9305" t="str">
        <f>"001670"</f>
        <v>0</v>
      </c>
      <c r="G9305" t="s">
        <v>21</v>
      </c>
    </row>
    <row r="9306" spans="1:7">
      <c r="A9306">
        <v>9305</v>
      </c>
      <c r="B9306" t="str">
        <f>"018012"</f>
        <v>0</v>
      </c>
      <c r="C9306" t="s">
        <v>8848</v>
      </c>
      <c r="D9306" t="s">
        <v>14215</v>
      </c>
      <c r="E9306" t="str">
        <f>"3909900654389"</f>
        <v>0</v>
      </c>
      <c r="F9306" t="str">
        <f>"001670"</f>
        <v>0</v>
      </c>
      <c r="G9306" t="s">
        <v>21</v>
      </c>
    </row>
    <row r="9307" spans="1:7">
      <c r="A9307">
        <v>9306</v>
      </c>
      <c r="B9307" t="str">
        <f>"018236"</f>
        <v>0</v>
      </c>
      <c r="C9307" t="s">
        <v>2815</v>
      </c>
      <c r="D9307" t="s">
        <v>14216</v>
      </c>
      <c r="E9307" t="str">
        <f>"3900200104337"</f>
        <v>0</v>
      </c>
      <c r="F9307" t="str">
        <f>"001670"</f>
        <v>0</v>
      </c>
      <c r="G9307" t="s">
        <v>21</v>
      </c>
    </row>
    <row r="9308" spans="1:7">
      <c r="A9308">
        <v>9307</v>
      </c>
      <c r="B9308" t="str">
        <f>"018428"</f>
        <v>0</v>
      </c>
      <c r="C9308" t="s">
        <v>14217</v>
      </c>
      <c r="D9308" t="s">
        <v>14125</v>
      </c>
      <c r="E9308" t="str">
        <f>"3909900234274"</f>
        <v>0</v>
      </c>
      <c r="F9308" t="str">
        <f>"001670"</f>
        <v>0</v>
      </c>
      <c r="G9308" t="s">
        <v>21</v>
      </c>
    </row>
    <row r="9309" spans="1:7">
      <c r="A9309">
        <v>9308</v>
      </c>
      <c r="B9309" t="str">
        <f>"019416"</f>
        <v>0</v>
      </c>
      <c r="C9309" t="s">
        <v>197</v>
      </c>
      <c r="D9309" t="s">
        <v>3861</v>
      </c>
      <c r="E9309" t="str">
        <f>"3900900437002"</f>
        <v>0</v>
      </c>
      <c r="F9309" t="str">
        <f>"001670"</f>
        <v>0</v>
      </c>
      <c r="G9309" t="s">
        <v>21</v>
      </c>
    </row>
    <row r="9310" spans="1:7">
      <c r="A9310">
        <v>9309</v>
      </c>
      <c r="B9310" t="str">
        <f>"019572"</f>
        <v>0</v>
      </c>
      <c r="C9310" t="s">
        <v>391</v>
      </c>
      <c r="D9310" t="s">
        <v>14218</v>
      </c>
      <c r="E9310" t="str">
        <f>"3909801071806"</f>
        <v>0</v>
      </c>
      <c r="F9310" t="str">
        <f>"001670"</f>
        <v>0</v>
      </c>
      <c r="G9310" t="s">
        <v>21</v>
      </c>
    </row>
    <row r="9311" spans="1:7">
      <c r="A9311">
        <v>9310</v>
      </c>
      <c r="B9311" t="str">
        <f>"020100"</f>
        <v>0</v>
      </c>
      <c r="C9311" t="s">
        <v>6463</v>
      </c>
      <c r="D9311" t="s">
        <v>14219</v>
      </c>
      <c r="E9311" t="str">
        <f>"4910200001170"</f>
        <v>0</v>
      </c>
      <c r="F9311" t="str">
        <f>"001670"</f>
        <v>0</v>
      </c>
      <c r="G9311" t="s">
        <v>21</v>
      </c>
    </row>
    <row r="9312" spans="1:7">
      <c r="A9312">
        <v>9311</v>
      </c>
      <c r="B9312" t="str">
        <f>"020342"</f>
        <v>0</v>
      </c>
      <c r="C9312" t="s">
        <v>14220</v>
      </c>
      <c r="D9312" t="s">
        <v>14221</v>
      </c>
      <c r="E9312" t="str">
        <f>"3900700607257"</f>
        <v>0</v>
      </c>
      <c r="F9312" t="str">
        <f>"001670"</f>
        <v>0</v>
      </c>
      <c r="G9312" t="s">
        <v>21</v>
      </c>
    </row>
    <row r="9313" spans="1:7">
      <c r="A9313">
        <v>9312</v>
      </c>
      <c r="B9313" t="str">
        <f>"020765"</f>
        <v>0</v>
      </c>
      <c r="C9313" t="s">
        <v>14222</v>
      </c>
      <c r="D9313" t="s">
        <v>14223</v>
      </c>
      <c r="E9313" t="str">
        <f>"3169900093406"</f>
        <v>0</v>
      </c>
      <c r="F9313" t="str">
        <f>"001670"</f>
        <v>0</v>
      </c>
      <c r="G9313" t="s">
        <v>21</v>
      </c>
    </row>
    <row r="9314" spans="1:7">
      <c r="A9314">
        <v>9313</v>
      </c>
      <c r="B9314" t="str">
        <f>"020780"</f>
        <v>0</v>
      </c>
      <c r="C9314" t="s">
        <v>755</v>
      </c>
      <c r="D9314" t="s">
        <v>14224</v>
      </c>
      <c r="E9314" t="str">
        <f>"3960500130953"</f>
        <v>0</v>
      </c>
      <c r="F9314" t="str">
        <f>"001670"</f>
        <v>0</v>
      </c>
      <c r="G9314" t="s">
        <v>21</v>
      </c>
    </row>
    <row r="9315" spans="1:7">
      <c r="A9315">
        <v>9314</v>
      </c>
      <c r="B9315" t="str">
        <f>"021420"</f>
        <v>0</v>
      </c>
      <c r="C9315" t="s">
        <v>1849</v>
      </c>
      <c r="D9315" t="s">
        <v>14225</v>
      </c>
      <c r="E9315" t="str">
        <f>"3909900144399"</f>
        <v>0</v>
      </c>
      <c r="F9315" t="str">
        <f>"001670"</f>
        <v>0</v>
      </c>
      <c r="G9315" t="s">
        <v>21</v>
      </c>
    </row>
    <row r="9316" spans="1:7">
      <c r="A9316">
        <v>9315</v>
      </c>
      <c r="B9316" t="str">
        <f>"022340"</f>
        <v>0</v>
      </c>
      <c r="C9316" t="s">
        <v>14226</v>
      </c>
      <c r="D9316" t="s">
        <v>14227</v>
      </c>
      <c r="E9316" t="str">
        <f>"3900600008122"</f>
        <v>0</v>
      </c>
      <c r="F9316" t="str">
        <f>"001670"</f>
        <v>0</v>
      </c>
      <c r="G9316" t="s">
        <v>21</v>
      </c>
    </row>
    <row r="9317" spans="1:7">
      <c r="A9317">
        <v>9316</v>
      </c>
      <c r="B9317" t="str">
        <f>"026554"</f>
        <v>0</v>
      </c>
      <c r="C9317" t="s">
        <v>14228</v>
      </c>
      <c r="D9317" t="s">
        <v>14229</v>
      </c>
      <c r="E9317" t="str">
        <f>"3959900500365"</f>
        <v>0</v>
      </c>
      <c r="F9317" t="str">
        <f>"001670"</f>
        <v>0</v>
      </c>
      <c r="G9317" t="s">
        <v>21</v>
      </c>
    </row>
    <row r="9318" spans="1:7">
      <c r="A9318">
        <v>9317</v>
      </c>
      <c r="B9318" t="str">
        <f>"027274"</f>
        <v>0</v>
      </c>
      <c r="C9318" t="s">
        <v>14230</v>
      </c>
      <c r="D9318" t="s">
        <v>11386</v>
      </c>
      <c r="E9318" t="str">
        <f>"3901100302898"</f>
        <v>0</v>
      </c>
      <c r="F9318" t="str">
        <f>"001670"</f>
        <v>0</v>
      </c>
      <c r="G9318" t="s">
        <v>21</v>
      </c>
    </row>
    <row r="9319" spans="1:7">
      <c r="A9319">
        <v>9318</v>
      </c>
      <c r="B9319" t="str">
        <f>"004939"</f>
        <v>0</v>
      </c>
      <c r="C9319" t="s">
        <v>14231</v>
      </c>
      <c r="D9319" t="s">
        <v>14232</v>
      </c>
      <c r="E9319" t="str">
        <f>"3909900284832"</f>
        <v>0</v>
      </c>
      <c r="F9319" t="str">
        <f>"001670"</f>
        <v>0</v>
      </c>
      <c r="G9319" t="s">
        <v>21</v>
      </c>
    </row>
    <row r="9320" spans="1:7">
      <c r="A9320">
        <v>9319</v>
      </c>
      <c r="B9320" t="str">
        <f>"005772"</f>
        <v>0</v>
      </c>
      <c r="C9320" t="s">
        <v>1093</v>
      </c>
      <c r="D9320" t="s">
        <v>14188</v>
      </c>
      <c r="E9320" t="str">
        <f>"3901200124266"</f>
        <v>0</v>
      </c>
      <c r="F9320" t="str">
        <f>"001670"</f>
        <v>0</v>
      </c>
      <c r="G9320" t="s">
        <v>21</v>
      </c>
    </row>
    <row r="9321" spans="1:7">
      <c r="A9321">
        <v>9320</v>
      </c>
      <c r="B9321" t="str">
        <f>"005773"</f>
        <v>0</v>
      </c>
      <c r="C9321" t="s">
        <v>923</v>
      </c>
      <c r="D9321" t="s">
        <v>14233</v>
      </c>
      <c r="E9321" t="str">
        <f>"3900200517976"</f>
        <v>0</v>
      </c>
      <c r="F9321" t="str">
        <f>"001670"</f>
        <v>0</v>
      </c>
      <c r="G9321" t="s">
        <v>21</v>
      </c>
    </row>
    <row r="9322" spans="1:7">
      <c r="A9322">
        <v>9321</v>
      </c>
      <c r="B9322" t="str">
        <f>"009505"</f>
        <v>0</v>
      </c>
      <c r="C9322" t="s">
        <v>520</v>
      </c>
      <c r="D9322" t="s">
        <v>14234</v>
      </c>
      <c r="E9322" t="str">
        <f>"3900100054435"</f>
        <v>0</v>
      </c>
      <c r="F9322" t="str">
        <f>"001670"</f>
        <v>0</v>
      </c>
      <c r="G9322" t="s">
        <v>21</v>
      </c>
    </row>
    <row r="9323" spans="1:7">
      <c r="A9323">
        <v>9322</v>
      </c>
      <c r="B9323" t="str">
        <f>"009860"</f>
        <v>0</v>
      </c>
      <c r="C9323" t="s">
        <v>3858</v>
      </c>
      <c r="D9323" t="s">
        <v>14235</v>
      </c>
      <c r="E9323" t="str">
        <f>"3900100180384"</f>
        <v>0</v>
      </c>
      <c r="F9323" t="str">
        <f>"001670"</f>
        <v>0</v>
      </c>
      <c r="G9323" t="s">
        <v>21</v>
      </c>
    </row>
    <row r="9324" spans="1:7">
      <c r="A9324">
        <v>9323</v>
      </c>
      <c r="B9324" t="str">
        <f>"012099"</f>
        <v>0</v>
      </c>
      <c r="C9324" t="s">
        <v>520</v>
      </c>
      <c r="D9324" t="s">
        <v>14236</v>
      </c>
      <c r="E9324" t="str">
        <f>"3900100905885"</f>
        <v>0</v>
      </c>
      <c r="F9324" t="str">
        <f>"001670"</f>
        <v>0</v>
      </c>
      <c r="G9324" t="s">
        <v>21</v>
      </c>
    </row>
    <row r="9325" spans="1:7">
      <c r="A9325">
        <v>9324</v>
      </c>
      <c r="B9325" t="str">
        <f>"012646"</f>
        <v>0</v>
      </c>
      <c r="C9325" t="s">
        <v>14237</v>
      </c>
      <c r="D9325" t="s">
        <v>14238</v>
      </c>
      <c r="E9325" t="str">
        <f>"3900100166128"</f>
        <v>0</v>
      </c>
      <c r="F9325" t="str">
        <f>"001670"</f>
        <v>0</v>
      </c>
      <c r="G9325" t="s">
        <v>21</v>
      </c>
    </row>
    <row r="9326" spans="1:7">
      <c r="A9326">
        <v>9325</v>
      </c>
      <c r="B9326" t="str">
        <f>"012985"</f>
        <v>0</v>
      </c>
      <c r="C9326" t="s">
        <v>14239</v>
      </c>
      <c r="D9326" t="s">
        <v>14240</v>
      </c>
      <c r="E9326" t="str">
        <f>"3900100008620"</f>
        <v>0</v>
      </c>
      <c r="F9326" t="str">
        <f>"001670"</f>
        <v>0</v>
      </c>
      <c r="G9326" t="s">
        <v>21</v>
      </c>
    </row>
    <row r="9327" spans="1:7">
      <c r="A9327">
        <v>9326</v>
      </c>
      <c r="B9327" t="str">
        <f>"013998"</f>
        <v>0</v>
      </c>
      <c r="C9327" t="s">
        <v>14241</v>
      </c>
      <c r="D9327" t="s">
        <v>14242</v>
      </c>
      <c r="E9327" t="str">
        <f>"3900100157323"</f>
        <v>0</v>
      </c>
      <c r="F9327" t="str">
        <f>"001670"</f>
        <v>0</v>
      </c>
      <c r="G9327" t="s">
        <v>21</v>
      </c>
    </row>
    <row r="9328" spans="1:7">
      <c r="A9328">
        <v>9327</v>
      </c>
      <c r="B9328" t="str">
        <f>"014396"</f>
        <v>0</v>
      </c>
      <c r="C9328" t="s">
        <v>4757</v>
      </c>
      <c r="D9328" t="s">
        <v>14243</v>
      </c>
      <c r="E9328" t="str">
        <f>"3900200091961"</f>
        <v>0</v>
      </c>
      <c r="F9328" t="str">
        <f>"001670"</f>
        <v>0</v>
      </c>
      <c r="G9328" t="s">
        <v>21</v>
      </c>
    </row>
    <row r="9329" spans="1:7">
      <c r="A9329">
        <v>9328</v>
      </c>
      <c r="B9329" t="str">
        <f>"014413"</f>
        <v>0</v>
      </c>
      <c r="C9329" t="s">
        <v>2360</v>
      </c>
      <c r="D9329" t="s">
        <v>14244</v>
      </c>
      <c r="E9329" t="str">
        <f>"5901300002444"</f>
        <v>0</v>
      </c>
      <c r="F9329" t="str">
        <f>"001670"</f>
        <v>0</v>
      </c>
      <c r="G9329" t="s">
        <v>21</v>
      </c>
    </row>
    <row r="9330" spans="1:7">
      <c r="A9330">
        <v>9329</v>
      </c>
      <c r="B9330" t="str">
        <f>"015009"</f>
        <v>0</v>
      </c>
      <c r="C9330" t="s">
        <v>4225</v>
      </c>
      <c r="D9330" t="s">
        <v>14245</v>
      </c>
      <c r="E9330" t="str">
        <f>"5909900020530"</f>
        <v>0</v>
      </c>
      <c r="F9330" t="str">
        <f>"001670"</f>
        <v>0</v>
      </c>
      <c r="G9330" t="s">
        <v>21</v>
      </c>
    </row>
    <row r="9331" spans="1:7">
      <c r="A9331">
        <v>9330</v>
      </c>
      <c r="B9331" t="str">
        <f>"015395"</f>
        <v>0</v>
      </c>
      <c r="C9331" t="s">
        <v>2791</v>
      </c>
      <c r="D9331" t="s">
        <v>14246</v>
      </c>
      <c r="E9331" t="str">
        <f>"3900100779464"</f>
        <v>0</v>
      </c>
      <c r="F9331" t="str">
        <f>"001670"</f>
        <v>0</v>
      </c>
      <c r="G9331" t="s">
        <v>21</v>
      </c>
    </row>
    <row r="9332" spans="1:7">
      <c r="A9332">
        <v>9331</v>
      </c>
      <c r="B9332" t="str">
        <f>"020999"</f>
        <v>0</v>
      </c>
      <c r="C9332" t="s">
        <v>7645</v>
      </c>
      <c r="D9332" t="s">
        <v>14247</v>
      </c>
      <c r="E9332" t="str">
        <f>"3930500368470"</f>
        <v>0</v>
      </c>
      <c r="F9332" t="str">
        <f>"001670"</f>
        <v>0</v>
      </c>
      <c r="G9332" t="s">
        <v>21</v>
      </c>
    </row>
    <row r="9333" spans="1:7">
      <c r="A9333">
        <v>9332</v>
      </c>
      <c r="B9333" t="str">
        <f>"023568"</f>
        <v>0</v>
      </c>
      <c r="C9333" t="s">
        <v>14248</v>
      </c>
      <c r="D9333" t="s">
        <v>14249</v>
      </c>
      <c r="E9333" t="str">
        <f>"3909801054707"</f>
        <v>0</v>
      </c>
      <c r="F9333" t="str">
        <f>"001670"</f>
        <v>0</v>
      </c>
      <c r="G9333" t="s">
        <v>21</v>
      </c>
    </row>
    <row r="9334" spans="1:7">
      <c r="A9334">
        <v>9333</v>
      </c>
      <c r="B9334" t="str">
        <f>"020892"</f>
        <v>0</v>
      </c>
      <c r="C9334" t="s">
        <v>14250</v>
      </c>
      <c r="D9334" t="s">
        <v>14251</v>
      </c>
      <c r="E9334" t="str">
        <f>"3200700810067"</f>
        <v>0</v>
      </c>
      <c r="F9334" t="str">
        <f>"001670"</f>
        <v>0</v>
      </c>
      <c r="G9334" t="s">
        <v>21</v>
      </c>
    </row>
    <row r="9335" spans="1:7">
      <c r="A9335">
        <v>9334</v>
      </c>
      <c r="B9335" t="str">
        <f>"018731"</f>
        <v>0</v>
      </c>
      <c r="C9335" t="s">
        <v>14252</v>
      </c>
      <c r="D9335" t="s">
        <v>14253</v>
      </c>
      <c r="E9335" t="str">
        <f>"3900500183658"</f>
        <v>0</v>
      </c>
      <c r="F9335" t="str">
        <f>"001670"</f>
        <v>0</v>
      </c>
      <c r="G9335" t="s">
        <v>21</v>
      </c>
    </row>
    <row r="9336" spans="1:7">
      <c r="A9336">
        <v>9335</v>
      </c>
      <c r="B9336" t="str">
        <f>"021080"</f>
        <v>0</v>
      </c>
      <c r="C9336" t="s">
        <v>14254</v>
      </c>
      <c r="D9336" t="s">
        <v>14255</v>
      </c>
      <c r="E9336" t="str">
        <f>"3930500954794"</f>
        <v>0</v>
      </c>
      <c r="F9336" t="str">
        <f>"001670"</f>
        <v>0</v>
      </c>
      <c r="G9336" t="s">
        <v>21</v>
      </c>
    </row>
    <row r="9337" spans="1:7">
      <c r="A9337">
        <v>9336</v>
      </c>
      <c r="B9337" t="str">
        <f>"021274"</f>
        <v>0</v>
      </c>
      <c r="C9337" t="s">
        <v>14256</v>
      </c>
      <c r="D9337" t="s">
        <v>14257</v>
      </c>
      <c r="E9337" t="str">
        <f>"5960100026462"</f>
        <v>0</v>
      </c>
      <c r="F9337" t="str">
        <f>"001670"</f>
        <v>0</v>
      </c>
      <c r="G9337" t="s">
        <v>21</v>
      </c>
    </row>
    <row r="9338" spans="1:7">
      <c r="A9338">
        <v>9337</v>
      </c>
      <c r="B9338" t="str">
        <f>"027401"</f>
        <v>0</v>
      </c>
      <c r="C9338" t="s">
        <v>12585</v>
      </c>
      <c r="D9338" t="s">
        <v>14258</v>
      </c>
      <c r="E9338" t="str">
        <f>"1839900355904"</f>
        <v>0</v>
      </c>
      <c r="F9338" t="str">
        <f>"001670"</f>
        <v>0</v>
      </c>
      <c r="G9338" t="s">
        <v>21</v>
      </c>
    </row>
    <row r="9339" spans="1:7">
      <c r="A9339">
        <v>9338</v>
      </c>
      <c r="B9339" t="str">
        <f>"024616"</f>
        <v>0</v>
      </c>
      <c r="C9339" t="s">
        <v>14259</v>
      </c>
      <c r="D9339" t="s">
        <v>14260</v>
      </c>
      <c r="E9339" t="str">
        <f>"1909900144392"</f>
        <v>0</v>
      </c>
      <c r="F9339" t="str">
        <f>"001670"</f>
        <v>0</v>
      </c>
      <c r="G9339" t="s">
        <v>21</v>
      </c>
    </row>
    <row r="9340" spans="1:7">
      <c r="A9340">
        <v>9339</v>
      </c>
      <c r="B9340" t="str">
        <f>"010489"</f>
        <v>0</v>
      </c>
      <c r="C9340" t="s">
        <v>14261</v>
      </c>
      <c r="D9340" t="s">
        <v>14262</v>
      </c>
      <c r="E9340" t="str">
        <f>"3940100300312"</f>
        <v>0</v>
      </c>
      <c r="F9340" t="str">
        <f>"001670"</f>
        <v>0</v>
      </c>
      <c r="G9340" t="s">
        <v>21</v>
      </c>
    </row>
    <row r="9341" spans="1:7">
      <c r="A9341">
        <v>9340</v>
      </c>
      <c r="B9341" t="str">
        <f>"010980"</f>
        <v>0</v>
      </c>
      <c r="C9341" t="s">
        <v>8407</v>
      </c>
      <c r="D9341" t="s">
        <v>6061</v>
      </c>
      <c r="E9341" t="str">
        <f>"3920600695341"</f>
        <v>0</v>
      </c>
      <c r="F9341" t="str">
        <f>"001670"</f>
        <v>0</v>
      </c>
      <c r="G9341" t="s">
        <v>21</v>
      </c>
    </row>
    <row r="9342" spans="1:7">
      <c r="A9342">
        <v>9341</v>
      </c>
      <c r="B9342" t="str">
        <f>"011553"</f>
        <v>0</v>
      </c>
      <c r="C9342" t="s">
        <v>14263</v>
      </c>
      <c r="D9342" t="s">
        <v>7250</v>
      </c>
      <c r="E9342" t="str">
        <f>"3920600699958"</f>
        <v>0</v>
      </c>
      <c r="F9342" t="str">
        <f>"001670"</f>
        <v>0</v>
      </c>
      <c r="G9342" t="s">
        <v>21</v>
      </c>
    </row>
    <row r="9343" spans="1:7">
      <c r="A9343">
        <v>9342</v>
      </c>
      <c r="B9343" t="str">
        <f>"012907"</f>
        <v>0</v>
      </c>
      <c r="C9343" t="s">
        <v>14264</v>
      </c>
      <c r="D9343" t="s">
        <v>14265</v>
      </c>
      <c r="E9343" t="str">
        <f>"5909999019741"</f>
        <v>0</v>
      </c>
      <c r="F9343" t="str">
        <f>"001670"</f>
        <v>0</v>
      </c>
      <c r="G9343" t="s">
        <v>21</v>
      </c>
    </row>
    <row r="9344" spans="1:7">
      <c r="A9344">
        <v>9343</v>
      </c>
      <c r="B9344" t="str">
        <f>"013125"</f>
        <v>0</v>
      </c>
      <c r="C9344" t="s">
        <v>14266</v>
      </c>
      <c r="D9344" t="s">
        <v>14267</v>
      </c>
      <c r="E9344" t="str">
        <f>"3940300086578"</f>
        <v>0</v>
      </c>
      <c r="F9344" t="str">
        <f>"001670"</f>
        <v>0</v>
      </c>
      <c r="G9344" t="s">
        <v>21</v>
      </c>
    </row>
    <row r="9345" spans="1:7">
      <c r="A9345">
        <v>9344</v>
      </c>
      <c r="B9345" t="str">
        <f>"013654"</f>
        <v>0</v>
      </c>
      <c r="C9345" t="s">
        <v>379</v>
      </c>
      <c r="D9345" t="s">
        <v>14268</v>
      </c>
      <c r="E9345" t="str">
        <f>"3200900362131"</f>
        <v>0</v>
      </c>
      <c r="F9345" t="str">
        <f>"001670"</f>
        <v>0</v>
      </c>
      <c r="G9345" t="s">
        <v>21</v>
      </c>
    </row>
    <row r="9346" spans="1:7">
      <c r="A9346">
        <v>9345</v>
      </c>
      <c r="B9346" t="str">
        <f>"015874"</f>
        <v>0</v>
      </c>
      <c r="C9346" t="s">
        <v>14269</v>
      </c>
      <c r="D9346" t="s">
        <v>14270</v>
      </c>
      <c r="E9346" t="str">
        <f>"3900400286382"</f>
        <v>0</v>
      </c>
      <c r="F9346" t="str">
        <f>"001670"</f>
        <v>0</v>
      </c>
      <c r="G9346" t="s">
        <v>21</v>
      </c>
    </row>
    <row r="9347" spans="1:7">
      <c r="A9347">
        <v>9346</v>
      </c>
      <c r="B9347" t="str">
        <f>"016134"</f>
        <v>0</v>
      </c>
      <c r="C9347" t="s">
        <v>14271</v>
      </c>
      <c r="D9347" t="s">
        <v>14272</v>
      </c>
      <c r="E9347" t="str">
        <f>"3901200095746"</f>
        <v>0</v>
      </c>
      <c r="F9347" t="str">
        <f>"001670"</f>
        <v>0</v>
      </c>
      <c r="G9347" t="s">
        <v>21</v>
      </c>
    </row>
    <row r="9348" spans="1:7">
      <c r="A9348">
        <v>9347</v>
      </c>
      <c r="B9348" t="str">
        <f>"016608"</f>
        <v>0</v>
      </c>
      <c r="C9348" t="s">
        <v>1162</v>
      </c>
      <c r="D9348" t="s">
        <v>14273</v>
      </c>
      <c r="E9348" t="str">
        <f>"3740300363247"</f>
        <v>0</v>
      </c>
      <c r="F9348" t="str">
        <f>"001670"</f>
        <v>0</v>
      </c>
      <c r="G9348" t="s">
        <v>21</v>
      </c>
    </row>
    <row r="9349" spans="1:7">
      <c r="A9349">
        <v>9348</v>
      </c>
      <c r="B9349" t="str">
        <f>"016786"</f>
        <v>0</v>
      </c>
      <c r="C9349" t="s">
        <v>4395</v>
      </c>
      <c r="D9349" t="s">
        <v>14274</v>
      </c>
      <c r="E9349" t="str">
        <f>"3801600194068"</f>
        <v>0</v>
      </c>
      <c r="F9349" t="str">
        <f>"001670"</f>
        <v>0</v>
      </c>
      <c r="G9349" t="s">
        <v>21</v>
      </c>
    </row>
    <row r="9350" spans="1:7">
      <c r="A9350">
        <v>9349</v>
      </c>
      <c r="B9350" t="str">
        <f>"017377"</f>
        <v>0</v>
      </c>
      <c r="C9350" t="s">
        <v>460</v>
      </c>
      <c r="D9350" t="s">
        <v>14275</v>
      </c>
      <c r="E9350" t="str">
        <f>"3909900646254"</f>
        <v>0</v>
      </c>
      <c r="F9350" t="str">
        <f>"001670"</f>
        <v>0</v>
      </c>
      <c r="G9350" t="s">
        <v>21</v>
      </c>
    </row>
    <row r="9351" spans="1:7">
      <c r="A9351">
        <v>9350</v>
      </c>
      <c r="B9351" t="str">
        <f>"017404"</f>
        <v>0</v>
      </c>
      <c r="C9351" t="s">
        <v>14276</v>
      </c>
      <c r="D9351" t="s">
        <v>14277</v>
      </c>
      <c r="E9351" t="str">
        <f>"3909800329265"</f>
        <v>0</v>
      </c>
      <c r="F9351" t="str">
        <f>"001670"</f>
        <v>0</v>
      </c>
      <c r="G9351" t="s">
        <v>21</v>
      </c>
    </row>
    <row r="9352" spans="1:7">
      <c r="A9352">
        <v>9351</v>
      </c>
      <c r="B9352" t="str">
        <f>"017713"</f>
        <v>0</v>
      </c>
      <c r="C9352" t="s">
        <v>1021</v>
      </c>
      <c r="D9352" t="s">
        <v>1814</v>
      </c>
      <c r="E9352" t="str">
        <f>"3930100623359"</f>
        <v>0</v>
      </c>
      <c r="F9352" t="str">
        <f>"001670"</f>
        <v>0</v>
      </c>
      <c r="G9352" t="s">
        <v>21</v>
      </c>
    </row>
    <row r="9353" spans="1:7">
      <c r="A9353">
        <v>9352</v>
      </c>
      <c r="B9353" t="str">
        <f>"017786"</f>
        <v>0</v>
      </c>
      <c r="C9353" t="s">
        <v>14278</v>
      </c>
      <c r="D9353" t="s">
        <v>3384</v>
      </c>
      <c r="E9353" t="str">
        <f>"3800300250158"</f>
        <v>0</v>
      </c>
      <c r="F9353" t="str">
        <f>"001670"</f>
        <v>0</v>
      </c>
      <c r="G9353" t="s">
        <v>21</v>
      </c>
    </row>
    <row r="9354" spans="1:7">
      <c r="A9354">
        <v>9353</v>
      </c>
      <c r="B9354" t="str">
        <f>"018047"</f>
        <v>0</v>
      </c>
      <c r="C9354" t="s">
        <v>14279</v>
      </c>
      <c r="D9354" t="s">
        <v>14280</v>
      </c>
      <c r="E9354" t="str">
        <f>"3900500343167"</f>
        <v>0</v>
      </c>
      <c r="F9354" t="str">
        <f>"001670"</f>
        <v>0</v>
      </c>
      <c r="G9354" t="s">
        <v>21</v>
      </c>
    </row>
    <row r="9355" spans="1:7">
      <c r="A9355">
        <v>9354</v>
      </c>
      <c r="B9355" t="str">
        <f>"018267"</f>
        <v>0</v>
      </c>
      <c r="C9355" t="s">
        <v>14281</v>
      </c>
      <c r="D9355" t="s">
        <v>14282</v>
      </c>
      <c r="E9355" t="str">
        <f>"5900999005645"</f>
        <v>0</v>
      </c>
      <c r="F9355" t="str">
        <f>"001670"</f>
        <v>0</v>
      </c>
      <c r="G9355" t="s">
        <v>21</v>
      </c>
    </row>
    <row r="9356" spans="1:7">
      <c r="A9356">
        <v>9355</v>
      </c>
      <c r="B9356" t="str">
        <f>"018374"</f>
        <v>0</v>
      </c>
      <c r="C9356" t="s">
        <v>12278</v>
      </c>
      <c r="D9356" t="s">
        <v>14188</v>
      </c>
      <c r="E9356" t="str">
        <f>"3901200107957"</f>
        <v>0</v>
      </c>
      <c r="F9356" t="str">
        <f>"001670"</f>
        <v>0</v>
      </c>
      <c r="G9356" t="s">
        <v>21</v>
      </c>
    </row>
    <row r="9357" spans="1:7">
      <c r="A9357">
        <v>9356</v>
      </c>
      <c r="B9357" t="str">
        <f>"018421"</f>
        <v>0</v>
      </c>
      <c r="C9357" t="s">
        <v>14283</v>
      </c>
      <c r="D9357" t="s">
        <v>14284</v>
      </c>
      <c r="E9357" t="str">
        <f>"3901101189025"</f>
        <v>0</v>
      </c>
      <c r="F9357" t="str">
        <f>"001670"</f>
        <v>0</v>
      </c>
      <c r="G9357" t="s">
        <v>21</v>
      </c>
    </row>
    <row r="9358" spans="1:7">
      <c r="A9358">
        <v>9357</v>
      </c>
      <c r="B9358" t="str">
        <f>"018457"</f>
        <v>0</v>
      </c>
      <c r="C9358" t="s">
        <v>14285</v>
      </c>
      <c r="D9358" t="s">
        <v>14286</v>
      </c>
      <c r="E9358" t="str">
        <f>"3901000485818"</f>
        <v>0</v>
      </c>
      <c r="F9358" t="str">
        <f>"001670"</f>
        <v>0</v>
      </c>
      <c r="G9358" t="s">
        <v>21</v>
      </c>
    </row>
    <row r="9359" spans="1:7">
      <c r="A9359">
        <v>9358</v>
      </c>
      <c r="B9359" t="str">
        <f>"018493"</f>
        <v>0</v>
      </c>
      <c r="C9359" t="s">
        <v>14287</v>
      </c>
      <c r="D9359" t="s">
        <v>770</v>
      </c>
      <c r="E9359" t="str">
        <f>"3900400160907"</f>
        <v>0</v>
      </c>
      <c r="F9359" t="str">
        <f>"001670"</f>
        <v>0</v>
      </c>
      <c r="G9359" t="s">
        <v>21</v>
      </c>
    </row>
    <row r="9360" spans="1:7">
      <c r="A9360">
        <v>9359</v>
      </c>
      <c r="B9360" t="str">
        <f>"018610"</f>
        <v>0</v>
      </c>
      <c r="C9360" t="s">
        <v>14288</v>
      </c>
      <c r="D9360" t="s">
        <v>14289</v>
      </c>
      <c r="E9360" t="str">
        <f>"3900500261250"</f>
        <v>0</v>
      </c>
      <c r="F9360" t="str">
        <f>"001670"</f>
        <v>0</v>
      </c>
      <c r="G9360" t="s">
        <v>21</v>
      </c>
    </row>
    <row r="9361" spans="1:7">
      <c r="A9361">
        <v>9360</v>
      </c>
      <c r="B9361" t="str">
        <f>"018616"</f>
        <v>0</v>
      </c>
      <c r="C9361" t="s">
        <v>886</v>
      </c>
      <c r="D9361" t="s">
        <v>12578</v>
      </c>
      <c r="E9361" t="str">
        <f>"3770600201099"</f>
        <v>0</v>
      </c>
      <c r="F9361" t="str">
        <f>"001670"</f>
        <v>0</v>
      </c>
      <c r="G9361" t="s">
        <v>21</v>
      </c>
    </row>
    <row r="9362" spans="1:7">
      <c r="A9362">
        <v>9361</v>
      </c>
      <c r="B9362" t="str">
        <f>"018738"</f>
        <v>0</v>
      </c>
      <c r="C9362" t="s">
        <v>802</v>
      </c>
      <c r="D9362" t="s">
        <v>14290</v>
      </c>
      <c r="E9362" t="str">
        <f>"3800100161054"</f>
        <v>0</v>
      </c>
      <c r="F9362" t="str">
        <f>"001670"</f>
        <v>0</v>
      </c>
      <c r="G9362" t="s">
        <v>21</v>
      </c>
    </row>
    <row r="9363" spans="1:7">
      <c r="A9363">
        <v>9362</v>
      </c>
      <c r="B9363" t="str">
        <f>"018818"</f>
        <v>0</v>
      </c>
      <c r="C9363" t="s">
        <v>14291</v>
      </c>
      <c r="D9363" t="s">
        <v>14292</v>
      </c>
      <c r="E9363" t="str">
        <f>"3200900337128"</f>
        <v>0</v>
      </c>
      <c r="F9363" t="str">
        <f>"001670"</f>
        <v>0</v>
      </c>
      <c r="G9363" t="s">
        <v>21</v>
      </c>
    </row>
    <row r="9364" spans="1:7">
      <c r="A9364">
        <v>9363</v>
      </c>
      <c r="B9364" t="str">
        <f>"018831"</f>
        <v>0</v>
      </c>
      <c r="C9364" t="s">
        <v>14293</v>
      </c>
      <c r="D9364" t="s">
        <v>14294</v>
      </c>
      <c r="E9364" t="str">
        <f>"4940300002283"</f>
        <v>0</v>
      </c>
      <c r="F9364" t="str">
        <f>"001670"</f>
        <v>0</v>
      </c>
      <c r="G9364" t="s">
        <v>21</v>
      </c>
    </row>
    <row r="9365" spans="1:7">
      <c r="A9365">
        <v>9364</v>
      </c>
      <c r="B9365" t="str">
        <f>"018917"</f>
        <v>0</v>
      </c>
      <c r="C9365" t="s">
        <v>9250</v>
      </c>
      <c r="D9365" t="s">
        <v>14295</v>
      </c>
      <c r="E9365" t="str">
        <f>"5900299004611"</f>
        <v>0</v>
      </c>
      <c r="F9365" t="str">
        <f>"001670"</f>
        <v>0</v>
      </c>
      <c r="G9365" t="s">
        <v>21</v>
      </c>
    </row>
    <row r="9366" spans="1:7">
      <c r="A9366">
        <v>9365</v>
      </c>
      <c r="B9366" t="str">
        <f>"019266"</f>
        <v>0</v>
      </c>
      <c r="C9366" t="s">
        <v>14296</v>
      </c>
      <c r="D9366" t="s">
        <v>14297</v>
      </c>
      <c r="E9366" t="str">
        <f>"3900500436297"</f>
        <v>0</v>
      </c>
      <c r="F9366" t="str">
        <f>"001670"</f>
        <v>0</v>
      </c>
      <c r="G9366" t="s">
        <v>21</v>
      </c>
    </row>
    <row r="9367" spans="1:7">
      <c r="A9367">
        <v>9366</v>
      </c>
      <c r="B9367" t="str">
        <f>"019587"</f>
        <v>0</v>
      </c>
      <c r="C9367" t="s">
        <v>1777</v>
      </c>
      <c r="D9367" t="s">
        <v>14298</v>
      </c>
      <c r="E9367" t="str">
        <f>"3900200130907"</f>
        <v>0</v>
      </c>
      <c r="F9367" t="str">
        <f>"001670"</f>
        <v>0</v>
      </c>
      <c r="G9367" t="s">
        <v>21</v>
      </c>
    </row>
    <row r="9368" spans="1:7">
      <c r="A9368">
        <v>9367</v>
      </c>
      <c r="B9368" t="str">
        <f>"019828"</f>
        <v>0</v>
      </c>
      <c r="C9368" t="s">
        <v>12824</v>
      </c>
      <c r="D9368" t="s">
        <v>14299</v>
      </c>
      <c r="E9368" t="str">
        <f>"3909900234851"</f>
        <v>0</v>
      </c>
      <c r="F9368" t="str">
        <f>"001670"</f>
        <v>0</v>
      </c>
      <c r="G9368" t="s">
        <v>21</v>
      </c>
    </row>
    <row r="9369" spans="1:7">
      <c r="A9369">
        <v>9368</v>
      </c>
      <c r="B9369" t="str">
        <f>"019913"</f>
        <v>0</v>
      </c>
      <c r="C9369" t="s">
        <v>178</v>
      </c>
      <c r="D9369" t="s">
        <v>14300</v>
      </c>
      <c r="E9369" t="str">
        <f>"3900600036720"</f>
        <v>0</v>
      </c>
      <c r="F9369" t="str">
        <f>"001670"</f>
        <v>0</v>
      </c>
      <c r="G9369" t="s">
        <v>21</v>
      </c>
    </row>
    <row r="9370" spans="1:7">
      <c r="A9370">
        <v>9369</v>
      </c>
      <c r="B9370" t="str">
        <f>"019984"</f>
        <v>0</v>
      </c>
      <c r="C9370" t="s">
        <v>14301</v>
      </c>
      <c r="D9370" t="s">
        <v>14302</v>
      </c>
      <c r="E9370" t="str">
        <f>"3900600176319"</f>
        <v>0</v>
      </c>
      <c r="F9370" t="str">
        <f>"001670"</f>
        <v>0</v>
      </c>
      <c r="G9370" t="s">
        <v>21</v>
      </c>
    </row>
    <row r="9371" spans="1:7">
      <c r="A9371">
        <v>9370</v>
      </c>
      <c r="B9371" t="str">
        <f>"020098"</f>
        <v>0</v>
      </c>
      <c r="C9371" t="s">
        <v>260</v>
      </c>
      <c r="D9371" t="s">
        <v>7706</v>
      </c>
      <c r="E9371" t="str">
        <f>"3900101166822"</f>
        <v>0</v>
      </c>
      <c r="F9371" t="str">
        <f>"001670"</f>
        <v>0</v>
      </c>
      <c r="G9371" t="s">
        <v>21</v>
      </c>
    </row>
    <row r="9372" spans="1:7">
      <c r="A9372">
        <v>9371</v>
      </c>
      <c r="B9372" t="str">
        <f>"020157"</f>
        <v>0</v>
      </c>
      <c r="C9372" t="s">
        <v>14303</v>
      </c>
      <c r="D9372" t="s">
        <v>8311</v>
      </c>
      <c r="E9372" t="str">
        <f>"3900100424372"</f>
        <v>0</v>
      </c>
      <c r="F9372" t="str">
        <f>"001670"</f>
        <v>0</v>
      </c>
      <c r="G9372" t="s">
        <v>21</v>
      </c>
    </row>
    <row r="9373" spans="1:7">
      <c r="A9373">
        <v>9372</v>
      </c>
      <c r="B9373" t="str">
        <f>"020615"</f>
        <v>0</v>
      </c>
      <c r="C9373" t="s">
        <v>14304</v>
      </c>
      <c r="D9373" t="s">
        <v>14305</v>
      </c>
      <c r="E9373" t="str">
        <f>"3900300474861"</f>
        <v>0</v>
      </c>
      <c r="F9373" t="str">
        <f>"001670"</f>
        <v>0</v>
      </c>
      <c r="G9373" t="s">
        <v>21</v>
      </c>
    </row>
    <row r="9374" spans="1:7">
      <c r="A9374">
        <v>9373</v>
      </c>
      <c r="B9374" t="str">
        <f>"020736"</f>
        <v>0</v>
      </c>
      <c r="C9374" t="s">
        <v>5987</v>
      </c>
      <c r="D9374" t="s">
        <v>10634</v>
      </c>
      <c r="E9374" t="str">
        <f>"3900100367115"</f>
        <v>0</v>
      </c>
      <c r="F9374" t="str">
        <f>"001670"</f>
        <v>0</v>
      </c>
      <c r="G9374" t="s">
        <v>21</v>
      </c>
    </row>
    <row r="9375" spans="1:7">
      <c r="A9375">
        <v>9374</v>
      </c>
      <c r="B9375" t="str">
        <f>"020802"</f>
        <v>0</v>
      </c>
      <c r="C9375" t="s">
        <v>3080</v>
      </c>
      <c r="D9375" t="s">
        <v>14306</v>
      </c>
      <c r="E9375" t="str">
        <f>"3961100018731"</f>
        <v>0</v>
      </c>
      <c r="F9375" t="str">
        <f>"001670"</f>
        <v>0</v>
      </c>
      <c r="G9375" t="s">
        <v>21</v>
      </c>
    </row>
    <row r="9376" spans="1:7">
      <c r="A9376">
        <v>9375</v>
      </c>
      <c r="B9376" t="str">
        <f>"020937"</f>
        <v>0</v>
      </c>
      <c r="C9376" t="s">
        <v>5496</v>
      </c>
      <c r="D9376" t="s">
        <v>14307</v>
      </c>
      <c r="E9376" t="str">
        <f>"3930500635893"</f>
        <v>0</v>
      </c>
      <c r="F9376" t="str">
        <f>"001670"</f>
        <v>0</v>
      </c>
      <c r="G9376" t="s">
        <v>21</v>
      </c>
    </row>
    <row r="9377" spans="1:7">
      <c r="A9377">
        <v>9376</v>
      </c>
      <c r="B9377" t="str">
        <f>"020940"</f>
        <v>0</v>
      </c>
      <c r="C9377" t="s">
        <v>12248</v>
      </c>
      <c r="D9377" t="s">
        <v>14308</v>
      </c>
      <c r="E9377" t="str">
        <f>"3940200415057"</f>
        <v>0</v>
      </c>
      <c r="F9377" t="str">
        <f>"001670"</f>
        <v>0</v>
      </c>
      <c r="G9377" t="s">
        <v>21</v>
      </c>
    </row>
    <row r="9378" spans="1:7">
      <c r="A9378">
        <v>9377</v>
      </c>
      <c r="B9378" t="str">
        <f>"021121"</f>
        <v>0</v>
      </c>
      <c r="C9378" t="s">
        <v>191</v>
      </c>
      <c r="D9378" t="s">
        <v>14309</v>
      </c>
      <c r="E9378" t="str">
        <f>"3901101326731"</f>
        <v>0</v>
      </c>
      <c r="F9378" t="str">
        <f>"001670"</f>
        <v>0</v>
      </c>
      <c r="G9378" t="s">
        <v>21</v>
      </c>
    </row>
    <row r="9379" spans="1:7">
      <c r="A9379">
        <v>9378</v>
      </c>
      <c r="B9379" t="str">
        <f>"021331"</f>
        <v>0</v>
      </c>
      <c r="C9379" t="s">
        <v>3655</v>
      </c>
      <c r="D9379" t="s">
        <v>6339</v>
      </c>
      <c r="E9379" t="str">
        <f>"5900200017414"</f>
        <v>0</v>
      </c>
      <c r="F9379" t="str">
        <f>"001670"</f>
        <v>0</v>
      </c>
      <c r="G9379" t="s">
        <v>21</v>
      </c>
    </row>
    <row r="9380" spans="1:7">
      <c r="A9380">
        <v>9379</v>
      </c>
      <c r="B9380" t="str">
        <f>"021670"</f>
        <v>0</v>
      </c>
      <c r="C9380" t="s">
        <v>3404</v>
      </c>
      <c r="D9380" t="s">
        <v>7277</v>
      </c>
      <c r="E9380" t="str">
        <f>"3900500253338"</f>
        <v>0</v>
      </c>
      <c r="F9380" t="str">
        <f>"001670"</f>
        <v>0</v>
      </c>
      <c r="G9380" t="s">
        <v>21</v>
      </c>
    </row>
    <row r="9381" spans="1:7">
      <c r="A9381">
        <v>9380</v>
      </c>
      <c r="B9381" t="str">
        <f>"021675"</f>
        <v>0</v>
      </c>
      <c r="C9381" t="s">
        <v>5070</v>
      </c>
      <c r="D9381" t="s">
        <v>14310</v>
      </c>
      <c r="E9381" t="str">
        <f>"3900100559081"</f>
        <v>0</v>
      </c>
      <c r="F9381" t="str">
        <f>"001670"</f>
        <v>0</v>
      </c>
      <c r="G9381" t="s">
        <v>21</v>
      </c>
    </row>
    <row r="9382" spans="1:7">
      <c r="A9382">
        <v>9381</v>
      </c>
      <c r="B9382" t="str">
        <f>"021913"</f>
        <v>0</v>
      </c>
      <c r="C9382" t="s">
        <v>14311</v>
      </c>
      <c r="D9382" t="s">
        <v>14312</v>
      </c>
      <c r="E9382" t="str">
        <f>"3900800095509"</f>
        <v>0</v>
      </c>
      <c r="F9382" t="str">
        <f>"001670"</f>
        <v>0</v>
      </c>
      <c r="G9382" t="s">
        <v>21</v>
      </c>
    </row>
    <row r="9383" spans="1:7">
      <c r="A9383">
        <v>9382</v>
      </c>
      <c r="B9383" t="str">
        <f>"021999"</f>
        <v>0</v>
      </c>
      <c r="C9383" t="s">
        <v>14313</v>
      </c>
      <c r="D9383" t="s">
        <v>14314</v>
      </c>
      <c r="E9383" t="str">
        <f>"3840100029962"</f>
        <v>0</v>
      </c>
      <c r="F9383" t="str">
        <f>"001670"</f>
        <v>0</v>
      </c>
      <c r="G9383" t="s">
        <v>21</v>
      </c>
    </row>
    <row r="9384" spans="1:7">
      <c r="A9384">
        <v>9383</v>
      </c>
      <c r="B9384" t="str">
        <f>"022003"</f>
        <v>0</v>
      </c>
      <c r="C9384" t="s">
        <v>14315</v>
      </c>
      <c r="D9384" t="s">
        <v>14316</v>
      </c>
      <c r="E9384" t="str">
        <f>"1909800037403"</f>
        <v>0</v>
      </c>
      <c r="F9384" t="str">
        <f>"001670"</f>
        <v>0</v>
      </c>
      <c r="G9384" t="s">
        <v>21</v>
      </c>
    </row>
    <row r="9385" spans="1:7">
      <c r="A9385">
        <v>9384</v>
      </c>
      <c r="B9385" t="str">
        <f>"022200"</f>
        <v>0</v>
      </c>
      <c r="C9385" t="s">
        <v>14317</v>
      </c>
      <c r="D9385" t="s">
        <v>14318</v>
      </c>
      <c r="E9385" t="str">
        <f>"3909800412871"</f>
        <v>0</v>
      </c>
      <c r="F9385" t="str">
        <f>"001670"</f>
        <v>0</v>
      </c>
      <c r="G9385" t="s">
        <v>21</v>
      </c>
    </row>
    <row r="9386" spans="1:7">
      <c r="A9386">
        <v>9385</v>
      </c>
      <c r="B9386" t="str">
        <f>"022201"</f>
        <v>0</v>
      </c>
      <c r="C9386" t="s">
        <v>6559</v>
      </c>
      <c r="D9386" t="s">
        <v>14319</v>
      </c>
      <c r="E9386" t="str">
        <f>"3900700236399"</f>
        <v>0</v>
      </c>
      <c r="F9386" t="str">
        <f>"001670"</f>
        <v>0</v>
      </c>
      <c r="G9386" t="s">
        <v>21</v>
      </c>
    </row>
    <row r="9387" spans="1:7">
      <c r="A9387">
        <v>9386</v>
      </c>
      <c r="B9387" t="str">
        <f>"022517"</f>
        <v>0</v>
      </c>
      <c r="C9387" t="s">
        <v>14320</v>
      </c>
      <c r="D9387" t="s">
        <v>14321</v>
      </c>
      <c r="E9387" t="str">
        <f>"3909900355802"</f>
        <v>0</v>
      </c>
      <c r="F9387" t="str">
        <f>"001670"</f>
        <v>0</v>
      </c>
      <c r="G9387" t="s">
        <v>21</v>
      </c>
    </row>
    <row r="9388" spans="1:7">
      <c r="A9388">
        <v>9387</v>
      </c>
      <c r="B9388" t="str">
        <f>"022711"</f>
        <v>0</v>
      </c>
      <c r="C9388" t="s">
        <v>375</v>
      </c>
      <c r="D9388" t="s">
        <v>14322</v>
      </c>
      <c r="E9388" t="str">
        <f>"3930300419437"</f>
        <v>0</v>
      </c>
      <c r="F9388" t="str">
        <f>"001670"</f>
        <v>0</v>
      </c>
      <c r="G9388" t="s">
        <v>21</v>
      </c>
    </row>
    <row r="9389" spans="1:7">
      <c r="A9389">
        <v>9388</v>
      </c>
      <c r="B9389" t="str">
        <f>"022836"</f>
        <v>0</v>
      </c>
      <c r="C9389" t="s">
        <v>2165</v>
      </c>
      <c r="D9389" t="s">
        <v>14323</v>
      </c>
      <c r="E9389" t="str">
        <f>"1909900059212"</f>
        <v>0</v>
      </c>
      <c r="F9389" t="str">
        <f>"001670"</f>
        <v>0</v>
      </c>
      <c r="G9389" t="s">
        <v>21</v>
      </c>
    </row>
    <row r="9390" spans="1:7">
      <c r="A9390">
        <v>9389</v>
      </c>
      <c r="B9390" t="str">
        <f>"023007"</f>
        <v>0</v>
      </c>
      <c r="C9390" t="s">
        <v>14324</v>
      </c>
      <c r="D9390" t="s">
        <v>14325</v>
      </c>
      <c r="E9390" t="str">
        <f>"3900300566774"</f>
        <v>0</v>
      </c>
      <c r="F9390" t="str">
        <f>"001670"</f>
        <v>0</v>
      </c>
      <c r="G9390" t="s">
        <v>21</v>
      </c>
    </row>
    <row r="9391" spans="1:7">
      <c r="A9391">
        <v>9390</v>
      </c>
      <c r="B9391" t="str">
        <f>"023032"</f>
        <v>0</v>
      </c>
      <c r="C9391" t="s">
        <v>4448</v>
      </c>
      <c r="D9391" t="s">
        <v>2629</v>
      </c>
      <c r="E9391" t="str">
        <f>"3900200402974"</f>
        <v>0</v>
      </c>
      <c r="F9391" t="str">
        <f>"001670"</f>
        <v>0</v>
      </c>
      <c r="G9391" t="s">
        <v>21</v>
      </c>
    </row>
    <row r="9392" spans="1:7">
      <c r="A9392">
        <v>9391</v>
      </c>
      <c r="B9392" t="str">
        <f>"023034"</f>
        <v>0</v>
      </c>
      <c r="C9392" t="s">
        <v>14326</v>
      </c>
      <c r="D9392" t="s">
        <v>9912</v>
      </c>
      <c r="E9392" t="str">
        <f>"3960800174603"</f>
        <v>0</v>
      </c>
      <c r="F9392" t="str">
        <f>"001670"</f>
        <v>0</v>
      </c>
      <c r="G9392" t="s">
        <v>21</v>
      </c>
    </row>
    <row r="9393" spans="1:7">
      <c r="A9393">
        <v>9392</v>
      </c>
      <c r="B9393" t="str">
        <f>"023036"</f>
        <v>0</v>
      </c>
      <c r="C9393" t="s">
        <v>14327</v>
      </c>
      <c r="D9393" t="s">
        <v>7188</v>
      </c>
      <c r="E9393" t="str">
        <f>"1900700008683"</f>
        <v>0</v>
      </c>
      <c r="F9393" t="str">
        <f>"001670"</f>
        <v>0</v>
      </c>
      <c r="G9393" t="s">
        <v>21</v>
      </c>
    </row>
    <row r="9394" spans="1:7">
      <c r="A9394">
        <v>9393</v>
      </c>
      <c r="B9394" t="str">
        <f>"023173"</f>
        <v>0</v>
      </c>
      <c r="C9394" t="s">
        <v>14328</v>
      </c>
      <c r="D9394" t="s">
        <v>14329</v>
      </c>
      <c r="E9394" t="str">
        <f>"3900100447666"</f>
        <v>0</v>
      </c>
      <c r="F9394" t="str">
        <f>"001670"</f>
        <v>0</v>
      </c>
      <c r="G9394" t="s">
        <v>21</v>
      </c>
    </row>
    <row r="9395" spans="1:7">
      <c r="A9395">
        <v>9394</v>
      </c>
      <c r="B9395" t="str">
        <f>"023203"</f>
        <v>0</v>
      </c>
      <c r="C9395" t="s">
        <v>14330</v>
      </c>
      <c r="D9395" t="s">
        <v>14331</v>
      </c>
      <c r="E9395" t="str">
        <f>"2860400018798"</f>
        <v>0</v>
      </c>
      <c r="F9395" t="str">
        <f>"001670"</f>
        <v>0</v>
      </c>
      <c r="G9395" t="s">
        <v>21</v>
      </c>
    </row>
    <row r="9396" spans="1:7">
      <c r="A9396">
        <v>9395</v>
      </c>
      <c r="B9396" t="str">
        <f>"023736"</f>
        <v>0</v>
      </c>
      <c r="C9396" t="s">
        <v>5461</v>
      </c>
      <c r="D9396" t="s">
        <v>14332</v>
      </c>
      <c r="E9396" t="str">
        <f>"1909800235850"</f>
        <v>0</v>
      </c>
      <c r="F9396" t="str">
        <f>"001670"</f>
        <v>0</v>
      </c>
      <c r="G9396" t="s">
        <v>21</v>
      </c>
    </row>
    <row r="9397" spans="1:7">
      <c r="A9397">
        <v>9396</v>
      </c>
      <c r="B9397" t="str">
        <f>"023753"</f>
        <v>0</v>
      </c>
      <c r="C9397" t="s">
        <v>14333</v>
      </c>
      <c r="D9397" t="s">
        <v>14334</v>
      </c>
      <c r="E9397" t="str">
        <f>"3901100653879"</f>
        <v>0</v>
      </c>
      <c r="F9397" t="str">
        <f>"001670"</f>
        <v>0</v>
      </c>
      <c r="G9397" t="s">
        <v>21</v>
      </c>
    </row>
    <row r="9398" spans="1:7">
      <c r="A9398">
        <v>9397</v>
      </c>
      <c r="B9398" t="str">
        <f>"023909"</f>
        <v>0</v>
      </c>
      <c r="C9398" t="s">
        <v>1506</v>
      </c>
      <c r="D9398" t="s">
        <v>14335</v>
      </c>
      <c r="E9398" t="str">
        <f>"5900399007388"</f>
        <v>0</v>
      </c>
      <c r="F9398" t="str">
        <f>"001670"</f>
        <v>0</v>
      </c>
      <c r="G9398" t="s">
        <v>21</v>
      </c>
    </row>
    <row r="9399" spans="1:7">
      <c r="A9399">
        <v>9398</v>
      </c>
      <c r="B9399" t="str">
        <f>"024027"</f>
        <v>0</v>
      </c>
      <c r="C9399" t="s">
        <v>14336</v>
      </c>
      <c r="D9399" t="s">
        <v>14337</v>
      </c>
      <c r="E9399" t="str">
        <f>"1900400019396"</f>
        <v>0</v>
      </c>
      <c r="F9399" t="str">
        <f>"001670"</f>
        <v>0</v>
      </c>
      <c r="G9399" t="s">
        <v>21</v>
      </c>
    </row>
    <row r="9400" spans="1:7">
      <c r="A9400">
        <v>9399</v>
      </c>
      <c r="B9400" t="str">
        <f>"024125"</f>
        <v>0</v>
      </c>
      <c r="C9400" t="s">
        <v>14338</v>
      </c>
      <c r="D9400" t="s">
        <v>8408</v>
      </c>
      <c r="E9400" t="str">
        <f>"1909900067827"</f>
        <v>0</v>
      </c>
      <c r="F9400" t="str">
        <f>"001670"</f>
        <v>0</v>
      </c>
      <c r="G9400" t="s">
        <v>21</v>
      </c>
    </row>
    <row r="9401" spans="1:7">
      <c r="A9401">
        <v>9400</v>
      </c>
      <c r="B9401" t="str">
        <f>"024279"</f>
        <v>0</v>
      </c>
      <c r="C9401" t="s">
        <v>14339</v>
      </c>
      <c r="D9401" t="s">
        <v>14340</v>
      </c>
      <c r="E9401" t="str">
        <f>"3800600784760"</f>
        <v>0</v>
      </c>
      <c r="F9401" t="str">
        <f>"001670"</f>
        <v>0</v>
      </c>
      <c r="G9401" t="s">
        <v>21</v>
      </c>
    </row>
    <row r="9402" spans="1:7">
      <c r="A9402">
        <v>9401</v>
      </c>
      <c r="B9402" t="str">
        <f>"024536"</f>
        <v>0</v>
      </c>
      <c r="C9402" t="s">
        <v>14341</v>
      </c>
      <c r="D9402" t="s">
        <v>14342</v>
      </c>
      <c r="E9402" t="str">
        <f>"1909800140221"</f>
        <v>0</v>
      </c>
      <c r="F9402" t="str">
        <f>"001670"</f>
        <v>0</v>
      </c>
      <c r="G9402" t="s">
        <v>21</v>
      </c>
    </row>
    <row r="9403" spans="1:7">
      <c r="A9403">
        <v>9402</v>
      </c>
      <c r="B9403" t="str">
        <f>"024666"</f>
        <v>0</v>
      </c>
      <c r="C9403" t="s">
        <v>14343</v>
      </c>
      <c r="D9403" t="s">
        <v>14344</v>
      </c>
      <c r="E9403" t="str">
        <f>"3901101360271"</f>
        <v>0</v>
      </c>
      <c r="F9403" t="str">
        <f>"001670"</f>
        <v>0</v>
      </c>
      <c r="G9403" t="s">
        <v>21</v>
      </c>
    </row>
    <row r="9404" spans="1:7">
      <c r="A9404">
        <v>9403</v>
      </c>
      <c r="B9404" t="str">
        <f>"025144"</f>
        <v>0</v>
      </c>
      <c r="C9404" t="s">
        <v>14345</v>
      </c>
      <c r="D9404" t="s">
        <v>14346</v>
      </c>
      <c r="E9404" t="str">
        <f>"3939900130533"</f>
        <v>0</v>
      </c>
      <c r="F9404" t="str">
        <f>"001670"</f>
        <v>0</v>
      </c>
      <c r="G9404" t="s">
        <v>21</v>
      </c>
    </row>
    <row r="9405" spans="1:7">
      <c r="A9405">
        <v>9404</v>
      </c>
      <c r="B9405" t="str">
        <f>"025170"</f>
        <v>0</v>
      </c>
      <c r="C9405" t="s">
        <v>2165</v>
      </c>
      <c r="D9405" t="s">
        <v>14347</v>
      </c>
      <c r="E9405" t="str">
        <f>"2900400016727"</f>
        <v>0</v>
      </c>
      <c r="F9405" t="str">
        <f>"001670"</f>
        <v>0</v>
      </c>
      <c r="G9405" t="s">
        <v>21</v>
      </c>
    </row>
    <row r="9406" spans="1:7">
      <c r="A9406">
        <v>9405</v>
      </c>
      <c r="B9406" t="str">
        <f>"025330"</f>
        <v>0</v>
      </c>
      <c r="C9406" t="s">
        <v>14348</v>
      </c>
      <c r="D9406" t="s">
        <v>14349</v>
      </c>
      <c r="E9406" t="str">
        <f>"3909900590623"</f>
        <v>0</v>
      </c>
      <c r="F9406" t="str">
        <f>"001670"</f>
        <v>0</v>
      </c>
      <c r="G9406" t="s">
        <v>21</v>
      </c>
    </row>
    <row r="9407" spans="1:7">
      <c r="A9407">
        <v>9406</v>
      </c>
      <c r="B9407" t="str">
        <f>"025333"</f>
        <v>0</v>
      </c>
      <c r="C9407" t="s">
        <v>14350</v>
      </c>
      <c r="D9407" t="s">
        <v>14351</v>
      </c>
      <c r="E9407" t="str">
        <f>"1959900114612"</f>
        <v>0</v>
      </c>
      <c r="F9407" t="str">
        <f>"001670"</f>
        <v>0</v>
      </c>
      <c r="G9407" t="s">
        <v>21</v>
      </c>
    </row>
    <row r="9408" spans="1:7">
      <c r="A9408">
        <v>9407</v>
      </c>
      <c r="B9408" t="str">
        <f>"025477"</f>
        <v>0</v>
      </c>
      <c r="C9408" t="s">
        <v>9649</v>
      </c>
      <c r="D9408" t="s">
        <v>14352</v>
      </c>
      <c r="E9408" t="str">
        <f>"3900100136504"</f>
        <v>0</v>
      </c>
      <c r="F9408" t="str">
        <f>"001670"</f>
        <v>0</v>
      </c>
      <c r="G9408" t="s">
        <v>21</v>
      </c>
    </row>
    <row r="9409" spans="1:7">
      <c r="A9409">
        <v>9408</v>
      </c>
      <c r="B9409" t="str">
        <f>"025571"</f>
        <v>0</v>
      </c>
      <c r="C9409" t="s">
        <v>14353</v>
      </c>
      <c r="D9409" t="s">
        <v>65</v>
      </c>
      <c r="E9409" t="str">
        <f>"1909800303855"</f>
        <v>0</v>
      </c>
      <c r="F9409" t="str">
        <f>"001670"</f>
        <v>0</v>
      </c>
      <c r="G9409" t="s">
        <v>21</v>
      </c>
    </row>
    <row r="9410" spans="1:7">
      <c r="A9410">
        <v>9409</v>
      </c>
      <c r="B9410" t="str">
        <f>"025619"</f>
        <v>0</v>
      </c>
      <c r="C9410" t="s">
        <v>14354</v>
      </c>
      <c r="D9410" t="s">
        <v>14355</v>
      </c>
      <c r="E9410" t="str">
        <f>"1909800360433"</f>
        <v>0</v>
      </c>
      <c r="F9410" t="str">
        <f>"001670"</f>
        <v>0</v>
      </c>
      <c r="G9410" t="s">
        <v>21</v>
      </c>
    </row>
    <row r="9411" spans="1:7">
      <c r="A9411">
        <v>9410</v>
      </c>
      <c r="B9411" t="str">
        <f>"025659"</f>
        <v>0</v>
      </c>
      <c r="C9411" t="s">
        <v>14356</v>
      </c>
      <c r="D9411" t="s">
        <v>14357</v>
      </c>
      <c r="E9411" t="str">
        <f>"1909900062264"</f>
        <v>0</v>
      </c>
      <c r="F9411" t="str">
        <f>"001670"</f>
        <v>0</v>
      </c>
      <c r="G9411" t="s">
        <v>21</v>
      </c>
    </row>
    <row r="9412" spans="1:7">
      <c r="A9412">
        <v>9411</v>
      </c>
      <c r="B9412" t="str">
        <f>"025712"</f>
        <v>0</v>
      </c>
      <c r="C9412" t="s">
        <v>11538</v>
      </c>
      <c r="D9412" t="s">
        <v>14358</v>
      </c>
      <c r="E9412" t="str">
        <f>"1959900276744"</f>
        <v>0</v>
      </c>
      <c r="F9412" t="str">
        <f>"001670"</f>
        <v>0</v>
      </c>
      <c r="G9412" t="s">
        <v>21</v>
      </c>
    </row>
    <row r="9413" spans="1:7">
      <c r="A9413">
        <v>9412</v>
      </c>
      <c r="B9413" t="str">
        <f>"025714"</f>
        <v>0</v>
      </c>
      <c r="C9413" t="s">
        <v>14359</v>
      </c>
      <c r="D9413" t="s">
        <v>14360</v>
      </c>
      <c r="E9413" t="str">
        <f>"1909800600159"</f>
        <v>0</v>
      </c>
      <c r="F9413" t="str">
        <f>"001670"</f>
        <v>0</v>
      </c>
      <c r="G9413" t="s">
        <v>21</v>
      </c>
    </row>
    <row r="9414" spans="1:7">
      <c r="A9414">
        <v>9413</v>
      </c>
      <c r="B9414" t="str">
        <f>"025737"</f>
        <v>0</v>
      </c>
      <c r="C9414" t="s">
        <v>9024</v>
      </c>
      <c r="D9414" t="s">
        <v>14361</v>
      </c>
      <c r="E9414" t="str">
        <f>"3900100561523"</f>
        <v>0</v>
      </c>
      <c r="F9414" t="str">
        <f>"001670"</f>
        <v>0</v>
      </c>
      <c r="G9414" t="s">
        <v>21</v>
      </c>
    </row>
    <row r="9415" spans="1:7">
      <c r="A9415">
        <v>9414</v>
      </c>
      <c r="B9415" t="str">
        <f>"026007"</f>
        <v>0</v>
      </c>
      <c r="C9415" t="s">
        <v>14362</v>
      </c>
      <c r="D9415" t="s">
        <v>14363</v>
      </c>
      <c r="E9415" t="str">
        <f>"3901100986517"</f>
        <v>0</v>
      </c>
      <c r="F9415" t="str">
        <f>"001670"</f>
        <v>0</v>
      </c>
      <c r="G9415" t="s">
        <v>21</v>
      </c>
    </row>
    <row r="9416" spans="1:7">
      <c r="A9416">
        <v>9415</v>
      </c>
      <c r="B9416" t="str">
        <f>"026222"</f>
        <v>0</v>
      </c>
      <c r="C9416" t="s">
        <v>5070</v>
      </c>
      <c r="D9416" t="s">
        <v>14364</v>
      </c>
      <c r="E9416" t="str">
        <f>"1900400053896"</f>
        <v>0</v>
      </c>
      <c r="F9416" t="str">
        <f>"001670"</f>
        <v>0</v>
      </c>
      <c r="G9416" t="s">
        <v>21</v>
      </c>
    </row>
    <row r="9417" spans="1:7">
      <c r="A9417">
        <v>9416</v>
      </c>
      <c r="B9417" t="str">
        <f>"026737"</f>
        <v>0</v>
      </c>
      <c r="C9417" t="s">
        <v>14365</v>
      </c>
      <c r="D9417" t="s">
        <v>14366</v>
      </c>
      <c r="E9417" t="str">
        <f>"1909800293345"</f>
        <v>0</v>
      </c>
      <c r="F9417" t="str">
        <f>"001670"</f>
        <v>0</v>
      </c>
      <c r="G9417" t="s">
        <v>21</v>
      </c>
    </row>
    <row r="9418" spans="1:7">
      <c r="A9418">
        <v>9417</v>
      </c>
      <c r="B9418" t="str">
        <f>"027322"</f>
        <v>0</v>
      </c>
      <c r="C9418" t="s">
        <v>14367</v>
      </c>
      <c r="D9418" t="s">
        <v>14368</v>
      </c>
      <c r="E9418" t="str">
        <f>"3819900042040"</f>
        <v>0</v>
      </c>
      <c r="F9418" t="str">
        <f>"001670"</f>
        <v>0</v>
      </c>
      <c r="G9418" t="s">
        <v>21</v>
      </c>
    </row>
    <row r="9419" spans="1:7">
      <c r="A9419">
        <v>9418</v>
      </c>
      <c r="B9419" t="str">
        <f>"027402"</f>
        <v>0</v>
      </c>
      <c r="C9419" t="s">
        <v>14369</v>
      </c>
      <c r="D9419" t="s">
        <v>10634</v>
      </c>
      <c r="E9419" t="str">
        <f>"1959900133081"</f>
        <v>0</v>
      </c>
      <c r="F9419" t="str">
        <f>"001670"</f>
        <v>0</v>
      </c>
      <c r="G9419" t="s">
        <v>21</v>
      </c>
    </row>
    <row r="9420" spans="1:7">
      <c r="A9420">
        <v>9419</v>
      </c>
      <c r="B9420" t="str">
        <f>"026339"</f>
        <v>0</v>
      </c>
      <c r="C9420" t="s">
        <v>14370</v>
      </c>
      <c r="D9420" t="s">
        <v>14371</v>
      </c>
      <c r="E9420" t="str">
        <f>"1909800458841"</f>
        <v>0</v>
      </c>
      <c r="F9420" t="str">
        <f>"001670"</f>
        <v>0</v>
      </c>
      <c r="G9420" t="s">
        <v>21</v>
      </c>
    </row>
    <row r="9421" spans="1:7">
      <c r="A9421">
        <v>9420</v>
      </c>
      <c r="B9421" t="str">
        <f>"024990"</f>
        <v>0</v>
      </c>
      <c r="C9421" t="s">
        <v>734</v>
      </c>
      <c r="D9421" t="s">
        <v>14372</v>
      </c>
      <c r="E9421" t="str">
        <f>"3920400436121"</f>
        <v>0</v>
      </c>
      <c r="F9421" t="str">
        <f>"001670"</f>
        <v>0</v>
      </c>
      <c r="G9421" t="s">
        <v>21</v>
      </c>
    </row>
    <row r="9422" spans="1:7">
      <c r="A9422">
        <v>9421</v>
      </c>
      <c r="B9422" t="str">
        <f>"022531"</f>
        <v>0</v>
      </c>
      <c r="C9422" t="s">
        <v>14373</v>
      </c>
      <c r="D9422" t="s">
        <v>8718</v>
      </c>
      <c r="E9422" t="str">
        <f>"3930300165966"</f>
        <v>0</v>
      </c>
      <c r="F9422" t="str">
        <f>"001670"</f>
        <v>0</v>
      </c>
      <c r="G9422" t="s">
        <v>21</v>
      </c>
    </row>
    <row r="9423" spans="1:7">
      <c r="A9423">
        <v>9422</v>
      </c>
      <c r="B9423" t="str">
        <f>"022749"</f>
        <v>0</v>
      </c>
      <c r="C9423" t="s">
        <v>9383</v>
      </c>
      <c r="D9423" t="s">
        <v>14374</v>
      </c>
      <c r="E9423" t="str">
        <f>"3930100202191"</f>
        <v>0</v>
      </c>
      <c r="F9423" t="str">
        <f>"001670"</f>
        <v>0</v>
      </c>
      <c r="G9423" t="s">
        <v>21</v>
      </c>
    </row>
    <row r="9424" spans="1:7">
      <c r="A9424">
        <v>9423</v>
      </c>
      <c r="B9424" t="str">
        <f>"023086"</f>
        <v>0</v>
      </c>
      <c r="C9424" t="s">
        <v>13979</v>
      </c>
      <c r="D9424" t="s">
        <v>14375</v>
      </c>
      <c r="E9424" t="str">
        <f>"3930500934076"</f>
        <v>0</v>
      </c>
      <c r="F9424" t="str">
        <f>"001670"</f>
        <v>0</v>
      </c>
      <c r="G9424" t="s">
        <v>21</v>
      </c>
    </row>
    <row r="9425" spans="1:7">
      <c r="A9425">
        <v>9424</v>
      </c>
      <c r="B9425" t="str">
        <f>"023752"</f>
        <v>0</v>
      </c>
      <c r="C9425" t="s">
        <v>14376</v>
      </c>
      <c r="D9425" t="s">
        <v>14377</v>
      </c>
      <c r="E9425" t="str">
        <f>"1939900017781"</f>
        <v>0</v>
      </c>
      <c r="F9425" t="str">
        <f>"001670"</f>
        <v>0</v>
      </c>
      <c r="G9425" t="s">
        <v>21</v>
      </c>
    </row>
    <row r="9426" spans="1:7">
      <c r="A9426">
        <v>9425</v>
      </c>
      <c r="B9426" t="str">
        <f>"024126"</f>
        <v>0</v>
      </c>
      <c r="C9426" t="s">
        <v>1229</v>
      </c>
      <c r="D9426" t="s">
        <v>14378</v>
      </c>
      <c r="E9426" t="str">
        <f>"1939900103432"</f>
        <v>0</v>
      </c>
      <c r="F9426" t="str">
        <f>"001670"</f>
        <v>0</v>
      </c>
      <c r="G9426" t="s">
        <v>21</v>
      </c>
    </row>
    <row r="9427" spans="1:7">
      <c r="A9427">
        <v>9426</v>
      </c>
      <c r="B9427" t="str">
        <f>"024405"</f>
        <v>0</v>
      </c>
      <c r="C9427" t="s">
        <v>14379</v>
      </c>
      <c r="D9427" t="s">
        <v>14380</v>
      </c>
      <c r="E9427" t="str">
        <f>"1930300023464"</f>
        <v>0</v>
      </c>
      <c r="F9427" t="str">
        <f>"001670"</f>
        <v>0</v>
      </c>
      <c r="G9427" t="s">
        <v>21</v>
      </c>
    </row>
    <row r="9428" spans="1:7">
      <c r="A9428">
        <v>9427</v>
      </c>
      <c r="B9428" t="str">
        <f>"025475"</f>
        <v>0</v>
      </c>
      <c r="C9428" t="s">
        <v>14381</v>
      </c>
      <c r="D9428" t="s">
        <v>14382</v>
      </c>
      <c r="E9428" t="str">
        <f>"3930500515391"</f>
        <v>0</v>
      </c>
      <c r="F9428" t="str">
        <f>"001670"</f>
        <v>0</v>
      </c>
      <c r="G9428" t="s">
        <v>21</v>
      </c>
    </row>
    <row r="9429" spans="1:7">
      <c r="A9429">
        <v>9428</v>
      </c>
      <c r="B9429" t="str">
        <f>"026592"</f>
        <v>0</v>
      </c>
      <c r="C9429" t="s">
        <v>5599</v>
      </c>
      <c r="D9429" t="s">
        <v>9950</v>
      </c>
      <c r="E9429" t="str">
        <f>"3930500765533"</f>
        <v>0</v>
      </c>
      <c r="F9429" t="str">
        <f>"001670"</f>
        <v>0</v>
      </c>
      <c r="G9429" t="s">
        <v>21</v>
      </c>
    </row>
    <row r="9430" spans="1:7">
      <c r="A9430">
        <v>9429</v>
      </c>
      <c r="B9430" t="str">
        <f>"011425"</f>
        <v>0</v>
      </c>
      <c r="C9430" t="s">
        <v>1926</v>
      </c>
      <c r="D9430" t="s">
        <v>14383</v>
      </c>
      <c r="E9430" t="str">
        <f>"3900100238919"</f>
        <v>0</v>
      </c>
      <c r="F9430" t="str">
        <f>"001670"</f>
        <v>0</v>
      </c>
      <c r="G9430" t="s">
        <v>21</v>
      </c>
    </row>
    <row r="9431" spans="1:7">
      <c r="A9431">
        <v>9430</v>
      </c>
      <c r="B9431" t="str">
        <f>"012074"</f>
        <v>0</v>
      </c>
      <c r="C9431" t="s">
        <v>1819</v>
      </c>
      <c r="D9431" t="s">
        <v>14384</v>
      </c>
      <c r="E9431" t="str">
        <f>"3909800983160"</f>
        <v>0</v>
      </c>
      <c r="F9431" t="str">
        <f>"001670"</f>
        <v>0</v>
      </c>
      <c r="G9431" t="s">
        <v>21</v>
      </c>
    </row>
    <row r="9432" spans="1:7">
      <c r="A9432">
        <v>9431</v>
      </c>
      <c r="B9432" t="str">
        <f>"013392"</f>
        <v>0</v>
      </c>
      <c r="C9432" t="s">
        <v>14385</v>
      </c>
      <c r="D9432" t="s">
        <v>14386</v>
      </c>
      <c r="E9432" t="str">
        <f>"3900300269214"</f>
        <v>0</v>
      </c>
      <c r="F9432" t="str">
        <f>"001670"</f>
        <v>0</v>
      </c>
      <c r="G9432" t="s">
        <v>21</v>
      </c>
    </row>
    <row r="9433" spans="1:7">
      <c r="A9433">
        <v>9432</v>
      </c>
      <c r="B9433" t="str">
        <f>"017330"</f>
        <v>0</v>
      </c>
      <c r="C9433" t="s">
        <v>344</v>
      </c>
      <c r="D9433" t="s">
        <v>13242</v>
      </c>
      <c r="E9433" t="str">
        <f>"3900500144351"</f>
        <v>0</v>
      </c>
      <c r="F9433" t="str">
        <f>"001670"</f>
        <v>0</v>
      </c>
      <c r="G9433" t="s">
        <v>21</v>
      </c>
    </row>
    <row r="9434" spans="1:7">
      <c r="A9434">
        <v>9433</v>
      </c>
      <c r="B9434" t="str">
        <f>"023275"</f>
        <v>0</v>
      </c>
      <c r="C9434" t="s">
        <v>14387</v>
      </c>
      <c r="D9434" t="s">
        <v>14388</v>
      </c>
      <c r="E9434" t="str">
        <f>"1959900069544"</f>
        <v>0</v>
      </c>
      <c r="F9434" t="str">
        <f>"001670"</f>
        <v>0</v>
      </c>
      <c r="G9434" t="s">
        <v>21</v>
      </c>
    </row>
    <row r="9435" spans="1:7">
      <c r="A9435">
        <v>9434</v>
      </c>
      <c r="B9435" t="str">
        <f>"025029"</f>
        <v>0</v>
      </c>
      <c r="C9435" t="s">
        <v>14389</v>
      </c>
      <c r="D9435" t="s">
        <v>9378</v>
      </c>
      <c r="E9435" t="str">
        <f>"1959900157036"</f>
        <v>0</v>
      </c>
      <c r="F9435" t="str">
        <f>"001670"</f>
        <v>0</v>
      </c>
      <c r="G9435" t="s">
        <v>21</v>
      </c>
    </row>
    <row r="9436" spans="1:7">
      <c r="A9436">
        <v>9435</v>
      </c>
      <c r="B9436" t="str">
        <f>"026413"</f>
        <v>0</v>
      </c>
      <c r="C9436" t="s">
        <v>7356</v>
      </c>
      <c r="D9436" t="s">
        <v>14390</v>
      </c>
      <c r="E9436" t="str">
        <f>"1102000849293"</f>
        <v>0</v>
      </c>
      <c r="F9436" t="str">
        <f>"001670"</f>
        <v>0</v>
      </c>
      <c r="G9436" t="s">
        <v>21</v>
      </c>
    </row>
    <row r="9437" spans="1:7">
      <c r="A9437">
        <v>9436</v>
      </c>
      <c r="B9437" t="str">
        <f>"020254"</f>
        <v>0</v>
      </c>
      <c r="C9437" t="s">
        <v>7548</v>
      </c>
      <c r="D9437" t="s">
        <v>14391</v>
      </c>
      <c r="E9437" t="str">
        <f>"3960200062782"</f>
        <v>0</v>
      </c>
      <c r="F9437" t="str">
        <f>"001670"</f>
        <v>0</v>
      </c>
      <c r="G9437" t="s">
        <v>21</v>
      </c>
    </row>
    <row r="9438" spans="1:7">
      <c r="A9438">
        <v>9437</v>
      </c>
      <c r="B9438" t="str">
        <f>"023418"</f>
        <v>0</v>
      </c>
      <c r="C9438" t="s">
        <v>14392</v>
      </c>
      <c r="D9438" t="s">
        <v>14393</v>
      </c>
      <c r="E9438" t="str">
        <f>"3961100291829"</f>
        <v>0</v>
      </c>
      <c r="F9438" t="str">
        <f>"001670"</f>
        <v>0</v>
      </c>
      <c r="G9438" t="s">
        <v>21</v>
      </c>
    </row>
    <row r="9439" spans="1:7">
      <c r="A9439">
        <v>9438</v>
      </c>
      <c r="B9439" t="str">
        <f>"023454"</f>
        <v>0</v>
      </c>
      <c r="C9439" t="s">
        <v>3240</v>
      </c>
      <c r="D9439" t="s">
        <v>14394</v>
      </c>
      <c r="E9439" t="str">
        <f>"1800700009109"</f>
        <v>0</v>
      </c>
      <c r="F9439" t="str">
        <f>"001670"</f>
        <v>0</v>
      </c>
      <c r="G9439" t="s">
        <v>21</v>
      </c>
    </row>
    <row r="9440" spans="1:7">
      <c r="A9440">
        <v>9439</v>
      </c>
      <c r="B9440" t="str">
        <f>"022589"</f>
        <v>0</v>
      </c>
      <c r="C9440" t="s">
        <v>14395</v>
      </c>
      <c r="D9440" t="s">
        <v>14396</v>
      </c>
      <c r="E9440" t="str">
        <f>"3910100297486"</f>
        <v>0</v>
      </c>
      <c r="F9440" t="str">
        <f>"001670"</f>
        <v>0</v>
      </c>
      <c r="G9440" t="s">
        <v>21</v>
      </c>
    </row>
    <row r="9441" spans="1:7">
      <c r="A9441">
        <v>9440</v>
      </c>
      <c r="B9441" t="str">
        <f>"013653"</f>
        <v>0</v>
      </c>
      <c r="C9441" t="s">
        <v>8253</v>
      </c>
      <c r="D9441" t="s">
        <v>14397</v>
      </c>
      <c r="E9441" t="str">
        <f>"4910100001658"</f>
        <v>0</v>
      </c>
      <c r="F9441" t="str">
        <f>"001670"</f>
        <v>0</v>
      </c>
      <c r="G9441" t="s">
        <v>21</v>
      </c>
    </row>
    <row r="9442" spans="1:7">
      <c r="A9442">
        <v>9441</v>
      </c>
      <c r="B9442" t="str">
        <f>"013997"</f>
        <v>0</v>
      </c>
      <c r="C9442" t="s">
        <v>14398</v>
      </c>
      <c r="D9442" t="s">
        <v>14399</v>
      </c>
      <c r="E9442" t="str">
        <f>"3919900104559"</f>
        <v>0</v>
      </c>
      <c r="F9442" t="str">
        <f>"001670"</f>
        <v>0</v>
      </c>
      <c r="G9442" t="s">
        <v>21</v>
      </c>
    </row>
    <row r="9443" spans="1:7">
      <c r="A9443">
        <v>9442</v>
      </c>
      <c r="B9443" t="str">
        <f>"017318"</f>
        <v>0</v>
      </c>
      <c r="C9443" t="s">
        <v>6047</v>
      </c>
      <c r="D9443" t="s">
        <v>14400</v>
      </c>
      <c r="E9443" t="str">
        <f>"3909900319156"</f>
        <v>0</v>
      </c>
      <c r="F9443" t="str">
        <f>"001670"</f>
        <v>0</v>
      </c>
      <c r="G9443" t="s">
        <v>21</v>
      </c>
    </row>
    <row r="9444" spans="1:7">
      <c r="A9444">
        <v>9443</v>
      </c>
      <c r="B9444" t="str">
        <f>"018281"</f>
        <v>0</v>
      </c>
      <c r="C9444" t="s">
        <v>14401</v>
      </c>
      <c r="D9444" t="s">
        <v>14402</v>
      </c>
      <c r="E9444" t="str">
        <f>"3800400527984"</f>
        <v>0</v>
      </c>
      <c r="F9444" t="str">
        <f>"001670"</f>
        <v>0</v>
      </c>
      <c r="G9444" t="s">
        <v>21</v>
      </c>
    </row>
    <row r="9445" spans="1:7">
      <c r="A9445">
        <v>9444</v>
      </c>
      <c r="B9445" t="str">
        <f>"018618"</f>
        <v>0</v>
      </c>
      <c r="C9445" t="s">
        <v>56</v>
      </c>
      <c r="D9445" t="s">
        <v>14403</v>
      </c>
      <c r="E9445" t="str">
        <f>"3909900118959"</f>
        <v>0</v>
      </c>
      <c r="F9445" t="str">
        <f>"001670"</f>
        <v>0</v>
      </c>
      <c r="G9445" t="s">
        <v>21</v>
      </c>
    </row>
    <row r="9446" spans="1:7">
      <c r="A9446">
        <v>9445</v>
      </c>
      <c r="B9446" t="str">
        <f>"018619"</f>
        <v>0</v>
      </c>
      <c r="C9446" t="s">
        <v>14404</v>
      </c>
      <c r="D9446" t="s">
        <v>3923</v>
      </c>
      <c r="E9446" t="str">
        <f>"3909800229091"</f>
        <v>0</v>
      </c>
      <c r="F9446" t="str">
        <f>"001670"</f>
        <v>0</v>
      </c>
      <c r="G9446" t="s">
        <v>21</v>
      </c>
    </row>
    <row r="9447" spans="1:7">
      <c r="A9447">
        <v>9446</v>
      </c>
      <c r="B9447" t="str">
        <f>"018957"</f>
        <v>0</v>
      </c>
      <c r="C9447" t="s">
        <v>14405</v>
      </c>
      <c r="D9447" t="s">
        <v>4729</v>
      </c>
      <c r="E9447" t="str">
        <f>"3900900416676"</f>
        <v>0</v>
      </c>
      <c r="F9447" t="str">
        <f>"001670"</f>
        <v>0</v>
      </c>
      <c r="G9447" t="s">
        <v>21</v>
      </c>
    </row>
    <row r="9448" spans="1:7">
      <c r="A9448">
        <v>9447</v>
      </c>
      <c r="B9448" t="str">
        <f>"019467"</f>
        <v>0</v>
      </c>
      <c r="C9448" t="s">
        <v>14406</v>
      </c>
      <c r="D9448" t="s">
        <v>14407</v>
      </c>
      <c r="E9448" t="str">
        <f>"3920600884275"</f>
        <v>0</v>
      </c>
      <c r="F9448" t="str">
        <f>"001670"</f>
        <v>0</v>
      </c>
      <c r="G9448" t="s">
        <v>21</v>
      </c>
    </row>
    <row r="9449" spans="1:7">
      <c r="A9449">
        <v>9448</v>
      </c>
      <c r="B9449" t="str">
        <f>"020050"</f>
        <v>0</v>
      </c>
      <c r="C9449" t="s">
        <v>14408</v>
      </c>
      <c r="D9449" t="s">
        <v>14409</v>
      </c>
      <c r="E9449" t="str">
        <f>"3900300666027"</f>
        <v>0</v>
      </c>
      <c r="F9449" t="str">
        <f>"001670"</f>
        <v>0</v>
      </c>
      <c r="G9449" t="s">
        <v>21</v>
      </c>
    </row>
    <row r="9450" spans="1:7">
      <c r="A9450">
        <v>9449</v>
      </c>
      <c r="B9450" t="str">
        <f>"020398"</f>
        <v>0</v>
      </c>
      <c r="C9450" t="s">
        <v>825</v>
      </c>
      <c r="D9450" t="s">
        <v>14410</v>
      </c>
      <c r="E9450" t="str">
        <f>"3749900071504"</f>
        <v>0</v>
      </c>
      <c r="F9450" t="str">
        <f>"001670"</f>
        <v>0</v>
      </c>
      <c r="G9450" t="s">
        <v>21</v>
      </c>
    </row>
    <row r="9451" spans="1:7">
      <c r="A9451">
        <v>9450</v>
      </c>
      <c r="B9451" t="str">
        <f>"020750"</f>
        <v>0</v>
      </c>
      <c r="C9451" t="s">
        <v>48</v>
      </c>
      <c r="D9451" t="s">
        <v>14411</v>
      </c>
      <c r="E9451" t="str">
        <f>"3800101013032"</f>
        <v>0</v>
      </c>
      <c r="F9451" t="str">
        <f>"001670"</f>
        <v>0</v>
      </c>
      <c r="G9451" t="s">
        <v>21</v>
      </c>
    </row>
    <row r="9452" spans="1:7">
      <c r="A9452">
        <v>9451</v>
      </c>
      <c r="B9452" t="str">
        <f>"021092"</f>
        <v>0</v>
      </c>
      <c r="C9452" t="s">
        <v>7554</v>
      </c>
      <c r="D9452" t="s">
        <v>14412</v>
      </c>
      <c r="E9452" t="str">
        <f>"3900900577807"</f>
        <v>0</v>
      </c>
      <c r="F9452" t="str">
        <f>"001670"</f>
        <v>0</v>
      </c>
      <c r="G9452" t="s">
        <v>21</v>
      </c>
    </row>
    <row r="9453" spans="1:7">
      <c r="A9453">
        <v>9452</v>
      </c>
      <c r="B9453" t="str">
        <f>"021816"</f>
        <v>0</v>
      </c>
      <c r="C9453" t="s">
        <v>14413</v>
      </c>
      <c r="D9453" t="s">
        <v>14414</v>
      </c>
      <c r="E9453" t="str">
        <f>"3901100293368"</f>
        <v>0</v>
      </c>
      <c r="F9453" t="str">
        <f>"001670"</f>
        <v>0</v>
      </c>
      <c r="G9453" t="s">
        <v>21</v>
      </c>
    </row>
    <row r="9454" spans="1:7">
      <c r="A9454">
        <v>9453</v>
      </c>
      <c r="B9454" t="str">
        <f>"022370"</f>
        <v>0</v>
      </c>
      <c r="C9454" t="s">
        <v>14415</v>
      </c>
      <c r="D9454" t="s">
        <v>14416</v>
      </c>
      <c r="E9454" t="str">
        <f>"3920300161065"</f>
        <v>0</v>
      </c>
      <c r="F9454" t="str">
        <f>"001670"</f>
        <v>0</v>
      </c>
      <c r="G9454" t="s">
        <v>21</v>
      </c>
    </row>
    <row r="9455" spans="1:7">
      <c r="A9455">
        <v>9454</v>
      </c>
      <c r="B9455" t="str">
        <f>"023124"</f>
        <v>0</v>
      </c>
      <c r="C9455" t="s">
        <v>14417</v>
      </c>
      <c r="D9455" t="s">
        <v>3882</v>
      </c>
      <c r="E9455" t="str">
        <f>"3919900072932"</f>
        <v>0</v>
      </c>
      <c r="F9455" t="str">
        <f>"001670"</f>
        <v>0</v>
      </c>
      <c r="G9455" t="s">
        <v>21</v>
      </c>
    </row>
    <row r="9456" spans="1:7">
      <c r="A9456">
        <v>9455</v>
      </c>
      <c r="B9456" t="str">
        <f>"023716"</f>
        <v>0</v>
      </c>
      <c r="C9456" t="s">
        <v>5236</v>
      </c>
      <c r="D9456" t="s">
        <v>14418</v>
      </c>
      <c r="E9456" t="str">
        <f>"3901100758328"</f>
        <v>0</v>
      </c>
      <c r="F9456" t="str">
        <f>"001670"</f>
        <v>0</v>
      </c>
      <c r="G9456" t="s">
        <v>21</v>
      </c>
    </row>
    <row r="9457" spans="1:7">
      <c r="A9457">
        <v>9456</v>
      </c>
      <c r="B9457" t="str">
        <f>"024084"</f>
        <v>0</v>
      </c>
      <c r="C9457" t="s">
        <v>14419</v>
      </c>
      <c r="D9457" t="s">
        <v>14420</v>
      </c>
      <c r="E9457" t="str">
        <f>"1909800112774"</f>
        <v>0</v>
      </c>
      <c r="F9457" t="str">
        <f>"001670"</f>
        <v>0</v>
      </c>
      <c r="G9457" t="s">
        <v>21</v>
      </c>
    </row>
    <row r="9458" spans="1:7">
      <c r="A9458">
        <v>9457</v>
      </c>
      <c r="B9458" t="str">
        <f>"026249"</f>
        <v>0</v>
      </c>
      <c r="C9458" t="s">
        <v>14421</v>
      </c>
      <c r="D9458" t="s">
        <v>14422</v>
      </c>
      <c r="E9458" t="str">
        <f>"1909800627006"</f>
        <v>0</v>
      </c>
      <c r="F9458" t="str">
        <f>"001670"</f>
        <v>0</v>
      </c>
      <c r="G9458" t="s">
        <v>21</v>
      </c>
    </row>
    <row r="9459" spans="1:7">
      <c r="A9459">
        <v>9458</v>
      </c>
      <c r="B9459" t="str">
        <f>"026658"</f>
        <v>0</v>
      </c>
      <c r="C9459" t="s">
        <v>14423</v>
      </c>
      <c r="D9459" t="s">
        <v>14424</v>
      </c>
      <c r="E9459" t="str">
        <f>"3930500835426"</f>
        <v>0</v>
      </c>
      <c r="F9459" t="str">
        <f>"001670"</f>
        <v>0</v>
      </c>
      <c r="G9459" t="s">
        <v>21</v>
      </c>
    </row>
    <row r="9460" spans="1:7">
      <c r="A9460">
        <v>9459</v>
      </c>
      <c r="B9460" t="str">
        <f>"027403"</f>
        <v>0</v>
      </c>
      <c r="C9460" t="s">
        <v>4018</v>
      </c>
      <c r="D9460" t="s">
        <v>14425</v>
      </c>
      <c r="E9460" t="str">
        <f>"1839900310706"</f>
        <v>0</v>
      </c>
      <c r="F9460" t="str">
        <f>"001670"</f>
        <v>0</v>
      </c>
      <c r="G9460" t="s">
        <v>21</v>
      </c>
    </row>
    <row r="9461" spans="1:7">
      <c r="A9461">
        <v>9460</v>
      </c>
      <c r="B9461" t="str">
        <f>"016254"</f>
        <v>0</v>
      </c>
      <c r="C9461" t="s">
        <v>2655</v>
      </c>
      <c r="D9461" t="s">
        <v>6093</v>
      </c>
      <c r="E9461" t="str">
        <f>"3900700746044"</f>
        <v>0</v>
      </c>
      <c r="F9461" t="str">
        <f>"001670"</f>
        <v>0</v>
      </c>
      <c r="G9461" t="s">
        <v>21</v>
      </c>
    </row>
    <row r="9462" spans="1:7">
      <c r="A9462">
        <v>9461</v>
      </c>
      <c r="B9462" t="str">
        <f>"007883"</f>
        <v>0</v>
      </c>
      <c r="C9462" t="s">
        <v>14426</v>
      </c>
      <c r="D9462" t="s">
        <v>6085</v>
      </c>
      <c r="E9462" t="str">
        <f>"3909700024349"</f>
        <v>0</v>
      </c>
      <c r="F9462" t="str">
        <f>"001670"</f>
        <v>0</v>
      </c>
      <c r="G9462" t="s">
        <v>21</v>
      </c>
    </row>
    <row r="9463" spans="1:7">
      <c r="A9463">
        <v>9462</v>
      </c>
      <c r="B9463" t="str">
        <f>"020709"</f>
        <v>0</v>
      </c>
      <c r="C9463" t="s">
        <v>9370</v>
      </c>
      <c r="D9463" t="s">
        <v>14427</v>
      </c>
      <c r="E9463" t="str">
        <f>"3969900182223"</f>
        <v>0</v>
      </c>
      <c r="F9463" t="str">
        <f>"001670"</f>
        <v>0</v>
      </c>
      <c r="G9463" t="s">
        <v>21</v>
      </c>
    </row>
    <row r="9464" spans="1:7">
      <c r="A9464">
        <v>9463</v>
      </c>
      <c r="B9464" t="str">
        <f>"025057"</f>
        <v>0</v>
      </c>
      <c r="C9464" t="s">
        <v>14428</v>
      </c>
      <c r="D9464" t="s">
        <v>14429</v>
      </c>
      <c r="E9464" t="str">
        <f>"3901000262053"</f>
        <v>0</v>
      </c>
      <c r="F9464" t="str">
        <f>"001670"</f>
        <v>0</v>
      </c>
      <c r="G9464" t="s">
        <v>21</v>
      </c>
    </row>
    <row r="9465" spans="1:7">
      <c r="A9465">
        <v>9464</v>
      </c>
      <c r="B9465" t="str">
        <f>"018446"</f>
        <v>0</v>
      </c>
      <c r="C9465" t="s">
        <v>14430</v>
      </c>
      <c r="D9465" t="s">
        <v>10736</v>
      </c>
      <c r="E9465" t="str">
        <f>"3900101169945"</f>
        <v>0</v>
      </c>
      <c r="F9465" t="str">
        <f>"001670"</f>
        <v>0</v>
      </c>
      <c r="G9465" t="s">
        <v>21</v>
      </c>
    </row>
    <row r="9466" spans="1:7">
      <c r="A9466">
        <v>9465</v>
      </c>
      <c r="B9466" t="str">
        <f>"021093"</f>
        <v>0</v>
      </c>
      <c r="C9466" t="s">
        <v>142</v>
      </c>
      <c r="D9466" t="s">
        <v>4326</v>
      </c>
      <c r="E9466" t="str">
        <f>"3901101199055"</f>
        <v>0</v>
      </c>
      <c r="F9466" t="str">
        <f>"001670"</f>
        <v>0</v>
      </c>
      <c r="G9466" t="s">
        <v>21</v>
      </c>
    </row>
    <row r="9467" spans="1:7">
      <c r="A9467">
        <v>9466</v>
      </c>
      <c r="B9467" t="str">
        <f>"024991"</f>
        <v>0</v>
      </c>
      <c r="C9467" t="s">
        <v>14431</v>
      </c>
      <c r="D9467" t="s">
        <v>14432</v>
      </c>
      <c r="E9467" t="str">
        <f>"1959900111141"</f>
        <v>0</v>
      </c>
      <c r="F9467" t="str">
        <f>"001670"</f>
        <v>0</v>
      </c>
      <c r="G9467" t="s">
        <v>21</v>
      </c>
    </row>
    <row r="9468" spans="1:7">
      <c r="A9468">
        <v>9467</v>
      </c>
      <c r="B9468" t="str">
        <f>"026428"</f>
        <v>0</v>
      </c>
      <c r="C9468" t="s">
        <v>11490</v>
      </c>
      <c r="D9468" t="s">
        <v>14433</v>
      </c>
      <c r="E9468" t="str">
        <f>"1939900182545"</f>
        <v>0</v>
      </c>
      <c r="F9468" t="str">
        <f>"001670"</f>
        <v>0</v>
      </c>
      <c r="G9468" t="s">
        <v>21</v>
      </c>
    </row>
    <row r="9469" spans="1:7">
      <c r="A9469">
        <v>9468</v>
      </c>
      <c r="B9469" t="str">
        <f>"016217"</f>
        <v>0</v>
      </c>
      <c r="C9469" t="s">
        <v>3913</v>
      </c>
      <c r="D9469" t="s">
        <v>9169</v>
      </c>
      <c r="E9469" t="str">
        <f>"3900100156271"</f>
        <v>0</v>
      </c>
      <c r="F9469" t="str">
        <f>"001670"</f>
        <v>0</v>
      </c>
      <c r="G9469" t="s">
        <v>21</v>
      </c>
    </row>
    <row r="9470" spans="1:7">
      <c r="A9470">
        <v>9469</v>
      </c>
      <c r="B9470" t="str">
        <f>"027531"</f>
        <v>0</v>
      </c>
      <c r="C9470" t="s">
        <v>1200</v>
      </c>
      <c r="D9470" t="s">
        <v>14434</v>
      </c>
      <c r="E9470" t="str">
        <f>"1909800656308"</f>
        <v>0</v>
      </c>
      <c r="F9470" t="str">
        <f>"001670"</f>
        <v>0</v>
      </c>
      <c r="G9470" t="s">
        <v>21</v>
      </c>
    </row>
    <row r="9471" spans="1:7">
      <c r="A9471">
        <v>9470</v>
      </c>
      <c r="B9471" t="str">
        <f>"001553"</f>
        <v>0</v>
      </c>
      <c r="C9471" t="s">
        <v>4225</v>
      </c>
      <c r="D9471" t="s">
        <v>14435</v>
      </c>
      <c r="E9471" t="str">
        <f>"3939900147436"</f>
        <v>0</v>
      </c>
      <c r="F9471" t="str">
        <f>"001690"</f>
        <v>0</v>
      </c>
      <c r="G9471" t="s">
        <v>21</v>
      </c>
    </row>
    <row r="9472" spans="1:7">
      <c r="A9472">
        <v>9471</v>
      </c>
      <c r="B9472" t="str">
        <f>"002982"</f>
        <v>0</v>
      </c>
      <c r="C9472" t="s">
        <v>1260</v>
      </c>
      <c r="D9472" t="s">
        <v>14436</v>
      </c>
      <c r="E9472" t="str">
        <f>"5910199004831"</f>
        <v>0</v>
      </c>
      <c r="F9472" t="str">
        <f>"001690"</f>
        <v>0</v>
      </c>
      <c r="G9472" t="s">
        <v>21</v>
      </c>
    </row>
    <row r="9473" spans="1:7">
      <c r="A9473">
        <v>9472</v>
      </c>
      <c r="B9473" t="str">
        <f>"004858"</f>
        <v>0</v>
      </c>
      <c r="C9473" t="s">
        <v>239</v>
      </c>
      <c r="D9473" t="s">
        <v>14437</v>
      </c>
      <c r="E9473" t="str">
        <f>"3919900020894"</f>
        <v>0</v>
      </c>
      <c r="F9473" t="str">
        <f>"001690"</f>
        <v>0</v>
      </c>
      <c r="G9473" t="s">
        <v>21</v>
      </c>
    </row>
    <row r="9474" spans="1:7">
      <c r="A9474">
        <v>9473</v>
      </c>
      <c r="B9474" t="str">
        <f>"005202"</f>
        <v>0</v>
      </c>
      <c r="C9474" t="s">
        <v>10728</v>
      </c>
      <c r="D9474" t="s">
        <v>6339</v>
      </c>
      <c r="E9474" t="str">
        <f>"3919900156664"</f>
        <v>0</v>
      </c>
      <c r="F9474" t="str">
        <f>"001690"</f>
        <v>0</v>
      </c>
      <c r="G9474" t="s">
        <v>21</v>
      </c>
    </row>
    <row r="9475" spans="1:7">
      <c r="A9475">
        <v>9474</v>
      </c>
      <c r="B9475" t="str">
        <f>"006943"</f>
        <v>0</v>
      </c>
      <c r="C9475" t="s">
        <v>14438</v>
      </c>
      <c r="D9475" t="s">
        <v>6339</v>
      </c>
      <c r="E9475" t="str">
        <f>"3919900156630"</f>
        <v>0</v>
      </c>
      <c r="F9475" t="str">
        <f>"001690"</f>
        <v>0</v>
      </c>
      <c r="G9475" t="s">
        <v>21</v>
      </c>
    </row>
    <row r="9476" spans="1:7">
      <c r="A9476">
        <v>9475</v>
      </c>
      <c r="B9476" t="str">
        <f>"007380"</f>
        <v>0</v>
      </c>
      <c r="C9476" t="s">
        <v>1880</v>
      </c>
      <c r="D9476" t="s">
        <v>10558</v>
      </c>
      <c r="E9476" t="str">
        <f>"3900700061505"</f>
        <v>0</v>
      </c>
      <c r="F9476" t="str">
        <f>"001690"</f>
        <v>0</v>
      </c>
      <c r="G9476" t="s">
        <v>21</v>
      </c>
    </row>
    <row r="9477" spans="1:7">
      <c r="A9477">
        <v>9476</v>
      </c>
      <c r="B9477" t="str">
        <f>"007881"</f>
        <v>0</v>
      </c>
      <c r="C9477" t="s">
        <v>470</v>
      </c>
      <c r="D9477" t="s">
        <v>1932</v>
      </c>
      <c r="E9477" t="str">
        <f>"3919900042685"</f>
        <v>0</v>
      </c>
      <c r="F9477" t="str">
        <f>"001690"</f>
        <v>0</v>
      </c>
      <c r="G9477" t="s">
        <v>21</v>
      </c>
    </row>
    <row r="9478" spans="1:7">
      <c r="A9478">
        <v>9477</v>
      </c>
      <c r="B9478" t="str">
        <f>"007980"</f>
        <v>0</v>
      </c>
      <c r="C9478" t="s">
        <v>590</v>
      </c>
      <c r="D9478" t="s">
        <v>14439</v>
      </c>
      <c r="E9478" t="str">
        <f>"4929900001243"</f>
        <v>0</v>
      </c>
      <c r="F9478" t="str">
        <f>"001690"</f>
        <v>0</v>
      </c>
      <c r="G9478" t="s">
        <v>21</v>
      </c>
    </row>
    <row r="9479" spans="1:7">
      <c r="A9479">
        <v>9478</v>
      </c>
      <c r="B9479" t="str">
        <f>"010032"</f>
        <v>0</v>
      </c>
      <c r="C9479" t="s">
        <v>6526</v>
      </c>
      <c r="D9479" t="s">
        <v>14440</v>
      </c>
      <c r="E9479" t="str">
        <f>"5910200001186"</f>
        <v>0</v>
      </c>
      <c r="F9479" t="str">
        <f>"001690"</f>
        <v>0</v>
      </c>
      <c r="G9479" t="s">
        <v>21</v>
      </c>
    </row>
    <row r="9480" spans="1:7">
      <c r="A9480">
        <v>9479</v>
      </c>
      <c r="B9480" t="str">
        <f>"010921"</f>
        <v>0</v>
      </c>
      <c r="C9480" t="s">
        <v>701</v>
      </c>
      <c r="D9480" t="s">
        <v>14441</v>
      </c>
      <c r="E9480" t="str">
        <f>"3930600026643"</f>
        <v>0</v>
      </c>
      <c r="F9480" t="str">
        <f>"001690"</f>
        <v>0</v>
      </c>
      <c r="G9480" t="s">
        <v>21</v>
      </c>
    </row>
    <row r="9481" spans="1:7">
      <c r="A9481">
        <v>9480</v>
      </c>
      <c r="B9481" t="str">
        <f>"011799"</f>
        <v>0</v>
      </c>
      <c r="C9481" t="s">
        <v>114</v>
      </c>
      <c r="D9481" t="s">
        <v>14442</v>
      </c>
      <c r="E9481" t="str">
        <f>"3910200006173"</f>
        <v>0</v>
      </c>
      <c r="F9481" t="str">
        <f>"001690"</f>
        <v>0</v>
      </c>
      <c r="G9481" t="s">
        <v>21</v>
      </c>
    </row>
    <row r="9482" spans="1:7">
      <c r="A9482">
        <v>9481</v>
      </c>
      <c r="B9482" t="str">
        <f>"013104"</f>
        <v>0</v>
      </c>
      <c r="C9482" t="s">
        <v>193</v>
      </c>
      <c r="D9482" t="s">
        <v>14441</v>
      </c>
      <c r="E9482" t="str">
        <f>"3930600009358"</f>
        <v>0</v>
      </c>
      <c r="F9482" t="str">
        <f>"001690"</f>
        <v>0</v>
      </c>
      <c r="G9482" t="s">
        <v>21</v>
      </c>
    </row>
    <row r="9483" spans="1:7">
      <c r="A9483">
        <v>9482</v>
      </c>
      <c r="B9483" t="str">
        <f>"014256"</f>
        <v>0</v>
      </c>
      <c r="C9483" t="s">
        <v>14443</v>
      </c>
      <c r="D9483" t="s">
        <v>14444</v>
      </c>
      <c r="E9483" t="str">
        <f>"3910500135572"</f>
        <v>0</v>
      </c>
      <c r="F9483" t="str">
        <f>"001690"</f>
        <v>0</v>
      </c>
      <c r="G9483" t="s">
        <v>21</v>
      </c>
    </row>
    <row r="9484" spans="1:7">
      <c r="A9484">
        <v>9483</v>
      </c>
      <c r="B9484" t="str">
        <f>"014308"</f>
        <v>0</v>
      </c>
      <c r="C9484" t="s">
        <v>14445</v>
      </c>
      <c r="D9484" t="s">
        <v>14446</v>
      </c>
      <c r="E9484" t="str">
        <f>"3910300123708"</f>
        <v>0</v>
      </c>
      <c r="F9484" t="str">
        <f>"001690"</f>
        <v>0</v>
      </c>
      <c r="G9484" t="s">
        <v>21</v>
      </c>
    </row>
    <row r="9485" spans="1:7">
      <c r="A9485">
        <v>9484</v>
      </c>
      <c r="B9485" t="str">
        <f>"015156"</f>
        <v>0</v>
      </c>
      <c r="C9485" t="s">
        <v>14447</v>
      </c>
      <c r="D9485" t="s">
        <v>14448</v>
      </c>
      <c r="E9485" t="str">
        <f>"3910600025175"</f>
        <v>0</v>
      </c>
      <c r="F9485" t="str">
        <f>"001690"</f>
        <v>0</v>
      </c>
      <c r="G9485" t="s">
        <v>21</v>
      </c>
    </row>
    <row r="9486" spans="1:7">
      <c r="A9486">
        <v>9485</v>
      </c>
      <c r="B9486" t="str">
        <f>"016028"</f>
        <v>0</v>
      </c>
      <c r="C9486" t="s">
        <v>14449</v>
      </c>
      <c r="D9486" t="s">
        <v>14450</v>
      </c>
      <c r="E9486" t="str">
        <f>"3810100726442"</f>
        <v>0</v>
      </c>
      <c r="F9486" t="str">
        <f>"001690"</f>
        <v>0</v>
      </c>
      <c r="G9486" t="s">
        <v>21</v>
      </c>
    </row>
    <row r="9487" spans="1:7">
      <c r="A9487">
        <v>9486</v>
      </c>
      <c r="B9487" t="str">
        <f>"018034"</f>
        <v>0</v>
      </c>
      <c r="C9487" t="s">
        <v>7862</v>
      </c>
      <c r="D9487" t="s">
        <v>1026</v>
      </c>
      <c r="E9487" t="str">
        <f>"3240500323618"</f>
        <v>0</v>
      </c>
      <c r="F9487" t="str">
        <f>"001690"</f>
        <v>0</v>
      </c>
      <c r="G9487" t="s">
        <v>21</v>
      </c>
    </row>
    <row r="9488" spans="1:7">
      <c r="A9488">
        <v>9487</v>
      </c>
      <c r="B9488" t="str">
        <f>"022500"</f>
        <v>0</v>
      </c>
      <c r="C9488" t="s">
        <v>14451</v>
      </c>
      <c r="D9488" t="s">
        <v>14452</v>
      </c>
      <c r="E9488" t="str">
        <f>"3919900156583"</f>
        <v>0</v>
      </c>
      <c r="F9488" t="str">
        <f>"001690"</f>
        <v>0</v>
      </c>
      <c r="G9488" t="s">
        <v>21</v>
      </c>
    </row>
    <row r="9489" spans="1:7">
      <c r="A9489">
        <v>9488</v>
      </c>
      <c r="B9489" t="str">
        <f>"002367"</f>
        <v>0</v>
      </c>
      <c r="C9489" t="s">
        <v>7140</v>
      </c>
      <c r="D9489" t="s">
        <v>14452</v>
      </c>
      <c r="E9489" t="str">
        <f>"3919900156613"</f>
        <v>0</v>
      </c>
      <c r="F9489" t="str">
        <f>"001690"</f>
        <v>0</v>
      </c>
      <c r="G9489" t="s">
        <v>21</v>
      </c>
    </row>
    <row r="9490" spans="1:7">
      <c r="A9490">
        <v>9489</v>
      </c>
      <c r="B9490" t="str">
        <f>"027005"</f>
        <v>0</v>
      </c>
      <c r="C9490" t="s">
        <v>3095</v>
      </c>
      <c r="D9490" t="s">
        <v>14453</v>
      </c>
      <c r="E9490" t="str">
        <f>"1100501122505"</f>
        <v>0</v>
      </c>
      <c r="F9490" t="str">
        <f>"001690"</f>
        <v>0</v>
      </c>
      <c r="G9490" t="s">
        <v>21</v>
      </c>
    </row>
    <row r="9491" spans="1:7">
      <c r="A9491">
        <v>9490</v>
      </c>
      <c r="B9491" t="str">
        <f>"025118"</f>
        <v>0</v>
      </c>
      <c r="C9491" t="s">
        <v>14454</v>
      </c>
      <c r="D9491" t="s">
        <v>14455</v>
      </c>
      <c r="E9491" t="str">
        <f>"3801300111493"</f>
        <v>0</v>
      </c>
      <c r="F9491" t="str">
        <f>"001690"</f>
        <v>0</v>
      </c>
      <c r="G9491" t="s">
        <v>21</v>
      </c>
    </row>
    <row r="9492" spans="1:7">
      <c r="A9492">
        <v>9491</v>
      </c>
      <c r="B9492" t="str">
        <f>"026415"</f>
        <v>0</v>
      </c>
      <c r="C9492" t="s">
        <v>14456</v>
      </c>
      <c r="D9492" t="s">
        <v>7289</v>
      </c>
      <c r="E9492" t="str">
        <f>"1809900160976"</f>
        <v>0</v>
      </c>
      <c r="F9492" t="str">
        <f>"001690"</f>
        <v>0</v>
      </c>
      <c r="G9492" t="s">
        <v>21</v>
      </c>
    </row>
    <row r="9493" spans="1:7">
      <c r="A9493">
        <v>9492</v>
      </c>
      <c r="B9493" t="str">
        <f>"011136"</f>
        <v>0</v>
      </c>
      <c r="C9493" t="s">
        <v>14170</v>
      </c>
      <c r="D9493" t="s">
        <v>14457</v>
      </c>
      <c r="E9493" t="str">
        <f>"3909800621829"</f>
        <v>0</v>
      </c>
      <c r="F9493" t="str">
        <f>"001690"</f>
        <v>0</v>
      </c>
      <c r="G9493" t="s">
        <v>21</v>
      </c>
    </row>
    <row r="9494" spans="1:7">
      <c r="A9494">
        <v>9493</v>
      </c>
      <c r="B9494" t="str">
        <f>"015182"</f>
        <v>0</v>
      </c>
      <c r="C9494" t="s">
        <v>2558</v>
      </c>
      <c r="D9494" t="s">
        <v>2926</v>
      </c>
      <c r="E9494" t="str">
        <f>"3900900212833"</f>
        <v>0</v>
      </c>
      <c r="F9494" t="str">
        <f>"001690"</f>
        <v>0</v>
      </c>
      <c r="G9494" t="s">
        <v>21</v>
      </c>
    </row>
    <row r="9495" spans="1:7">
      <c r="A9495">
        <v>9494</v>
      </c>
      <c r="B9495" t="str">
        <f>"016174"</f>
        <v>0</v>
      </c>
      <c r="C9495" t="s">
        <v>14458</v>
      </c>
      <c r="D9495" t="s">
        <v>14459</v>
      </c>
      <c r="E9495" t="str">
        <f>"3900900497854"</f>
        <v>0</v>
      </c>
      <c r="F9495" t="str">
        <f>"001690"</f>
        <v>0</v>
      </c>
      <c r="G9495" t="s">
        <v>21</v>
      </c>
    </row>
    <row r="9496" spans="1:7">
      <c r="A9496">
        <v>9495</v>
      </c>
      <c r="B9496" t="str">
        <f>"020737"</f>
        <v>0</v>
      </c>
      <c r="C9496" t="s">
        <v>14460</v>
      </c>
      <c r="D9496" t="s">
        <v>9846</v>
      </c>
      <c r="E9496" t="str">
        <f>"3901100138672"</f>
        <v>0</v>
      </c>
      <c r="F9496" t="str">
        <f>"001690"</f>
        <v>0</v>
      </c>
      <c r="G9496" t="s">
        <v>21</v>
      </c>
    </row>
    <row r="9497" spans="1:7">
      <c r="A9497">
        <v>9496</v>
      </c>
      <c r="B9497" t="str">
        <f>"020895"</f>
        <v>0</v>
      </c>
      <c r="C9497" t="s">
        <v>14461</v>
      </c>
      <c r="D9497" t="s">
        <v>14462</v>
      </c>
      <c r="E9497" t="str">
        <f>"3900900388885"</f>
        <v>0</v>
      </c>
      <c r="F9497" t="str">
        <f>"001690"</f>
        <v>0</v>
      </c>
      <c r="G9497" t="s">
        <v>21</v>
      </c>
    </row>
    <row r="9498" spans="1:7">
      <c r="A9498">
        <v>9497</v>
      </c>
      <c r="B9498" t="str">
        <f>"021241"</f>
        <v>0</v>
      </c>
      <c r="C9498" t="s">
        <v>14426</v>
      </c>
      <c r="D9498" t="s">
        <v>2074</v>
      </c>
      <c r="E9498" t="str">
        <f>"3901000084368"</f>
        <v>0</v>
      </c>
      <c r="F9498" t="str">
        <f>"001690"</f>
        <v>0</v>
      </c>
      <c r="G9498" t="s">
        <v>21</v>
      </c>
    </row>
    <row r="9499" spans="1:7">
      <c r="A9499">
        <v>9498</v>
      </c>
      <c r="B9499" t="str">
        <f>"021332"</f>
        <v>0</v>
      </c>
      <c r="C9499" t="s">
        <v>10749</v>
      </c>
      <c r="D9499" t="s">
        <v>14463</v>
      </c>
      <c r="E9499" t="str">
        <f>"3909800784434"</f>
        <v>0</v>
      </c>
      <c r="F9499" t="str">
        <f>"001690"</f>
        <v>0</v>
      </c>
      <c r="G9499" t="s">
        <v>21</v>
      </c>
    </row>
    <row r="9500" spans="1:7">
      <c r="A9500">
        <v>9499</v>
      </c>
      <c r="B9500" t="str">
        <f>"021713"</f>
        <v>0</v>
      </c>
      <c r="C9500" t="s">
        <v>8663</v>
      </c>
      <c r="D9500" t="s">
        <v>14464</v>
      </c>
      <c r="E9500" t="str">
        <f>"3801100199656"</f>
        <v>0</v>
      </c>
      <c r="F9500" t="str">
        <f>"001690"</f>
        <v>0</v>
      </c>
      <c r="G9500" t="s">
        <v>21</v>
      </c>
    </row>
    <row r="9501" spans="1:7">
      <c r="A9501">
        <v>9500</v>
      </c>
      <c r="B9501" t="str">
        <f>"022095"</f>
        <v>0</v>
      </c>
      <c r="C9501" t="s">
        <v>3924</v>
      </c>
      <c r="D9501" t="s">
        <v>14465</v>
      </c>
      <c r="E9501" t="str">
        <f>"3900100042178"</f>
        <v>0</v>
      </c>
      <c r="F9501" t="str">
        <f>"001690"</f>
        <v>0</v>
      </c>
      <c r="G9501" t="s">
        <v>21</v>
      </c>
    </row>
    <row r="9502" spans="1:7">
      <c r="A9502">
        <v>9501</v>
      </c>
      <c r="B9502" t="str">
        <f>"026224"</f>
        <v>0</v>
      </c>
      <c r="C9502" t="s">
        <v>5845</v>
      </c>
      <c r="D9502" t="s">
        <v>14466</v>
      </c>
      <c r="E9502" t="str">
        <f>"1939900138848"</f>
        <v>0</v>
      </c>
      <c r="F9502" t="str">
        <f>"001690"</f>
        <v>0</v>
      </c>
      <c r="G9502" t="s">
        <v>21</v>
      </c>
    </row>
    <row r="9503" spans="1:7">
      <c r="A9503">
        <v>9502</v>
      </c>
      <c r="B9503" t="str">
        <f>"027214"</f>
        <v>0</v>
      </c>
      <c r="C9503" t="s">
        <v>14467</v>
      </c>
      <c r="D9503" t="s">
        <v>14468</v>
      </c>
      <c r="E9503" t="str">
        <f>"1909800281525"</f>
        <v>0</v>
      </c>
      <c r="F9503" t="str">
        <f>"001690"</f>
        <v>0</v>
      </c>
      <c r="G9503" t="s">
        <v>21</v>
      </c>
    </row>
    <row r="9504" spans="1:7">
      <c r="A9504">
        <v>9503</v>
      </c>
      <c r="B9504" t="str">
        <f>"011628"</f>
        <v>0</v>
      </c>
      <c r="C9504" t="s">
        <v>173</v>
      </c>
      <c r="D9504" t="s">
        <v>14469</v>
      </c>
      <c r="E9504" t="str">
        <f>"3860100977950"</f>
        <v>0</v>
      </c>
      <c r="F9504" t="str">
        <f>"001690"</f>
        <v>0</v>
      </c>
      <c r="G9504" t="s">
        <v>21</v>
      </c>
    </row>
    <row r="9505" spans="1:7">
      <c r="A9505">
        <v>9504</v>
      </c>
      <c r="B9505" t="str">
        <f>"015175"</f>
        <v>0</v>
      </c>
      <c r="C9505" t="s">
        <v>342</v>
      </c>
      <c r="D9505" t="s">
        <v>14470</v>
      </c>
      <c r="E9505" t="str">
        <f>"4860100006359"</f>
        <v>0</v>
      </c>
      <c r="F9505" t="str">
        <f>"001690"</f>
        <v>0</v>
      </c>
      <c r="G9505" t="s">
        <v>21</v>
      </c>
    </row>
    <row r="9506" spans="1:7">
      <c r="A9506">
        <v>9505</v>
      </c>
      <c r="B9506" t="str">
        <f>"016884"</f>
        <v>0</v>
      </c>
      <c r="C9506" t="s">
        <v>9562</v>
      </c>
      <c r="D9506" t="s">
        <v>14440</v>
      </c>
      <c r="E9506" t="str">
        <f>"3900800158438"</f>
        <v>0</v>
      </c>
      <c r="F9506" t="str">
        <f>"001690"</f>
        <v>0</v>
      </c>
      <c r="G9506" t="s">
        <v>21</v>
      </c>
    </row>
    <row r="9507" spans="1:7">
      <c r="A9507">
        <v>9506</v>
      </c>
      <c r="B9507" t="str">
        <f>"018584"</f>
        <v>0</v>
      </c>
      <c r="C9507" t="s">
        <v>2239</v>
      </c>
      <c r="D9507" t="s">
        <v>14470</v>
      </c>
      <c r="E9507" t="str">
        <f>"3910500129343"</f>
        <v>0</v>
      </c>
      <c r="F9507" t="str">
        <f>"001690"</f>
        <v>0</v>
      </c>
      <c r="G9507" t="s">
        <v>21</v>
      </c>
    </row>
    <row r="9508" spans="1:7">
      <c r="A9508">
        <v>9507</v>
      </c>
      <c r="B9508" t="str">
        <f>"020004"</f>
        <v>0</v>
      </c>
      <c r="C9508" t="s">
        <v>14471</v>
      </c>
      <c r="D9508" t="s">
        <v>14472</v>
      </c>
      <c r="E9508" t="str">
        <f>"3820400100662"</f>
        <v>0</v>
      </c>
      <c r="F9508" t="str">
        <f>"001690"</f>
        <v>0</v>
      </c>
      <c r="G9508" t="s">
        <v>21</v>
      </c>
    </row>
    <row r="9509" spans="1:7">
      <c r="A9509">
        <v>9508</v>
      </c>
      <c r="B9509" t="str">
        <f>"020173"</f>
        <v>0</v>
      </c>
      <c r="C9509" t="s">
        <v>102</v>
      </c>
      <c r="D9509" t="s">
        <v>14473</v>
      </c>
      <c r="E9509" t="str">
        <f>"3910100052882"</f>
        <v>0</v>
      </c>
      <c r="F9509" t="str">
        <f>"001690"</f>
        <v>0</v>
      </c>
      <c r="G9509" t="s">
        <v>21</v>
      </c>
    </row>
    <row r="9510" spans="1:7">
      <c r="A9510">
        <v>9509</v>
      </c>
      <c r="B9510" t="str">
        <f>"020627"</f>
        <v>0</v>
      </c>
      <c r="C9510" t="s">
        <v>14474</v>
      </c>
      <c r="D9510" t="s">
        <v>716</v>
      </c>
      <c r="E9510" t="str">
        <f>"3940200035076"</f>
        <v>0</v>
      </c>
      <c r="F9510" t="str">
        <f>"001690"</f>
        <v>0</v>
      </c>
      <c r="G9510" t="s">
        <v>21</v>
      </c>
    </row>
    <row r="9511" spans="1:7">
      <c r="A9511">
        <v>9510</v>
      </c>
      <c r="B9511" t="str">
        <f>"020757"</f>
        <v>0</v>
      </c>
      <c r="C9511" t="s">
        <v>14475</v>
      </c>
      <c r="D9511" t="s">
        <v>14476</v>
      </c>
      <c r="E9511" t="str">
        <f>"3910500119607"</f>
        <v>0</v>
      </c>
      <c r="F9511" t="str">
        <f>"001690"</f>
        <v>0</v>
      </c>
      <c r="G9511" t="s">
        <v>21</v>
      </c>
    </row>
    <row r="9512" spans="1:7">
      <c r="A9512">
        <v>9511</v>
      </c>
      <c r="B9512" t="str">
        <f>"021746"</f>
        <v>0</v>
      </c>
      <c r="C9512" t="s">
        <v>14477</v>
      </c>
      <c r="D9512" t="s">
        <v>14478</v>
      </c>
      <c r="E9512" t="str">
        <f>"1960200012959"</f>
        <v>0</v>
      </c>
      <c r="F9512" t="str">
        <f>"001690"</f>
        <v>0</v>
      </c>
      <c r="G9512" t="s">
        <v>21</v>
      </c>
    </row>
    <row r="9513" spans="1:7">
      <c r="A9513">
        <v>9512</v>
      </c>
      <c r="B9513" t="str">
        <f>"022287"</f>
        <v>0</v>
      </c>
      <c r="C9513" t="s">
        <v>14479</v>
      </c>
      <c r="D9513" t="s">
        <v>14480</v>
      </c>
      <c r="E9513" t="str">
        <f>"3800901143291"</f>
        <v>0</v>
      </c>
      <c r="F9513" t="str">
        <f>"001690"</f>
        <v>0</v>
      </c>
      <c r="G9513" t="s">
        <v>21</v>
      </c>
    </row>
    <row r="9514" spans="1:7">
      <c r="A9514">
        <v>9513</v>
      </c>
      <c r="B9514" t="str">
        <f>"023038"</f>
        <v>0</v>
      </c>
      <c r="C9514" t="s">
        <v>1402</v>
      </c>
      <c r="D9514" t="s">
        <v>14481</v>
      </c>
      <c r="E9514" t="str">
        <f>"3910100040914"</f>
        <v>0</v>
      </c>
      <c r="F9514" t="str">
        <f>"001690"</f>
        <v>0</v>
      </c>
      <c r="G9514" t="s">
        <v>21</v>
      </c>
    </row>
    <row r="9515" spans="1:7">
      <c r="A9515">
        <v>9514</v>
      </c>
      <c r="B9515" t="str">
        <f>"023689"</f>
        <v>0</v>
      </c>
      <c r="C9515" t="s">
        <v>636</v>
      </c>
      <c r="D9515" t="s">
        <v>14482</v>
      </c>
      <c r="E9515" t="str">
        <f>"3910300001521"</f>
        <v>0</v>
      </c>
      <c r="F9515" t="str">
        <f>"001690"</f>
        <v>0</v>
      </c>
      <c r="G9515" t="s">
        <v>21</v>
      </c>
    </row>
    <row r="9516" spans="1:7">
      <c r="A9516">
        <v>9515</v>
      </c>
      <c r="B9516" t="str">
        <f>"024364"</f>
        <v>0</v>
      </c>
      <c r="C9516" t="s">
        <v>14483</v>
      </c>
      <c r="D9516" t="s">
        <v>14484</v>
      </c>
      <c r="E9516" t="str">
        <f>"3910100250170"</f>
        <v>0</v>
      </c>
      <c r="F9516" t="str">
        <f>"001690"</f>
        <v>0</v>
      </c>
      <c r="G9516" t="s">
        <v>21</v>
      </c>
    </row>
    <row r="9517" spans="1:7">
      <c r="A9517">
        <v>9516</v>
      </c>
      <c r="B9517" t="str">
        <f>"024508"</f>
        <v>0</v>
      </c>
      <c r="C9517" t="s">
        <v>767</v>
      </c>
      <c r="D9517" t="s">
        <v>12466</v>
      </c>
      <c r="E9517" t="str">
        <f>"3969800096015"</f>
        <v>0</v>
      </c>
      <c r="F9517" t="str">
        <f>"001690"</f>
        <v>0</v>
      </c>
      <c r="G9517" t="s">
        <v>21</v>
      </c>
    </row>
    <row r="9518" spans="1:7">
      <c r="A9518">
        <v>9517</v>
      </c>
      <c r="B9518" t="str">
        <f>"024538"</f>
        <v>0</v>
      </c>
      <c r="C9518" t="s">
        <v>14485</v>
      </c>
      <c r="D9518" t="s">
        <v>14486</v>
      </c>
      <c r="E9518" t="str">
        <f>"3919900084299"</f>
        <v>0</v>
      </c>
      <c r="F9518" t="str">
        <f>"001690"</f>
        <v>0</v>
      </c>
      <c r="G9518" t="s">
        <v>21</v>
      </c>
    </row>
    <row r="9519" spans="1:7">
      <c r="A9519">
        <v>9518</v>
      </c>
      <c r="B9519" t="str">
        <f>"024708"</f>
        <v>0</v>
      </c>
      <c r="C9519" t="s">
        <v>1653</v>
      </c>
      <c r="D9519" t="s">
        <v>14487</v>
      </c>
      <c r="E9519" t="str">
        <f>"3919900011071"</f>
        <v>0</v>
      </c>
      <c r="F9519" t="str">
        <f>"001690"</f>
        <v>0</v>
      </c>
      <c r="G9519" t="s">
        <v>21</v>
      </c>
    </row>
    <row r="9520" spans="1:7">
      <c r="A9520">
        <v>9519</v>
      </c>
      <c r="B9520" t="str">
        <f>"025038"</f>
        <v>0</v>
      </c>
      <c r="C9520" t="s">
        <v>14488</v>
      </c>
      <c r="D9520" t="s">
        <v>14489</v>
      </c>
      <c r="E9520" t="str">
        <f>"1919900102045"</f>
        <v>0</v>
      </c>
      <c r="F9520" t="str">
        <f>"001690"</f>
        <v>0</v>
      </c>
      <c r="G9520" t="s">
        <v>21</v>
      </c>
    </row>
    <row r="9521" spans="1:7">
      <c r="A9521">
        <v>9520</v>
      </c>
      <c r="B9521" t="str">
        <f>"025093"</f>
        <v>0</v>
      </c>
      <c r="C9521" t="s">
        <v>14490</v>
      </c>
      <c r="D9521" t="s">
        <v>14491</v>
      </c>
      <c r="E9521" t="str">
        <f>"1910300043449"</f>
        <v>0</v>
      </c>
      <c r="F9521" t="str">
        <f>"001690"</f>
        <v>0</v>
      </c>
      <c r="G9521" t="s">
        <v>21</v>
      </c>
    </row>
    <row r="9522" spans="1:7">
      <c r="A9522">
        <v>9521</v>
      </c>
      <c r="B9522" t="str">
        <f>"027046"</f>
        <v>0</v>
      </c>
      <c r="C9522" t="s">
        <v>14492</v>
      </c>
      <c r="D9522" t="s">
        <v>14493</v>
      </c>
      <c r="E9522" t="str">
        <f>"3919900142442"</f>
        <v>0</v>
      </c>
      <c r="F9522" t="str">
        <f>"001690"</f>
        <v>0</v>
      </c>
      <c r="G9522" t="s">
        <v>21</v>
      </c>
    </row>
    <row r="9523" spans="1:7">
      <c r="A9523">
        <v>9522</v>
      </c>
      <c r="B9523" t="str">
        <f>"020429"</f>
        <v>0</v>
      </c>
      <c r="C9523" t="s">
        <v>5526</v>
      </c>
      <c r="D9523" t="s">
        <v>14494</v>
      </c>
      <c r="E9523" t="str">
        <f>"3939900267725"</f>
        <v>0</v>
      </c>
      <c r="F9523" t="str">
        <f>"001690"</f>
        <v>0</v>
      </c>
      <c r="G9523" t="s">
        <v>21</v>
      </c>
    </row>
    <row r="9524" spans="1:7">
      <c r="A9524">
        <v>9523</v>
      </c>
      <c r="B9524" t="str">
        <f>"022202"</f>
        <v>0</v>
      </c>
      <c r="C9524" t="s">
        <v>14495</v>
      </c>
      <c r="D9524" t="s">
        <v>14496</v>
      </c>
      <c r="E9524" t="str">
        <f>"5901300016771"</f>
        <v>0</v>
      </c>
      <c r="F9524" t="str">
        <f>"001690"</f>
        <v>0</v>
      </c>
      <c r="G9524" t="s">
        <v>21</v>
      </c>
    </row>
    <row r="9525" spans="1:7">
      <c r="A9525">
        <v>9524</v>
      </c>
      <c r="B9525" t="str">
        <f>"025161"</f>
        <v>0</v>
      </c>
      <c r="C9525" t="s">
        <v>14497</v>
      </c>
      <c r="D9525" t="s">
        <v>14498</v>
      </c>
      <c r="E9525" t="str">
        <f>"3800700521957"</f>
        <v>0</v>
      </c>
      <c r="F9525" t="str">
        <f>"001690"</f>
        <v>0</v>
      </c>
      <c r="G9525" t="s">
        <v>21</v>
      </c>
    </row>
    <row r="9526" spans="1:7">
      <c r="A9526">
        <v>9525</v>
      </c>
      <c r="B9526" t="str">
        <f>"026225"</f>
        <v>0</v>
      </c>
      <c r="C9526" t="s">
        <v>14499</v>
      </c>
      <c r="D9526" t="s">
        <v>14500</v>
      </c>
      <c r="E9526" t="str">
        <f>"1939900151330"</f>
        <v>0</v>
      </c>
      <c r="F9526" t="str">
        <f>"001690"</f>
        <v>0</v>
      </c>
      <c r="G9526" t="s">
        <v>21</v>
      </c>
    </row>
    <row r="9527" spans="1:7">
      <c r="A9527">
        <v>9526</v>
      </c>
      <c r="B9527" t="str">
        <f>"026414"</f>
        <v>0</v>
      </c>
      <c r="C9527" t="s">
        <v>1380</v>
      </c>
      <c r="D9527" t="s">
        <v>14501</v>
      </c>
      <c r="E9527" t="str">
        <f>"1949900015347"</f>
        <v>0</v>
      </c>
      <c r="F9527" t="str">
        <f>"001690"</f>
        <v>0</v>
      </c>
      <c r="G9527" t="s">
        <v>21</v>
      </c>
    </row>
    <row r="9528" spans="1:7">
      <c r="A9528">
        <v>9527</v>
      </c>
      <c r="B9528" t="str">
        <f>"025516"</f>
        <v>0</v>
      </c>
      <c r="C9528" t="s">
        <v>14502</v>
      </c>
      <c r="D9528" t="s">
        <v>14503</v>
      </c>
      <c r="E9528" t="str">
        <f>"3969900192172"</f>
        <v>0</v>
      </c>
      <c r="F9528" t="str">
        <f>"001690"</f>
        <v>0</v>
      </c>
      <c r="G9528" t="s">
        <v>21</v>
      </c>
    </row>
    <row r="9529" spans="1:7">
      <c r="A9529">
        <v>9528</v>
      </c>
      <c r="B9529" t="str">
        <f>"000524"</f>
        <v>0</v>
      </c>
      <c r="C9529" t="s">
        <v>14504</v>
      </c>
      <c r="D9529" t="s">
        <v>14505</v>
      </c>
      <c r="E9529" t="str">
        <f>"3110101469971"</f>
        <v>0</v>
      </c>
      <c r="F9529" t="str">
        <f>"001700"</f>
        <v>0</v>
      </c>
      <c r="G9529" t="s">
        <v>21</v>
      </c>
    </row>
    <row r="9530" spans="1:7">
      <c r="A9530">
        <v>9529</v>
      </c>
      <c r="B9530" t="str">
        <f>"000532"</f>
        <v>0</v>
      </c>
      <c r="C9530" t="s">
        <v>341</v>
      </c>
      <c r="D9530" t="s">
        <v>14397</v>
      </c>
      <c r="E9530" t="str">
        <f>"3210100338341"</f>
        <v>0</v>
      </c>
      <c r="F9530" t="str">
        <f>"001700"</f>
        <v>0</v>
      </c>
      <c r="G9530" t="s">
        <v>21</v>
      </c>
    </row>
    <row r="9531" spans="1:7">
      <c r="A9531">
        <v>9530</v>
      </c>
      <c r="B9531" t="str">
        <f>"001595"</f>
        <v>0</v>
      </c>
      <c r="C9531" t="s">
        <v>14506</v>
      </c>
      <c r="D9531" t="s">
        <v>14507</v>
      </c>
      <c r="E9531" t="str">
        <f>"3110101340854"</f>
        <v>0</v>
      </c>
      <c r="F9531" t="str">
        <f>"001700"</f>
        <v>0</v>
      </c>
      <c r="G9531" t="s">
        <v>21</v>
      </c>
    </row>
    <row r="9532" spans="1:7">
      <c r="A9532">
        <v>9531</v>
      </c>
      <c r="B9532" t="str">
        <f>"001985"</f>
        <v>0</v>
      </c>
      <c r="C9532" t="s">
        <v>14508</v>
      </c>
      <c r="D9532" t="s">
        <v>14509</v>
      </c>
      <c r="E9532" t="str">
        <f>"3119900120730"</f>
        <v>0</v>
      </c>
      <c r="F9532" t="str">
        <f>"001700"</f>
        <v>0</v>
      </c>
      <c r="G9532" t="s">
        <v>21</v>
      </c>
    </row>
    <row r="9533" spans="1:7">
      <c r="A9533">
        <v>9532</v>
      </c>
      <c r="B9533" t="str">
        <f>"004228"</f>
        <v>0</v>
      </c>
      <c r="C9533" t="s">
        <v>8939</v>
      </c>
      <c r="D9533" t="s">
        <v>14510</v>
      </c>
      <c r="E9533" t="str">
        <f>"3769900161597"</f>
        <v>0</v>
      </c>
      <c r="F9533" t="str">
        <f>"001700"</f>
        <v>0</v>
      </c>
      <c r="G9533" t="s">
        <v>21</v>
      </c>
    </row>
    <row r="9534" spans="1:7">
      <c r="A9534">
        <v>9533</v>
      </c>
      <c r="B9534" t="str">
        <f>"004707"</f>
        <v>0</v>
      </c>
      <c r="C9534" t="s">
        <v>4018</v>
      </c>
      <c r="D9534" t="s">
        <v>14511</v>
      </c>
      <c r="E9534" t="str">
        <f>"3110400843521"</f>
        <v>0</v>
      </c>
      <c r="F9534" t="str">
        <f>"001700"</f>
        <v>0</v>
      </c>
      <c r="G9534" t="s">
        <v>21</v>
      </c>
    </row>
    <row r="9535" spans="1:7">
      <c r="A9535">
        <v>9534</v>
      </c>
      <c r="B9535" t="str">
        <f>"005206"</f>
        <v>0</v>
      </c>
      <c r="C9535" t="s">
        <v>7552</v>
      </c>
      <c r="D9535" t="s">
        <v>4688</v>
      </c>
      <c r="E9535" t="str">
        <f>"3240100497694"</f>
        <v>0</v>
      </c>
      <c r="F9535" t="str">
        <f>"001700"</f>
        <v>0</v>
      </c>
      <c r="G9535" t="s">
        <v>21</v>
      </c>
    </row>
    <row r="9536" spans="1:7">
      <c r="A9536">
        <v>9535</v>
      </c>
      <c r="B9536" t="str">
        <f>"005369"</f>
        <v>0</v>
      </c>
      <c r="C9536" t="s">
        <v>896</v>
      </c>
      <c r="D9536" t="s">
        <v>14512</v>
      </c>
      <c r="E9536" t="str">
        <f>"3110102397604"</f>
        <v>0</v>
      </c>
      <c r="F9536" t="str">
        <f>"001700"</f>
        <v>0</v>
      </c>
      <c r="G9536" t="s">
        <v>21</v>
      </c>
    </row>
    <row r="9537" spans="1:7">
      <c r="A9537">
        <v>9536</v>
      </c>
      <c r="B9537" t="str">
        <f>"006511"</f>
        <v>0</v>
      </c>
      <c r="C9537" t="s">
        <v>14513</v>
      </c>
      <c r="D9537" t="s">
        <v>14514</v>
      </c>
      <c r="E9537" t="str">
        <f>"3540200017802"</f>
        <v>0</v>
      </c>
      <c r="F9537" t="str">
        <f>"001700"</f>
        <v>0</v>
      </c>
      <c r="G9537" t="s">
        <v>21</v>
      </c>
    </row>
    <row r="9538" spans="1:7">
      <c r="A9538">
        <v>9537</v>
      </c>
      <c r="B9538" t="str">
        <f>"006721"</f>
        <v>0</v>
      </c>
      <c r="C9538" t="s">
        <v>14515</v>
      </c>
      <c r="D9538" t="s">
        <v>14516</v>
      </c>
      <c r="E9538" t="str">
        <f>"3700400665857"</f>
        <v>0</v>
      </c>
      <c r="F9538" t="str">
        <f>"001700"</f>
        <v>0</v>
      </c>
      <c r="G9538" t="s">
        <v>21</v>
      </c>
    </row>
    <row r="9539" spans="1:7">
      <c r="A9539">
        <v>9538</v>
      </c>
      <c r="B9539" t="str">
        <f>"007224"</f>
        <v>0</v>
      </c>
      <c r="C9539" t="s">
        <v>14517</v>
      </c>
      <c r="D9539" t="s">
        <v>14518</v>
      </c>
      <c r="E9539" t="str">
        <f>"3100903612791"</f>
        <v>0</v>
      </c>
      <c r="F9539" t="str">
        <f>"001700"</f>
        <v>0</v>
      </c>
      <c r="G9539" t="s">
        <v>21</v>
      </c>
    </row>
    <row r="9540" spans="1:7">
      <c r="A9540">
        <v>9539</v>
      </c>
      <c r="B9540" t="str">
        <f>"007527"</f>
        <v>0</v>
      </c>
      <c r="C9540" t="s">
        <v>173</v>
      </c>
      <c r="D9540" t="s">
        <v>10376</v>
      </c>
      <c r="E9540" t="str">
        <f>"3579900104544"</f>
        <v>0</v>
      </c>
      <c r="F9540" t="str">
        <f>"001700"</f>
        <v>0</v>
      </c>
      <c r="G9540" t="s">
        <v>21</v>
      </c>
    </row>
    <row r="9541" spans="1:7">
      <c r="A9541">
        <v>9540</v>
      </c>
      <c r="B9541" t="str">
        <f>"009164"</f>
        <v>0</v>
      </c>
      <c r="C9541" t="s">
        <v>14519</v>
      </c>
      <c r="D9541" t="s">
        <v>14520</v>
      </c>
      <c r="E9541" t="str">
        <f>"3520100534821"</f>
        <v>0</v>
      </c>
      <c r="F9541" t="str">
        <f>"001700"</f>
        <v>0</v>
      </c>
      <c r="G9541" t="s">
        <v>21</v>
      </c>
    </row>
    <row r="9542" spans="1:7">
      <c r="A9542">
        <v>9541</v>
      </c>
      <c r="B9542" t="str">
        <f>"009758"</f>
        <v>0</v>
      </c>
      <c r="C9542" t="s">
        <v>14521</v>
      </c>
      <c r="D9542" t="s">
        <v>14522</v>
      </c>
      <c r="E9542" t="str">
        <f>"3770500028433"</f>
        <v>0</v>
      </c>
      <c r="F9542" t="str">
        <f>"001700"</f>
        <v>0</v>
      </c>
      <c r="G9542" t="s">
        <v>21</v>
      </c>
    </row>
    <row r="9543" spans="1:7">
      <c r="A9543">
        <v>9542</v>
      </c>
      <c r="B9543" t="str">
        <f>"009863"</f>
        <v>0</v>
      </c>
      <c r="C9543" t="s">
        <v>14523</v>
      </c>
      <c r="D9543" t="s">
        <v>14524</v>
      </c>
      <c r="E9543" t="str">
        <f>"3900900669698"</f>
        <v>0</v>
      </c>
      <c r="F9543" t="str">
        <f>"001700"</f>
        <v>0</v>
      </c>
      <c r="G9543" t="s">
        <v>21</v>
      </c>
    </row>
    <row r="9544" spans="1:7">
      <c r="A9544">
        <v>9543</v>
      </c>
      <c r="B9544" t="str">
        <f>"009950"</f>
        <v>0</v>
      </c>
      <c r="C9544" t="s">
        <v>7166</v>
      </c>
      <c r="D9544" t="s">
        <v>14525</v>
      </c>
      <c r="E9544" t="str">
        <f>"3720200399819"</f>
        <v>0</v>
      </c>
      <c r="F9544" t="str">
        <f>"001700"</f>
        <v>0</v>
      </c>
      <c r="G9544" t="s">
        <v>21</v>
      </c>
    </row>
    <row r="9545" spans="1:7">
      <c r="A9545">
        <v>9544</v>
      </c>
      <c r="B9545" t="str">
        <f>"010409"</f>
        <v>0</v>
      </c>
      <c r="C9545" t="s">
        <v>14526</v>
      </c>
      <c r="D9545" t="s">
        <v>14527</v>
      </c>
      <c r="E9545" t="str">
        <f>"3920200237906"</f>
        <v>0</v>
      </c>
      <c r="F9545" t="str">
        <f>"001700"</f>
        <v>0</v>
      </c>
      <c r="G9545" t="s">
        <v>21</v>
      </c>
    </row>
    <row r="9546" spans="1:7">
      <c r="A9546">
        <v>9545</v>
      </c>
      <c r="B9546" t="str">
        <f>"011830"</f>
        <v>0</v>
      </c>
      <c r="C9546" t="s">
        <v>1699</v>
      </c>
      <c r="D9546" t="s">
        <v>14528</v>
      </c>
      <c r="E9546" t="str">
        <f>"5440600015553"</f>
        <v>0</v>
      </c>
      <c r="F9546" t="str">
        <f>"001700"</f>
        <v>0</v>
      </c>
      <c r="G9546" t="s">
        <v>21</v>
      </c>
    </row>
    <row r="9547" spans="1:7">
      <c r="A9547">
        <v>9546</v>
      </c>
      <c r="B9547" t="str">
        <f>"012912"</f>
        <v>0</v>
      </c>
      <c r="C9547" t="s">
        <v>100</v>
      </c>
      <c r="D9547" t="s">
        <v>14529</v>
      </c>
      <c r="E9547" t="str">
        <f>"3110101629218"</f>
        <v>0</v>
      </c>
      <c r="F9547" t="str">
        <f>"001700"</f>
        <v>0</v>
      </c>
      <c r="G9547" t="s">
        <v>21</v>
      </c>
    </row>
    <row r="9548" spans="1:7">
      <c r="A9548">
        <v>9547</v>
      </c>
      <c r="B9548" t="str">
        <f>"013160"</f>
        <v>0</v>
      </c>
      <c r="C9548" t="s">
        <v>7740</v>
      </c>
      <c r="D9548" t="s">
        <v>14530</v>
      </c>
      <c r="E9548" t="str">
        <f>"3800100499331"</f>
        <v>0</v>
      </c>
      <c r="F9548" t="str">
        <f>"001700"</f>
        <v>0</v>
      </c>
      <c r="G9548" t="s">
        <v>21</v>
      </c>
    </row>
    <row r="9549" spans="1:7">
      <c r="A9549">
        <v>9548</v>
      </c>
      <c r="B9549" t="str">
        <f>"015114"</f>
        <v>0</v>
      </c>
      <c r="C9549" t="s">
        <v>12938</v>
      </c>
      <c r="D9549" t="s">
        <v>14531</v>
      </c>
      <c r="E9549" t="str">
        <f>"3110400590267"</f>
        <v>0</v>
      </c>
      <c r="F9549" t="str">
        <f>"001700"</f>
        <v>0</v>
      </c>
      <c r="G9549" t="s">
        <v>21</v>
      </c>
    </row>
    <row r="9550" spans="1:7">
      <c r="A9550">
        <v>9549</v>
      </c>
      <c r="B9550" t="str">
        <f>"015586"</f>
        <v>0</v>
      </c>
      <c r="C9550" t="s">
        <v>878</v>
      </c>
      <c r="D9550" t="s">
        <v>14531</v>
      </c>
      <c r="E9550" t="str">
        <f>"3100400099270"</f>
        <v>0</v>
      </c>
      <c r="F9550" t="str">
        <f>"001700"</f>
        <v>0</v>
      </c>
      <c r="G9550" t="s">
        <v>21</v>
      </c>
    </row>
    <row r="9551" spans="1:7">
      <c r="A9551">
        <v>9550</v>
      </c>
      <c r="B9551" t="str">
        <f>"015719"</f>
        <v>0</v>
      </c>
      <c r="C9551" t="s">
        <v>3740</v>
      </c>
      <c r="D9551" t="s">
        <v>14532</v>
      </c>
      <c r="E9551" t="str">
        <f>"3210100338308"</f>
        <v>0</v>
      </c>
      <c r="F9551" t="str">
        <f>"001700"</f>
        <v>0</v>
      </c>
      <c r="G9551" t="s">
        <v>21</v>
      </c>
    </row>
    <row r="9552" spans="1:7">
      <c r="A9552">
        <v>9551</v>
      </c>
      <c r="B9552" t="str">
        <f>"015856"</f>
        <v>0</v>
      </c>
      <c r="C9552" t="s">
        <v>520</v>
      </c>
      <c r="D9552" t="s">
        <v>14533</v>
      </c>
      <c r="E9552" t="str">
        <f>"4159900002298"</f>
        <v>0</v>
      </c>
      <c r="F9552" t="str">
        <f>"001700"</f>
        <v>0</v>
      </c>
      <c r="G9552" t="s">
        <v>21</v>
      </c>
    </row>
    <row r="9553" spans="1:7">
      <c r="A9553">
        <v>9552</v>
      </c>
      <c r="B9553" t="str">
        <f>"017094"</f>
        <v>0</v>
      </c>
      <c r="C9553" t="s">
        <v>10836</v>
      </c>
      <c r="D9553" t="s">
        <v>9010</v>
      </c>
      <c r="E9553" t="str">
        <f>"3102002301003"</f>
        <v>0</v>
      </c>
      <c r="F9553" t="str">
        <f>"001700"</f>
        <v>0</v>
      </c>
      <c r="G9553" t="s">
        <v>21</v>
      </c>
    </row>
    <row r="9554" spans="1:7">
      <c r="A9554">
        <v>9553</v>
      </c>
      <c r="B9554" t="str">
        <f>"017293"</f>
        <v>0</v>
      </c>
      <c r="C9554" t="s">
        <v>1378</v>
      </c>
      <c r="D9554" t="s">
        <v>14534</v>
      </c>
      <c r="E9554" t="str">
        <f>"3110101681147"</f>
        <v>0</v>
      </c>
      <c r="F9554" t="str">
        <f>"001700"</f>
        <v>0</v>
      </c>
      <c r="G9554" t="s">
        <v>21</v>
      </c>
    </row>
    <row r="9555" spans="1:7">
      <c r="A9555">
        <v>9554</v>
      </c>
      <c r="B9555" t="str">
        <f>"019402"</f>
        <v>0</v>
      </c>
      <c r="C9555" t="s">
        <v>14535</v>
      </c>
      <c r="D9555" t="s">
        <v>14536</v>
      </c>
      <c r="E9555" t="str">
        <f>"3110102133321"</f>
        <v>0</v>
      </c>
      <c r="F9555" t="str">
        <f>"001700"</f>
        <v>0</v>
      </c>
      <c r="G9555" t="s">
        <v>21</v>
      </c>
    </row>
    <row r="9556" spans="1:7">
      <c r="A9556">
        <v>9555</v>
      </c>
      <c r="B9556" t="str">
        <f>"019616"</f>
        <v>0</v>
      </c>
      <c r="C9556" t="s">
        <v>14537</v>
      </c>
      <c r="D9556" t="s">
        <v>14538</v>
      </c>
      <c r="E9556" t="str">
        <f>"5249999000729"</f>
        <v>0</v>
      </c>
      <c r="F9556" t="str">
        <f>"001700"</f>
        <v>0</v>
      </c>
      <c r="G9556" t="s">
        <v>21</v>
      </c>
    </row>
    <row r="9557" spans="1:7">
      <c r="A9557">
        <v>9556</v>
      </c>
      <c r="B9557" t="str">
        <f>"021802"</f>
        <v>0</v>
      </c>
      <c r="C9557" t="s">
        <v>4465</v>
      </c>
      <c r="D9557" t="s">
        <v>14532</v>
      </c>
      <c r="E9557" t="str">
        <f>"3210100338316"</f>
        <v>0</v>
      </c>
      <c r="F9557" t="str">
        <f>"001700"</f>
        <v>0</v>
      </c>
      <c r="G9557" t="s">
        <v>21</v>
      </c>
    </row>
    <row r="9558" spans="1:7">
      <c r="A9558">
        <v>9557</v>
      </c>
      <c r="B9558" t="str">
        <f>"011682"</f>
        <v>0</v>
      </c>
      <c r="C9558" t="s">
        <v>1548</v>
      </c>
      <c r="D9558" t="s">
        <v>14539</v>
      </c>
      <c r="E9558" t="str">
        <f>"3110400598543"</f>
        <v>0</v>
      </c>
      <c r="F9558" t="str">
        <f>"001700"</f>
        <v>0</v>
      </c>
      <c r="G9558" t="s">
        <v>21</v>
      </c>
    </row>
    <row r="9559" spans="1:7">
      <c r="A9559">
        <v>9558</v>
      </c>
      <c r="B9559" t="str">
        <f>"013169"</f>
        <v>0</v>
      </c>
      <c r="C9559" t="s">
        <v>1514</v>
      </c>
      <c r="D9559" t="s">
        <v>14540</v>
      </c>
      <c r="E9559" t="str">
        <f>"3102000926731"</f>
        <v>0</v>
      </c>
      <c r="F9559" t="str">
        <f>"001700"</f>
        <v>0</v>
      </c>
      <c r="G9559" t="s">
        <v>21</v>
      </c>
    </row>
    <row r="9560" spans="1:7">
      <c r="A9560">
        <v>9559</v>
      </c>
      <c r="B9560" t="str">
        <f>"015933"</f>
        <v>0</v>
      </c>
      <c r="C9560" t="s">
        <v>798</v>
      </c>
      <c r="D9560" t="s">
        <v>14541</v>
      </c>
      <c r="E9560" t="str">
        <f>"3110101699143"</f>
        <v>0</v>
      </c>
      <c r="F9560" t="str">
        <f>"001700"</f>
        <v>0</v>
      </c>
      <c r="G9560" t="s">
        <v>21</v>
      </c>
    </row>
    <row r="9561" spans="1:7">
      <c r="A9561">
        <v>9560</v>
      </c>
      <c r="B9561" t="str">
        <f>"022129"</f>
        <v>0</v>
      </c>
      <c r="C9561" t="s">
        <v>13395</v>
      </c>
      <c r="D9561" t="s">
        <v>14542</v>
      </c>
      <c r="E9561" t="str">
        <f>"3250300067791"</f>
        <v>0</v>
      </c>
      <c r="F9561" t="str">
        <f>"001700"</f>
        <v>0</v>
      </c>
      <c r="G9561" t="s">
        <v>21</v>
      </c>
    </row>
    <row r="9562" spans="1:7">
      <c r="A9562">
        <v>9561</v>
      </c>
      <c r="B9562" t="str">
        <f>"025058"</f>
        <v>0</v>
      </c>
      <c r="C9562" t="s">
        <v>14543</v>
      </c>
      <c r="D9562" t="s">
        <v>14544</v>
      </c>
      <c r="E9562" t="str">
        <f>"1919900002059"</f>
        <v>0</v>
      </c>
      <c r="F9562" t="str">
        <f>"001700"</f>
        <v>0</v>
      </c>
      <c r="G9562" t="s">
        <v>21</v>
      </c>
    </row>
    <row r="9563" spans="1:7">
      <c r="A9563">
        <v>9562</v>
      </c>
      <c r="B9563" t="str">
        <f>"014099"</f>
        <v>0</v>
      </c>
      <c r="C9563" t="s">
        <v>520</v>
      </c>
      <c r="D9563" t="s">
        <v>14545</v>
      </c>
      <c r="E9563" t="str">
        <f>"3149900167477"</f>
        <v>0</v>
      </c>
      <c r="F9563" t="str">
        <f>"001700"</f>
        <v>0</v>
      </c>
      <c r="G9563" t="s">
        <v>21</v>
      </c>
    </row>
    <row r="9564" spans="1:7">
      <c r="A9564">
        <v>9563</v>
      </c>
      <c r="B9564" t="str">
        <f>"016619"</f>
        <v>0</v>
      </c>
      <c r="C9564" t="s">
        <v>14546</v>
      </c>
      <c r="D9564" t="s">
        <v>14547</v>
      </c>
      <c r="E9564" t="str">
        <f>"3110400573834"</f>
        <v>0</v>
      </c>
      <c r="F9564" t="str">
        <f>"001700"</f>
        <v>0</v>
      </c>
      <c r="G9564" t="s">
        <v>21</v>
      </c>
    </row>
    <row r="9565" spans="1:7">
      <c r="A9565">
        <v>9564</v>
      </c>
      <c r="B9565" t="str">
        <f>"012055"</f>
        <v>0</v>
      </c>
      <c r="C9565" t="s">
        <v>14548</v>
      </c>
      <c r="D9565" t="s">
        <v>681</v>
      </c>
      <c r="E9565" t="str">
        <f>"3110401137671"</f>
        <v>0</v>
      </c>
      <c r="F9565" t="str">
        <f>"001700"</f>
        <v>0</v>
      </c>
      <c r="G9565" t="s">
        <v>21</v>
      </c>
    </row>
    <row r="9566" spans="1:7">
      <c r="A9566">
        <v>9565</v>
      </c>
      <c r="B9566" t="str">
        <f>"016039"</f>
        <v>0</v>
      </c>
      <c r="C9566" t="s">
        <v>1622</v>
      </c>
      <c r="D9566" t="s">
        <v>14549</v>
      </c>
      <c r="E9566" t="str">
        <f>"3110401425472"</f>
        <v>0</v>
      </c>
      <c r="F9566" t="str">
        <f>"001700"</f>
        <v>0</v>
      </c>
      <c r="G9566" t="s">
        <v>21</v>
      </c>
    </row>
    <row r="9567" spans="1:7">
      <c r="A9567">
        <v>9566</v>
      </c>
      <c r="B9567" t="str">
        <f>"017025"</f>
        <v>0</v>
      </c>
      <c r="C9567" t="s">
        <v>6197</v>
      </c>
      <c r="D9567" t="s">
        <v>14550</v>
      </c>
      <c r="E9567" t="str">
        <f>"                    "</f>
        <v>0</v>
      </c>
      <c r="F9567" t="str">
        <f>"001700"</f>
        <v>0</v>
      </c>
      <c r="G9567" t="s">
        <v>21</v>
      </c>
    </row>
    <row r="9568" spans="1:7">
      <c r="A9568">
        <v>9567</v>
      </c>
      <c r="B9568" t="str">
        <f>"011963"</f>
        <v>0</v>
      </c>
      <c r="C9568" t="s">
        <v>490</v>
      </c>
      <c r="D9568" t="s">
        <v>14551</v>
      </c>
      <c r="E9568" t="str">
        <f>"4500300001035"</f>
        <v>0</v>
      </c>
      <c r="F9568" t="str">
        <f>"001700"</f>
        <v>0</v>
      </c>
      <c r="G9568" t="s">
        <v>21</v>
      </c>
    </row>
    <row r="9569" spans="1:7">
      <c r="A9569">
        <v>9568</v>
      </c>
      <c r="B9569" t="str">
        <f>"015158"</f>
        <v>0</v>
      </c>
      <c r="C9569" t="s">
        <v>14552</v>
      </c>
      <c r="D9569" t="s">
        <v>14553</v>
      </c>
      <c r="E9569" t="str">
        <f>"3102101883051"</f>
        <v>0</v>
      </c>
      <c r="F9569" t="str">
        <f>"001700"</f>
        <v>0</v>
      </c>
      <c r="G9569" t="s">
        <v>21</v>
      </c>
    </row>
    <row r="9570" spans="1:7">
      <c r="A9570">
        <v>9569</v>
      </c>
      <c r="B9570" t="str">
        <f>"021875"</f>
        <v>0</v>
      </c>
      <c r="C9570" t="s">
        <v>3518</v>
      </c>
      <c r="D9570" t="s">
        <v>14554</v>
      </c>
      <c r="E9570" t="str">
        <f>"3969800121788"</f>
        <v>0</v>
      </c>
      <c r="F9570" t="str">
        <f>"001700"</f>
        <v>0</v>
      </c>
      <c r="G9570" t="s">
        <v>21</v>
      </c>
    </row>
    <row r="9571" spans="1:7">
      <c r="A9571">
        <v>9570</v>
      </c>
      <c r="B9571" t="str">
        <f>"024131"</f>
        <v>0</v>
      </c>
      <c r="C9571" t="s">
        <v>1903</v>
      </c>
      <c r="D9571" t="s">
        <v>14555</v>
      </c>
      <c r="E9571" t="str">
        <f>"1100800196811"</f>
        <v>0</v>
      </c>
      <c r="F9571" t="str">
        <f>"001700"</f>
        <v>0</v>
      </c>
      <c r="G9571" t="s">
        <v>21</v>
      </c>
    </row>
    <row r="9572" spans="1:7">
      <c r="A9572">
        <v>9571</v>
      </c>
      <c r="B9572" t="str">
        <f>"025335"</f>
        <v>0</v>
      </c>
      <c r="C9572" t="s">
        <v>14556</v>
      </c>
      <c r="D9572" t="s">
        <v>14557</v>
      </c>
      <c r="E9572" t="str">
        <f>"1720100009532"</f>
        <v>0</v>
      </c>
      <c r="F9572" t="str">
        <f>"001700"</f>
        <v>0</v>
      </c>
      <c r="G9572" t="s">
        <v>21</v>
      </c>
    </row>
    <row r="9573" spans="1:7">
      <c r="A9573">
        <v>9572</v>
      </c>
      <c r="B9573" t="str">
        <f>"025974"</f>
        <v>0</v>
      </c>
      <c r="C9573" t="s">
        <v>9605</v>
      </c>
      <c r="D9573" t="s">
        <v>14558</v>
      </c>
      <c r="E9573" t="str">
        <f>"1100800732208"</f>
        <v>0</v>
      </c>
      <c r="F9573" t="str">
        <f>"001700"</f>
        <v>0</v>
      </c>
      <c r="G9573" t="s">
        <v>21</v>
      </c>
    </row>
    <row r="9574" spans="1:7">
      <c r="A9574">
        <v>9573</v>
      </c>
      <c r="B9574" t="str">
        <f>"011071"</f>
        <v>0</v>
      </c>
      <c r="C9574" t="s">
        <v>4779</v>
      </c>
      <c r="D9574" t="s">
        <v>14559</v>
      </c>
      <c r="E9574" t="str">
        <f>"3110200051630"</f>
        <v>0</v>
      </c>
      <c r="F9574" t="str">
        <f>"001700"</f>
        <v>0</v>
      </c>
      <c r="G9574" t="s">
        <v>21</v>
      </c>
    </row>
    <row r="9575" spans="1:7">
      <c r="A9575">
        <v>9574</v>
      </c>
      <c r="B9575" t="str">
        <f>"011966"</f>
        <v>0</v>
      </c>
      <c r="C9575" t="s">
        <v>590</v>
      </c>
      <c r="D9575" t="s">
        <v>14560</v>
      </c>
      <c r="E9575" t="str">
        <f>"3230100276744"</f>
        <v>0</v>
      </c>
      <c r="F9575" t="str">
        <f>"001700"</f>
        <v>0</v>
      </c>
      <c r="G9575" t="s">
        <v>21</v>
      </c>
    </row>
    <row r="9576" spans="1:7">
      <c r="A9576">
        <v>9575</v>
      </c>
      <c r="B9576" t="str">
        <f>"014035"</f>
        <v>0</v>
      </c>
      <c r="C9576" t="s">
        <v>14561</v>
      </c>
      <c r="D9576" t="s">
        <v>14562</v>
      </c>
      <c r="E9576" t="str">
        <f>"3909900436586"</f>
        <v>0</v>
      </c>
      <c r="F9576" t="str">
        <f>"001700"</f>
        <v>0</v>
      </c>
      <c r="G9576" t="s">
        <v>21</v>
      </c>
    </row>
    <row r="9577" spans="1:7">
      <c r="A9577">
        <v>9576</v>
      </c>
      <c r="B9577" t="str">
        <f>"015051"</f>
        <v>0</v>
      </c>
      <c r="C9577" t="s">
        <v>2815</v>
      </c>
      <c r="D9577" t="s">
        <v>3558</v>
      </c>
      <c r="E9577" t="str">
        <f>"3800400842481"</f>
        <v>0</v>
      </c>
      <c r="F9577" t="str">
        <f>"001700"</f>
        <v>0</v>
      </c>
      <c r="G9577" t="s">
        <v>21</v>
      </c>
    </row>
    <row r="9578" spans="1:7">
      <c r="A9578">
        <v>9577</v>
      </c>
      <c r="B9578" t="str">
        <f>"016350"</f>
        <v>0</v>
      </c>
      <c r="C9578" t="s">
        <v>1271</v>
      </c>
      <c r="D9578" t="s">
        <v>14563</v>
      </c>
      <c r="E9578" t="str">
        <f>"3800901093367"</f>
        <v>0</v>
      </c>
      <c r="F9578" t="str">
        <f>"001700"</f>
        <v>0</v>
      </c>
      <c r="G9578" t="s">
        <v>21</v>
      </c>
    </row>
    <row r="9579" spans="1:7">
      <c r="A9579">
        <v>9578</v>
      </c>
      <c r="B9579" t="str">
        <f>"021308"</f>
        <v>0</v>
      </c>
      <c r="C9579" t="s">
        <v>1781</v>
      </c>
      <c r="D9579" t="s">
        <v>754</v>
      </c>
      <c r="E9579" t="str">
        <f>"3110300142386"</f>
        <v>0</v>
      </c>
      <c r="F9579" t="str">
        <f>"001700"</f>
        <v>0</v>
      </c>
      <c r="G9579" t="s">
        <v>21</v>
      </c>
    </row>
    <row r="9580" spans="1:7">
      <c r="A9580">
        <v>9579</v>
      </c>
      <c r="B9580" t="str">
        <f>"023194"</f>
        <v>0</v>
      </c>
      <c r="C9580" t="s">
        <v>14564</v>
      </c>
      <c r="D9580" t="s">
        <v>14565</v>
      </c>
      <c r="E9580" t="str">
        <f>"3101201122281"</f>
        <v>0</v>
      </c>
      <c r="F9580" t="str">
        <f>"001700"</f>
        <v>0</v>
      </c>
      <c r="G9580" t="s">
        <v>21</v>
      </c>
    </row>
    <row r="9581" spans="1:7">
      <c r="A9581">
        <v>9580</v>
      </c>
      <c r="B9581" t="str">
        <f>"023560"</f>
        <v>0</v>
      </c>
      <c r="C9581" t="s">
        <v>1208</v>
      </c>
      <c r="D9581" t="s">
        <v>14566</v>
      </c>
      <c r="E9581" t="str">
        <f>"3110100322143"</f>
        <v>0</v>
      </c>
      <c r="F9581" t="str">
        <f>"001700"</f>
        <v>0</v>
      </c>
      <c r="G9581" t="s">
        <v>21</v>
      </c>
    </row>
    <row r="9582" spans="1:7">
      <c r="A9582">
        <v>9581</v>
      </c>
      <c r="B9582" t="str">
        <f>"023758"</f>
        <v>0</v>
      </c>
      <c r="C9582" t="s">
        <v>14567</v>
      </c>
      <c r="D9582" t="s">
        <v>14568</v>
      </c>
      <c r="E9582" t="str">
        <f>"1100800078451"</f>
        <v>0</v>
      </c>
      <c r="F9582" t="str">
        <f>"001700"</f>
        <v>0</v>
      </c>
      <c r="G9582" t="s">
        <v>21</v>
      </c>
    </row>
    <row r="9583" spans="1:7">
      <c r="A9583">
        <v>9582</v>
      </c>
      <c r="B9583" t="str">
        <f>"023798"</f>
        <v>0</v>
      </c>
      <c r="C9583" t="s">
        <v>14569</v>
      </c>
      <c r="D9583" t="s">
        <v>14570</v>
      </c>
      <c r="E9583" t="str">
        <f>"3451100619811"</f>
        <v>0</v>
      </c>
      <c r="F9583" t="str">
        <f>"001700"</f>
        <v>0</v>
      </c>
      <c r="G9583" t="s">
        <v>21</v>
      </c>
    </row>
    <row r="9584" spans="1:7">
      <c r="A9584">
        <v>9583</v>
      </c>
      <c r="B9584" t="str">
        <f>"025768"</f>
        <v>0</v>
      </c>
      <c r="C9584" t="s">
        <v>5757</v>
      </c>
      <c r="D9584" t="s">
        <v>14571</v>
      </c>
      <c r="E9584" t="str">
        <f>"1101400559437"</f>
        <v>0</v>
      </c>
      <c r="F9584" t="str">
        <f>"001700"</f>
        <v>0</v>
      </c>
      <c r="G9584" t="s">
        <v>21</v>
      </c>
    </row>
    <row r="9585" spans="1:7">
      <c r="A9585">
        <v>9584</v>
      </c>
      <c r="B9585" t="str">
        <f>"025969"</f>
        <v>0</v>
      </c>
      <c r="C9585" t="s">
        <v>2157</v>
      </c>
      <c r="D9585" t="s">
        <v>14572</v>
      </c>
      <c r="E9585" t="str">
        <f>"3160100229062"</f>
        <v>0</v>
      </c>
      <c r="F9585" t="str">
        <f>"001700"</f>
        <v>0</v>
      </c>
      <c r="G9585" t="s">
        <v>21</v>
      </c>
    </row>
    <row r="9586" spans="1:7">
      <c r="A9586">
        <v>9585</v>
      </c>
      <c r="B9586" t="str">
        <f>"017077"</f>
        <v>0</v>
      </c>
      <c r="C9586" t="s">
        <v>11490</v>
      </c>
      <c r="D9586" t="s">
        <v>2654</v>
      </c>
      <c r="E9586" t="str">
        <f>"3560200426613"</f>
        <v>0</v>
      </c>
      <c r="F9586" t="str">
        <f>"001700"</f>
        <v>0</v>
      </c>
      <c r="G9586" t="s">
        <v>21</v>
      </c>
    </row>
    <row r="9587" spans="1:7">
      <c r="A9587">
        <v>9586</v>
      </c>
      <c r="B9587" t="str">
        <f>"024667"</f>
        <v>0</v>
      </c>
      <c r="C9587" t="s">
        <v>14573</v>
      </c>
      <c r="D9587" t="s">
        <v>14574</v>
      </c>
      <c r="E9587" t="str">
        <f>"1101400762666"</f>
        <v>0</v>
      </c>
      <c r="F9587" t="str">
        <f>"001700"</f>
        <v>0</v>
      </c>
      <c r="G9587" t="s">
        <v>21</v>
      </c>
    </row>
    <row r="9588" spans="1:7">
      <c r="A9588">
        <v>9587</v>
      </c>
      <c r="B9588" t="str">
        <f>"020714"</f>
        <v>0</v>
      </c>
      <c r="C9588" t="s">
        <v>8078</v>
      </c>
      <c r="D9588" t="s">
        <v>14575</v>
      </c>
      <c r="E9588" t="str">
        <f>"3140600497015"</f>
        <v>0</v>
      </c>
      <c r="F9588" t="str">
        <f>"001700"</f>
        <v>0</v>
      </c>
      <c r="G9588" t="s">
        <v>21</v>
      </c>
    </row>
    <row r="9589" spans="1:7">
      <c r="A9589">
        <v>9588</v>
      </c>
      <c r="B9589" t="str">
        <f>"020669"</f>
        <v>0</v>
      </c>
      <c r="C9589" t="s">
        <v>5070</v>
      </c>
      <c r="D9589" t="s">
        <v>14576</v>
      </c>
      <c r="E9589" t="str">
        <f>"3119900301092"</f>
        <v>0</v>
      </c>
      <c r="F9589" t="str">
        <f>"001700"</f>
        <v>0</v>
      </c>
      <c r="G9589" t="s">
        <v>21</v>
      </c>
    </row>
    <row r="9590" spans="1:7">
      <c r="A9590">
        <v>9589</v>
      </c>
      <c r="B9590" t="str">
        <f>"024844"</f>
        <v>0</v>
      </c>
      <c r="C9590" t="s">
        <v>14577</v>
      </c>
      <c r="D9590" t="s">
        <v>14578</v>
      </c>
      <c r="E9590" t="str">
        <f>"1100800351166"</f>
        <v>0</v>
      </c>
      <c r="F9590" t="str">
        <f>"001700"</f>
        <v>0</v>
      </c>
      <c r="G9590" t="s">
        <v>21</v>
      </c>
    </row>
    <row r="9591" spans="1:7">
      <c r="A9591">
        <v>9590</v>
      </c>
      <c r="B9591" t="str">
        <f>"011230"</f>
        <v>0</v>
      </c>
      <c r="C9591" t="s">
        <v>32</v>
      </c>
      <c r="D9591" t="s">
        <v>11834</v>
      </c>
      <c r="E9591" t="str">
        <f>"3320100537318"</f>
        <v>0</v>
      </c>
      <c r="F9591" t="str">
        <f>"001700"</f>
        <v>0</v>
      </c>
      <c r="G9591" t="s">
        <v>21</v>
      </c>
    </row>
    <row r="9592" spans="1:7">
      <c r="A9592">
        <v>9591</v>
      </c>
      <c r="B9592" t="str">
        <f>"016987"</f>
        <v>0</v>
      </c>
      <c r="C9592" t="s">
        <v>9968</v>
      </c>
      <c r="D9592" t="s">
        <v>14579</v>
      </c>
      <c r="E9592" t="str">
        <f>"3350600037748"</f>
        <v>0</v>
      </c>
      <c r="F9592" t="str">
        <f>"001700"</f>
        <v>0</v>
      </c>
      <c r="G9592" t="s">
        <v>21</v>
      </c>
    </row>
    <row r="9593" spans="1:7">
      <c r="A9593">
        <v>9592</v>
      </c>
      <c r="B9593" t="str">
        <f>"024733"</f>
        <v>0</v>
      </c>
      <c r="C9593" t="s">
        <v>14580</v>
      </c>
      <c r="D9593" t="s">
        <v>14581</v>
      </c>
      <c r="E9593" t="str">
        <f>"3401600766383"</f>
        <v>0</v>
      </c>
      <c r="F9593" t="str">
        <f>"001700"</f>
        <v>0</v>
      </c>
      <c r="G9593" t="s">
        <v>21</v>
      </c>
    </row>
    <row r="9594" spans="1:7">
      <c r="A9594">
        <v>9593</v>
      </c>
      <c r="B9594" t="str">
        <f>"020995"</f>
        <v>0</v>
      </c>
      <c r="C9594" t="s">
        <v>14582</v>
      </c>
      <c r="D9594" t="s">
        <v>14583</v>
      </c>
      <c r="E9594" t="str">
        <f>"3609700126144"</f>
        <v>0</v>
      </c>
      <c r="F9594" t="str">
        <f>"001700"</f>
        <v>0</v>
      </c>
      <c r="G9594" t="s">
        <v>21</v>
      </c>
    </row>
    <row r="9595" spans="1:7">
      <c r="A9595">
        <v>9594</v>
      </c>
      <c r="B9595" t="str">
        <f>"023879"</f>
        <v>0</v>
      </c>
      <c r="C9595" t="s">
        <v>14584</v>
      </c>
      <c r="D9595" t="s">
        <v>6163</v>
      </c>
      <c r="E9595" t="str">
        <f>"1709900325755"</f>
        <v>0</v>
      </c>
      <c r="F9595" t="str">
        <f>"001700"</f>
        <v>0</v>
      </c>
      <c r="G9595" t="s">
        <v>21</v>
      </c>
    </row>
    <row r="9596" spans="1:7">
      <c r="A9596">
        <v>9595</v>
      </c>
      <c r="B9596" t="str">
        <f>"026532"</f>
        <v>0</v>
      </c>
      <c r="C9596" t="s">
        <v>14585</v>
      </c>
      <c r="D9596" t="s">
        <v>14586</v>
      </c>
      <c r="E9596" t="str">
        <f>"1720900179815"</f>
        <v>0</v>
      </c>
      <c r="F9596" t="str">
        <f>"001700"</f>
        <v>0</v>
      </c>
      <c r="G9596" t="s">
        <v>21</v>
      </c>
    </row>
    <row r="9597" spans="1:7">
      <c r="A9597">
        <v>9596</v>
      </c>
      <c r="B9597" t="str">
        <f>"025336"</f>
        <v>0</v>
      </c>
      <c r="C9597" t="s">
        <v>1220</v>
      </c>
      <c r="D9597" t="s">
        <v>11978</v>
      </c>
      <c r="E9597" t="str">
        <f>"1759900017244"</f>
        <v>0</v>
      </c>
      <c r="F9597" t="str">
        <f>"001700"</f>
        <v>0</v>
      </c>
      <c r="G9597" t="s">
        <v>21</v>
      </c>
    </row>
    <row r="9598" spans="1:7">
      <c r="A9598">
        <v>9597</v>
      </c>
      <c r="B9598" t="str">
        <f>"024043"</f>
        <v>0</v>
      </c>
      <c r="C9598" t="s">
        <v>12958</v>
      </c>
      <c r="D9598" t="s">
        <v>14587</v>
      </c>
      <c r="E9598" t="str">
        <f>"1760100002961"</f>
        <v>0</v>
      </c>
      <c r="F9598" t="str">
        <f>"001700"</f>
        <v>0</v>
      </c>
      <c r="G9598" t="s">
        <v>21</v>
      </c>
    </row>
    <row r="9599" spans="1:7">
      <c r="A9599">
        <v>9598</v>
      </c>
      <c r="B9599" t="str">
        <f>"023738"</f>
        <v>0</v>
      </c>
      <c r="C9599" t="s">
        <v>14588</v>
      </c>
      <c r="D9599" t="s">
        <v>14589</v>
      </c>
      <c r="E9599" t="str">
        <f>"1869900085079"</f>
        <v>0</v>
      </c>
      <c r="F9599" t="str">
        <f>"001700"</f>
        <v>0</v>
      </c>
      <c r="G9599" t="s">
        <v>21</v>
      </c>
    </row>
    <row r="9600" spans="1:7">
      <c r="A9600">
        <v>9599</v>
      </c>
      <c r="B9600" t="str">
        <f>"003250"</f>
        <v>0</v>
      </c>
      <c r="C9600" t="s">
        <v>5951</v>
      </c>
      <c r="D9600" t="s">
        <v>14590</v>
      </c>
      <c r="E9600" t="str">
        <f>"3750100543748"</f>
        <v>0</v>
      </c>
      <c r="F9600" t="str">
        <f>"001710"</f>
        <v>0</v>
      </c>
      <c r="G9600" t="s">
        <v>21</v>
      </c>
    </row>
    <row r="9601" spans="1:7">
      <c r="A9601">
        <v>9600</v>
      </c>
      <c r="B9601" t="str">
        <f>"003595"</f>
        <v>0</v>
      </c>
      <c r="C9601" t="s">
        <v>14591</v>
      </c>
      <c r="D9601" t="s">
        <v>14592</v>
      </c>
      <c r="E9601" t="str">
        <f>"3759900205306"</f>
        <v>0</v>
      </c>
      <c r="F9601" t="str">
        <f>"001710"</f>
        <v>0</v>
      </c>
      <c r="G9601" t="s">
        <v>21</v>
      </c>
    </row>
    <row r="9602" spans="1:7">
      <c r="A9602">
        <v>9601</v>
      </c>
      <c r="B9602" t="str">
        <f>"004862"</f>
        <v>0</v>
      </c>
      <c r="C9602" t="s">
        <v>14593</v>
      </c>
      <c r="D9602" t="s">
        <v>14594</v>
      </c>
      <c r="E9602" t="str">
        <f>"3759900208003"</f>
        <v>0</v>
      </c>
      <c r="F9602" t="str">
        <f>"001710"</f>
        <v>0</v>
      </c>
      <c r="G9602" t="s">
        <v>21</v>
      </c>
    </row>
    <row r="9603" spans="1:7">
      <c r="A9603">
        <v>9602</v>
      </c>
      <c r="B9603" t="str">
        <f>"005966"</f>
        <v>0</v>
      </c>
      <c r="C9603" t="s">
        <v>14595</v>
      </c>
      <c r="D9603" t="s">
        <v>14596</v>
      </c>
      <c r="E9603" t="str">
        <f>"3750300058436"</f>
        <v>0</v>
      </c>
      <c r="F9603" t="str">
        <f>"001710"</f>
        <v>0</v>
      </c>
      <c r="G9603" t="s">
        <v>21</v>
      </c>
    </row>
    <row r="9604" spans="1:7">
      <c r="A9604">
        <v>9603</v>
      </c>
      <c r="B9604" t="str">
        <f>"006393"</f>
        <v>0</v>
      </c>
      <c r="C9604" t="s">
        <v>126</v>
      </c>
      <c r="D9604" t="s">
        <v>14597</v>
      </c>
      <c r="E9604" t="str">
        <f>"3760600384151"</f>
        <v>0</v>
      </c>
      <c r="F9604" t="str">
        <f>"001710"</f>
        <v>0</v>
      </c>
      <c r="G9604" t="s">
        <v>21</v>
      </c>
    </row>
    <row r="9605" spans="1:7">
      <c r="A9605">
        <v>9604</v>
      </c>
      <c r="B9605" t="str">
        <f>"007349"</f>
        <v>0</v>
      </c>
      <c r="C9605" t="s">
        <v>6681</v>
      </c>
      <c r="D9605" t="s">
        <v>14598</v>
      </c>
      <c r="E9605" t="str">
        <f>"3710200034861"</f>
        <v>0</v>
      </c>
      <c r="F9605" t="str">
        <f>"001710"</f>
        <v>0</v>
      </c>
      <c r="G9605" t="s">
        <v>21</v>
      </c>
    </row>
    <row r="9606" spans="1:7">
      <c r="A9606">
        <v>9605</v>
      </c>
      <c r="B9606" t="str">
        <f>"009517"</f>
        <v>0</v>
      </c>
      <c r="C9606" t="s">
        <v>14599</v>
      </c>
      <c r="D9606" t="s">
        <v>14600</v>
      </c>
      <c r="E9606" t="str">
        <f>"3759900205365"</f>
        <v>0</v>
      </c>
      <c r="F9606" t="str">
        <f>"001710"</f>
        <v>0</v>
      </c>
      <c r="G9606" t="s">
        <v>21</v>
      </c>
    </row>
    <row r="9607" spans="1:7">
      <c r="A9607">
        <v>9606</v>
      </c>
      <c r="B9607" t="str">
        <f>"009904"</f>
        <v>0</v>
      </c>
      <c r="C9607" t="s">
        <v>442</v>
      </c>
      <c r="D9607" t="s">
        <v>14601</v>
      </c>
      <c r="E9607" t="str">
        <f>"3770100261343"</f>
        <v>0</v>
      </c>
      <c r="F9607" t="str">
        <f>"001710"</f>
        <v>0</v>
      </c>
      <c r="G9607" t="s">
        <v>21</v>
      </c>
    </row>
    <row r="9608" spans="1:7">
      <c r="A9608">
        <v>9607</v>
      </c>
      <c r="B9608" t="str">
        <f>"010782"</f>
        <v>0</v>
      </c>
      <c r="C9608" t="s">
        <v>3746</v>
      </c>
      <c r="D9608" t="s">
        <v>14602</v>
      </c>
      <c r="E9608" t="str">
        <f>"3750100321591"</f>
        <v>0</v>
      </c>
      <c r="F9608" t="str">
        <f>"001710"</f>
        <v>0</v>
      </c>
      <c r="G9608" t="s">
        <v>21</v>
      </c>
    </row>
    <row r="9609" spans="1:7">
      <c r="A9609">
        <v>9608</v>
      </c>
      <c r="B9609" t="str">
        <f>"011311"</f>
        <v>0</v>
      </c>
      <c r="C9609" t="s">
        <v>14603</v>
      </c>
      <c r="D9609" t="s">
        <v>14604</v>
      </c>
      <c r="E9609" t="str">
        <f>"3709900242465"</f>
        <v>0</v>
      </c>
      <c r="F9609" t="str">
        <f>"001710"</f>
        <v>0</v>
      </c>
      <c r="G9609" t="s">
        <v>21</v>
      </c>
    </row>
    <row r="9610" spans="1:7">
      <c r="A9610">
        <v>9609</v>
      </c>
      <c r="B9610" t="str">
        <f>"014804"</f>
        <v>0</v>
      </c>
      <c r="C9610" t="s">
        <v>5883</v>
      </c>
      <c r="D9610" t="s">
        <v>14605</v>
      </c>
      <c r="E9610" t="str">
        <f>"3769900003703"</f>
        <v>0</v>
      </c>
      <c r="F9610" t="str">
        <f>"001710"</f>
        <v>0</v>
      </c>
      <c r="G9610" t="s">
        <v>21</v>
      </c>
    </row>
    <row r="9611" spans="1:7">
      <c r="A9611">
        <v>9610</v>
      </c>
      <c r="B9611" t="str">
        <f>"018283"</f>
        <v>0</v>
      </c>
      <c r="C9611" t="s">
        <v>837</v>
      </c>
      <c r="D9611" t="s">
        <v>14606</v>
      </c>
      <c r="E9611" t="str">
        <f>"3700500758211"</f>
        <v>0</v>
      </c>
      <c r="F9611" t="str">
        <f>"001710"</f>
        <v>0</v>
      </c>
      <c r="G9611" t="s">
        <v>21</v>
      </c>
    </row>
    <row r="9612" spans="1:7">
      <c r="A9612">
        <v>9611</v>
      </c>
      <c r="B9612" t="str">
        <f>"018757"</f>
        <v>0</v>
      </c>
      <c r="C9612" t="s">
        <v>14607</v>
      </c>
      <c r="D9612" t="s">
        <v>14608</v>
      </c>
      <c r="E9612" t="str">
        <f>"3750200027849"</f>
        <v>0</v>
      </c>
      <c r="F9612" t="str">
        <f>"001710"</f>
        <v>0</v>
      </c>
      <c r="G9612" t="s">
        <v>21</v>
      </c>
    </row>
    <row r="9613" spans="1:7">
      <c r="A9613">
        <v>9612</v>
      </c>
      <c r="B9613" t="str">
        <f>"022098"</f>
        <v>0</v>
      </c>
      <c r="C9613" t="s">
        <v>14609</v>
      </c>
      <c r="D9613" t="s">
        <v>14610</v>
      </c>
      <c r="E9613" t="str">
        <f>"3759900208089"</f>
        <v>0</v>
      </c>
      <c r="F9613" t="str">
        <f>"001710"</f>
        <v>0</v>
      </c>
      <c r="G9613" t="s">
        <v>21</v>
      </c>
    </row>
    <row r="9614" spans="1:7">
      <c r="A9614">
        <v>9613</v>
      </c>
      <c r="B9614" t="str">
        <f>"023676"</f>
        <v>0</v>
      </c>
      <c r="C9614" t="s">
        <v>14611</v>
      </c>
      <c r="D9614" t="s">
        <v>14612</v>
      </c>
      <c r="E9614" t="str">
        <f>"1759900082437"</f>
        <v>0</v>
      </c>
      <c r="F9614" t="str">
        <f>"001710"</f>
        <v>0</v>
      </c>
      <c r="G9614" t="s">
        <v>21</v>
      </c>
    </row>
    <row r="9615" spans="1:7">
      <c r="A9615">
        <v>9614</v>
      </c>
      <c r="B9615" t="str">
        <f>"023078"</f>
        <v>0</v>
      </c>
      <c r="C9615" t="s">
        <v>14613</v>
      </c>
      <c r="D9615" t="s">
        <v>14614</v>
      </c>
      <c r="E9615" t="str">
        <f>"3750100002593"</f>
        <v>0</v>
      </c>
      <c r="F9615" t="str">
        <f>"001710"</f>
        <v>0</v>
      </c>
      <c r="G9615" t="s">
        <v>21</v>
      </c>
    </row>
    <row r="9616" spans="1:7">
      <c r="A9616">
        <v>9615</v>
      </c>
      <c r="B9616" t="str">
        <f>"020061"</f>
        <v>0</v>
      </c>
      <c r="C9616" t="s">
        <v>5080</v>
      </c>
      <c r="D9616" t="s">
        <v>14615</v>
      </c>
      <c r="E9616" t="str">
        <f>"3102100607638"</f>
        <v>0</v>
      </c>
      <c r="F9616" t="str">
        <f>"001710"</f>
        <v>0</v>
      </c>
      <c r="G9616" t="s">
        <v>21</v>
      </c>
    </row>
    <row r="9617" spans="1:7">
      <c r="A9617">
        <v>9616</v>
      </c>
      <c r="B9617" t="str">
        <f>"025732"</f>
        <v>0</v>
      </c>
      <c r="C9617" t="s">
        <v>14616</v>
      </c>
      <c r="D9617" t="s">
        <v>14617</v>
      </c>
      <c r="E9617" t="str">
        <f>"1251200012417"</f>
        <v>0</v>
      </c>
      <c r="F9617" t="str">
        <f>"001710"</f>
        <v>0</v>
      </c>
      <c r="G9617" t="s">
        <v>21</v>
      </c>
    </row>
    <row r="9618" spans="1:7">
      <c r="A9618">
        <v>9617</v>
      </c>
      <c r="B9618" t="str">
        <f>"015401"</f>
        <v>0</v>
      </c>
      <c r="C9618" t="s">
        <v>106</v>
      </c>
      <c r="D9618" t="s">
        <v>14618</v>
      </c>
      <c r="E9618" t="str">
        <f>"3301200482133"</f>
        <v>0</v>
      </c>
      <c r="F9618" t="str">
        <f>"001710"</f>
        <v>0</v>
      </c>
      <c r="G9618" t="s">
        <v>21</v>
      </c>
    </row>
    <row r="9619" spans="1:7">
      <c r="A9619">
        <v>9618</v>
      </c>
      <c r="B9619" t="str">
        <f>"011974"</f>
        <v>0</v>
      </c>
      <c r="C9619" t="s">
        <v>13429</v>
      </c>
      <c r="D9619" t="s">
        <v>14619</v>
      </c>
      <c r="E9619" t="str">
        <f>"3759900061177"</f>
        <v>0</v>
      </c>
      <c r="F9619" t="str">
        <f>"001710"</f>
        <v>0</v>
      </c>
      <c r="G9619" t="s">
        <v>21</v>
      </c>
    </row>
    <row r="9620" spans="1:7">
      <c r="A9620">
        <v>9619</v>
      </c>
      <c r="B9620" t="str">
        <f>"024053"</f>
        <v>0</v>
      </c>
      <c r="C9620" t="s">
        <v>14620</v>
      </c>
      <c r="D9620" t="s">
        <v>14621</v>
      </c>
      <c r="E9620" t="str">
        <f>"1709900202076"</f>
        <v>0</v>
      </c>
      <c r="F9620" t="str">
        <f>"001710"</f>
        <v>0</v>
      </c>
      <c r="G9620" t="s">
        <v>21</v>
      </c>
    </row>
    <row r="9621" spans="1:7">
      <c r="A9621">
        <v>9620</v>
      </c>
      <c r="B9621" t="str">
        <f>"024219"</f>
        <v>0</v>
      </c>
      <c r="C9621" t="s">
        <v>6404</v>
      </c>
      <c r="D9621" t="s">
        <v>14622</v>
      </c>
      <c r="E9621" t="str">
        <f>"1700400026793"</f>
        <v>0</v>
      </c>
      <c r="F9621" t="str">
        <f>"001710"</f>
        <v>0</v>
      </c>
      <c r="G9621" t="s">
        <v>21</v>
      </c>
    </row>
    <row r="9622" spans="1:7">
      <c r="A9622">
        <v>9621</v>
      </c>
      <c r="B9622" t="str">
        <f>"026812"</f>
        <v>0</v>
      </c>
      <c r="C9622" t="s">
        <v>14623</v>
      </c>
      <c r="D9622" t="s">
        <v>2976</v>
      </c>
      <c r="E9622" t="str">
        <f>"1100701080644"</f>
        <v>0</v>
      </c>
      <c r="F9622" t="str">
        <f>"001710"</f>
        <v>0</v>
      </c>
      <c r="G9622" t="s">
        <v>21</v>
      </c>
    </row>
    <row r="9623" spans="1:7">
      <c r="A9623">
        <v>9622</v>
      </c>
      <c r="B9623" t="str">
        <f>"026920"</f>
        <v>0</v>
      </c>
      <c r="C9623" t="s">
        <v>5586</v>
      </c>
      <c r="D9623" t="s">
        <v>6261</v>
      </c>
      <c r="E9623" t="str">
        <f>"2711000037720"</f>
        <v>0</v>
      </c>
      <c r="F9623" t="str">
        <f>"001710"</f>
        <v>0</v>
      </c>
      <c r="G9623" t="s">
        <v>21</v>
      </c>
    </row>
    <row r="9624" spans="1:7">
      <c r="A9624">
        <v>9623</v>
      </c>
      <c r="B9624" t="str">
        <f>"010000"</f>
        <v>0</v>
      </c>
      <c r="C9624" t="s">
        <v>4070</v>
      </c>
      <c r="D9624" t="s">
        <v>9332</v>
      </c>
      <c r="E9624" t="str">
        <f>"3900500201541"</f>
        <v>0</v>
      </c>
      <c r="F9624" t="str">
        <f>"001710"</f>
        <v>0</v>
      </c>
      <c r="G9624" t="s">
        <v>21</v>
      </c>
    </row>
    <row r="9625" spans="1:7">
      <c r="A9625">
        <v>9624</v>
      </c>
      <c r="B9625" t="str">
        <f>"012791"</f>
        <v>0</v>
      </c>
      <c r="C9625" t="s">
        <v>14624</v>
      </c>
      <c r="D9625" t="s">
        <v>10057</v>
      </c>
      <c r="E9625" t="str">
        <f>"3860300127194"</f>
        <v>0</v>
      </c>
      <c r="F9625" t="str">
        <f>"001710"</f>
        <v>0</v>
      </c>
      <c r="G9625" t="s">
        <v>21</v>
      </c>
    </row>
    <row r="9626" spans="1:7">
      <c r="A9626">
        <v>9625</v>
      </c>
      <c r="B9626" t="str">
        <f>"012828"</f>
        <v>0</v>
      </c>
      <c r="C9626" t="s">
        <v>1617</v>
      </c>
      <c r="D9626" t="s">
        <v>14625</v>
      </c>
      <c r="E9626" t="str">
        <f>"3179900147531"</f>
        <v>0</v>
      </c>
      <c r="F9626" t="str">
        <f>"001710"</f>
        <v>0</v>
      </c>
      <c r="G9626" t="s">
        <v>21</v>
      </c>
    </row>
    <row r="9627" spans="1:7">
      <c r="A9627">
        <v>9626</v>
      </c>
      <c r="B9627" t="str">
        <f>"013572"</f>
        <v>0</v>
      </c>
      <c r="C9627" t="s">
        <v>14626</v>
      </c>
      <c r="D9627" t="s">
        <v>14627</v>
      </c>
      <c r="E9627" t="str">
        <f>"3659900396374"</f>
        <v>0</v>
      </c>
      <c r="F9627" t="str">
        <f>"001710"</f>
        <v>0</v>
      </c>
      <c r="G9627" t="s">
        <v>21</v>
      </c>
    </row>
    <row r="9628" spans="1:7">
      <c r="A9628">
        <v>9627</v>
      </c>
      <c r="B9628" t="str">
        <f>"014102"</f>
        <v>0</v>
      </c>
      <c r="C9628" t="s">
        <v>14628</v>
      </c>
      <c r="D9628" t="s">
        <v>14629</v>
      </c>
      <c r="E9628" t="str">
        <f>"3759900020098"</f>
        <v>0</v>
      </c>
      <c r="F9628" t="str">
        <f>"001710"</f>
        <v>0</v>
      </c>
      <c r="G9628" t="s">
        <v>21</v>
      </c>
    </row>
    <row r="9629" spans="1:7">
      <c r="A9629">
        <v>9628</v>
      </c>
      <c r="B9629" t="str">
        <f>"014218"</f>
        <v>0</v>
      </c>
      <c r="C9629" t="s">
        <v>2223</v>
      </c>
      <c r="D9629" t="s">
        <v>14630</v>
      </c>
      <c r="E9629" t="str">
        <f>"3800700371041"</f>
        <v>0</v>
      </c>
      <c r="F9629" t="str">
        <f>"001710"</f>
        <v>0</v>
      </c>
      <c r="G9629" t="s">
        <v>21</v>
      </c>
    </row>
    <row r="9630" spans="1:7">
      <c r="A9630">
        <v>9629</v>
      </c>
      <c r="B9630" t="str">
        <f>"016120"</f>
        <v>0</v>
      </c>
      <c r="C9630" t="s">
        <v>14631</v>
      </c>
      <c r="D9630" t="s">
        <v>14632</v>
      </c>
      <c r="E9630" t="str">
        <f>"3130500258728"</f>
        <v>0</v>
      </c>
      <c r="F9630" t="str">
        <f>"001710"</f>
        <v>0</v>
      </c>
      <c r="G9630" t="s">
        <v>21</v>
      </c>
    </row>
    <row r="9631" spans="1:7">
      <c r="A9631">
        <v>9630</v>
      </c>
      <c r="B9631" t="str">
        <f>"017026"</f>
        <v>0</v>
      </c>
      <c r="C9631" t="s">
        <v>14633</v>
      </c>
      <c r="D9631" t="s">
        <v>14634</v>
      </c>
      <c r="E9631" t="str">
        <f>"3301200133660"</f>
        <v>0</v>
      </c>
      <c r="F9631" t="str">
        <f>"001710"</f>
        <v>0</v>
      </c>
      <c r="G9631" t="s">
        <v>21</v>
      </c>
    </row>
    <row r="9632" spans="1:7">
      <c r="A9632">
        <v>9631</v>
      </c>
      <c r="B9632" t="str">
        <f>"018910"</f>
        <v>0</v>
      </c>
      <c r="C9632" t="s">
        <v>8150</v>
      </c>
      <c r="D9632" t="s">
        <v>14635</v>
      </c>
      <c r="E9632" t="str">
        <f>"3750200130801"</f>
        <v>0</v>
      </c>
      <c r="F9632" t="str">
        <f>"001710"</f>
        <v>0</v>
      </c>
      <c r="G9632" t="s">
        <v>21</v>
      </c>
    </row>
    <row r="9633" spans="1:7">
      <c r="A9633">
        <v>9632</v>
      </c>
      <c r="B9633" t="str">
        <f>"020279"</f>
        <v>0</v>
      </c>
      <c r="C9633" t="s">
        <v>14636</v>
      </c>
      <c r="D9633" t="s">
        <v>14637</v>
      </c>
      <c r="E9633" t="str">
        <f>"3750100037958"</f>
        <v>0</v>
      </c>
      <c r="F9633" t="str">
        <f>"001710"</f>
        <v>0</v>
      </c>
      <c r="G9633" t="s">
        <v>21</v>
      </c>
    </row>
    <row r="9634" spans="1:7">
      <c r="A9634">
        <v>9633</v>
      </c>
      <c r="B9634" t="str">
        <f>"020415"</f>
        <v>0</v>
      </c>
      <c r="C9634" t="s">
        <v>525</v>
      </c>
      <c r="D9634" t="s">
        <v>14638</v>
      </c>
      <c r="E9634" t="str">
        <f>"3750200052053"</f>
        <v>0</v>
      </c>
      <c r="F9634" t="str">
        <f>"001710"</f>
        <v>0</v>
      </c>
      <c r="G9634" t="s">
        <v>21</v>
      </c>
    </row>
    <row r="9635" spans="1:7">
      <c r="A9635">
        <v>9634</v>
      </c>
      <c r="B9635" t="str">
        <f>"020970"</f>
        <v>0</v>
      </c>
      <c r="C9635" t="s">
        <v>14639</v>
      </c>
      <c r="D9635" t="s">
        <v>14640</v>
      </c>
      <c r="E9635" t="str">
        <f>"3750300110918"</f>
        <v>0</v>
      </c>
      <c r="F9635" t="str">
        <f>"001710"</f>
        <v>0</v>
      </c>
      <c r="G9635" t="s">
        <v>21</v>
      </c>
    </row>
    <row r="9636" spans="1:7">
      <c r="A9636">
        <v>9635</v>
      </c>
      <c r="B9636" t="str">
        <f>"021061"</f>
        <v>0</v>
      </c>
      <c r="C9636" t="s">
        <v>14641</v>
      </c>
      <c r="D9636" t="s">
        <v>14642</v>
      </c>
      <c r="E9636" t="str">
        <f>"3160101358206"</f>
        <v>0</v>
      </c>
      <c r="F9636" t="str">
        <f>"001710"</f>
        <v>0</v>
      </c>
      <c r="G9636" t="s">
        <v>21</v>
      </c>
    </row>
    <row r="9637" spans="1:7">
      <c r="A9637">
        <v>9636</v>
      </c>
      <c r="B9637" t="str">
        <f>"022097"</f>
        <v>0</v>
      </c>
      <c r="C9637" t="s">
        <v>14643</v>
      </c>
      <c r="D9637" t="s">
        <v>14644</v>
      </c>
      <c r="E9637" t="str">
        <f>"5760700003660"</f>
        <v>0</v>
      </c>
      <c r="F9637" t="str">
        <f>"001710"</f>
        <v>0</v>
      </c>
      <c r="G9637" t="s">
        <v>21</v>
      </c>
    </row>
    <row r="9638" spans="1:7">
      <c r="A9638">
        <v>9637</v>
      </c>
      <c r="B9638" t="str">
        <f>"022156"</f>
        <v>0</v>
      </c>
      <c r="C9638" t="s">
        <v>14645</v>
      </c>
      <c r="D9638" t="s">
        <v>14646</v>
      </c>
      <c r="E9638" t="str">
        <f>"3759900320482"</f>
        <v>0</v>
      </c>
      <c r="F9638" t="str">
        <f>"001710"</f>
        <v>0</v>
      </c>
      <c r="G9638" t="s">
        <v>21</v>
      </c>
    </row>
    <row r="9639" spans="1:7">
      <c r="A9639">
        <v>9638</v>
      </c>
      <c r="B9639" t="str">
        <f>"022581"</f>
        <v>0</v>
      </c>
      <c r="C9639" t="s">
        <v>8019</v>
      </c>
      <c r="D9639" t="s">
        <v>14647</v>
      </c>
      <c r="E9639" t="str">
        <f>"1120100111715"</f>
        <v>0</v>
      </c>
      <c r="F9639" t="str">
        <f>"001710"</f>
        <v>0</v>
      </c>
      <c r="G9639" t="s">
        <v>21</v>
      </c>
    </row>
    <row r="9640" spans="1:7">
      <c r="A9640">
        <v>9639</v>
      </c>
      <c r="B9640" t="str">
        <f>"022812"</f>
        <v>0</v>
      </c>
      <c r="C9640" t="s">
        <v>14648</v>
      </c>
      <c r="D9640" t="s">
        <v>6719</v>
      </c>
      <c r="E9640" t="str">
        <f>"3750100069205"</f>
        <v>0</v>
      </c>
      <c r="F9640" t="str">
        <f>"001710"</f>
        <v>0</v>
      </c>
      <c r="G9640" t="s">
        <v>21</v>
      </c>
    </row>
    <row r="9641" spans="1:7">
      <c r="A9641">
        <v>9640</v>
      </c>
      <c r="B9641" t="str">
        <f>"023125"</f>
        <v>0</v>
      </c>
      <c r="C9641" t="s">
        <v>14649</v>
      </c>
      <c r="D9641" t="s">
        <v>14650</v>
      </c>
      <c r="E9641" t="str">
        <f>"1750200005253"</f>
        <v>0</v>
      </c>
      <c r="F9641" t="str">
        <f>"001710"</f>
        <v>0</v>
      </c>
      <c r="G9641" t="s">
        <v>21</v>
      </c>
    </row>
    <row r="9642" spans="1:7">
      <c r="A9642">
        <v>9641</v>
      </c>
      <c r="B9642" t="str">
        <f>"023359"</f>
        <v>0</v>
      </c>
      <c r="C9642" t="s">
        <v>7426</v>
      </c>
      <c r="D9642" t="s">
        <v>14651</v>
      </c>
      <c r="E9642" t="str">
        <f>"3750100026786"</f>
        <v>0</v>
      </c>
      <c r="F9642" t="str">
        <f>"001710"</f>
        <v>0</v>
      </c>
      <c r="G9642" t="s">
        <v>21</v>
      </c>
    </row>
    <row r="9643" spans="1:7">
      <c r="A9643">
        <v>9642</v>
      </c>
      <c r="B9643" t="str">
        <f>"025337"</f>
        <v>0</v>
      </c>
      <c r="C9643" t="s">
        <v>14652</v>
      </c>
      <c r="D9643" t="s">
        <v>14653</v>
      </c>
      <c r="E9643" t="str">
        <f>"3750100409456"</f>
        <v>0</v>
      </c>
      <c r="F9643" t="str">
        <f>"001710"</f>
        <v>0</v>
      </c>
      <c r="G9643" t="s">
        <v>21</v>
      </c>
    </row>
    <row r="9644" spans="1:7">
      <c r="A9644">
        <v>9643</v>
      </c>
      <c r="B9644" t="str">
        <f>"025390"</f>
        <v>0</v>
      </c>
      <c r="C9644" t="s">
        <v>14654</v>
      </c>
      <c r="D9644" t="s">
        <v>14655</v>
      </c>
      <c r="E9644" t="str">
        <f>"3102000165382"</f>
        <v>0</v>
      </c>
      <c r="F9644" t="str">
        <f>"001710"</f>
        <v>0</v>
      </c>
      <c r="G9644" t="s">
        <v>21</v>
      </c>
    </row>
    <row r="9645" spans="1:7">
      <c r="A9645">
        <v>9644</v>
      </c>
      <c r="B9645" t="str">
        <f>"026226"</f>
        <v>0</v>
      </c>
      <c r="C9645" t="s">
        <v>3970</v>
      </c>
      <c r="D9645" t="s">
        <v>14656</v>
      </c>
      <c r="E9645" t="str">
        <f>"1759900243856"</f>
        <v>0</v>
      </c>
      <c r="F9645" t="str">
        <f>"001710"</f>
        <v>0</v>
      </c>
      <c r="G9645" t="s">
        <v>21</v>
      </c>
    </row>
    <row r="9646" spans="1:7">
      <c r="A9646">
        <v>9645</v>
      </c>
      <c r="B9646" t="str">
        <f>"026533"</f>
        <v>0</v>
      </c>
      <c r="C9646" t="s">
        <v>14657</v>
      </c>
      <c r="D9646" t="s">
        <v>14658</v>
      </c>
      <c r="E9646" t="str">
        <f>"1759900141743"</f>
        <v>0</v>
      </c>
      <c r="F9646" t="str">
        <f>"001710"</f>
        <v>0</v>
      </c>
      <c r="G9646" t="s">
        <v>21</v>
      </c>
    </row>
    <row r="9647" spans="1:7">
      <c r="A9647">
        <v>9646</v>
      </c>
      <c r="B9647" t="str">
        <f>"021186"</f>
        <v>0</v>
      </c>
      <c r="C9647" t="s">
        <v>14659</v>
      </c>
      <c r="D9647" t="s">
        <v>5508</v>
      </c>
      <c r="E9647" t="str">
        <f>"3750300260804"</f>
        <v>0</v>
      </c>
      <c r="F9647" t="str">
        <f>"001710"</f>
        <v>0</v>
      </c>
      <c r="G9647" t="s">
        <v>21</v>
      </c>
    </row>
    <row r="9648" spans="1:7">
      <c r="A9648">
        <v>9647</v>
      </c>
      <c r="B9648" t="str">
        <f>"027314"</f>
        <v>0</v>
      </c>
      <c r="C9648" t="s">
        <v>14660</v>
      </c>
      <c r="D9648" t="s">
        <v>14661</v>
      </c>
      <c r="E9648" t="str">
        <f>"5760190001610"</f>
        <v>0</v>
      </c>
      <c r="F9648" t="str">
        <f>"001710"</f>
        <v>0</v>
      </c>
      <c r="G9648" t="s">
        <v>21</v>
      </c>
    </row>
    <row r="9649" spans="1:7">
      <c r="A9649">
        <v>9648</v>
      </c>
      <c r="B9649" t="str">
        <f>"025561"</f>
        <v>0</v>
      </c>
      <c r="C9649" t="s">
        <v>14662</v>
      </c>
      <c r="D9649" t="s">
        <v>14663</v>
      </c>
      <c r="E9649" t="str">
        <f>"1709900206390"</f>
        <v>0</v>
      </c>
      <c r="F9649" t="str">
        <f>"001710"</f>
        <v>0</v>
      </c>
      <c r="G9649" t="s">
        <v>21</v>
      </c>
    </row>
    <row r="9650" spans="1:7">
      <c r="A9650">
        <v>9649</v>
      </c>
      <c r="B9650" t="str">
        <f>"012544"</f>
        <v>0</v>
      </c>
      <c r="C9650" t="s">
        <v>14664</v>
      </c>
      <c r="D9650" t="s">
        <v>4090</v>
      </c>
      <c r="E9650" t="str">
        <f>"3909900095215"</f>
        <v>0</v>
      </c>
      <c r="F9650" t="str">
        <f>"001710"</f>
        <v>0</v>
      </c>
      <c r="G9650" t="s">
        <v>21</v>
      </c>
    </row>
    <row r="9651" spans="1:7">
      <c r="A9651">
        <v>9650</v>
      </c>
      <c r="B9651" t="str">
        <f>"000523"</f>
        <v>0</v>
      </c>
      <c r="C9651" t="s">
        <v>14665</v>
      </c>
      <c r="D9651" t="s">
        <v>14666</v>
      </c>
      <c r="E9651" t="str">
        <f>"3740200372945"</f>
        <v>0</v>
      </c>
      <c r="F9651" t="str">
        <f>"001720"</f>
        <v>0</v>
      </c>
      <c r="G9651" t="s">
        <v>21</v>
      </c>
    </row>
    <row r="9652" spans="1:7">
      <c r="A9652">
        <v>9651</v>
      </c>
      <c r="B9652" t="str">
        <f>"002052"</f>
        <v>0</v>
      </c>
      <c r="C9652" t="s">
        <v>14055</v>
      </c>
      <c r="D9652" t="s">
        <v>14666</v>
      </c>
      <c r="E9652" t="str">
        <f>"3619900063677"</f>
        <v>0</v>
      </c>
      <c r="F9652" t="str">
        <f>"001720"</f>
        <v>0</v>
      </c>
      <c r="G9652" t="s">
        <v>21</v>
      </c>
    </row>
    <row r="9653" spans="1:7">
      <c r="A9653">
        <v>9652</v>
      </c>
      <c r="B9653" t="str">
        <f>"003255"</f>
        <v>0</v>
      </c>
      <c r="C9653" t="s">
        <v>2811</v>
      </c>
      <c r="D9653" t="s">
        <v>5304</v>
      </c>
      <c r="E9653" t="str">
        <f>"3740300360141"</f>
        <v>0</v>
      </c>
      <c r="F9653" t="str">
        <f>"001720"</f>
        <v>0</v>
      </c>
      <c r="G9653" t="s">
        <v>21</v>
      </c>
    </row>
    <row r="9654" spans="1:7">
      <c r="A9654">
        <v>9653</v>
      </c>
      <c r="B9654" t="str">
        <f>"005691"</f>
        <v>0</v>
      </c>
      <c r="C9654" t="s">
        <v>191</v>
      </c>
      <c r="D9654" t="s">
        <v>14667</v>
      </c>
      <c r="E9654" t="str">
        <f>"3479900063610"</f>
        <v>0</v>
      </c>
      <c r="F9654" t="str">
        <f>"001720"</f>
        <v>0</v>
      </c>
      <c r="G9654" t="s">
        <v>21</v>
      </c>
    </row>
    <row r="9655" spans="1:7">
      <c r="A9655">
        <v>9654</v>
      </c>
      <c r="B9655" t="str">
        <f>"007649"</f>
        <v>0</v>
      </c>
      <c r="C9655" t="s">
        <v>3095</v>
      </c>
      <c r="D9655" t="s">
        <v>14668</v>
      </c>
      <c r="E9655" t="str">
        <f>"3100203436869"</f>
        <v>0</v>
      </c>
      <c r="F9655" t="str">
        <f>"001720"</f>
        <v>0</v>
      </c>
      <c r="G9655" t="s">
        <v>21</v>
      </c>
    </row>
    <row r="9656" spans="1:7">
      <c r="A9656">
        <v>9655</v>
      </c>
      <c r="B9656" t="str">
        <f>"008044"</f>
        <v>0</v>
      </c>
      <c r="C9656" t="s">
        <v>14669</v>
      </c>
      <c r="D9656" t="s">
        <v>6022</v>
      </c>
      <c r="E9656" t="str">
        <f>"3920100799171"</f>
        <v>0</v>
      </c>
      <c r="F9656" t="str">
        <f>"001720"</f>
        <v>0</v>
      </c>
      <c r="G9656" t="s">
        <v>21</v>
      </c>
    </row>
    <row r="9657" spans="1:7">
      <c r="A9657">
        <v>9656</v>
      </c>
      <c r="B9657" t="str">
        <f>"008447"</f>
        <v>0</v>
      </c>
      <c r="C9657" t="s">
        <v>14670</v>
      </c>
      <c r="D9657" t="s">
        <v>14671</v>
      </c>
      <c r="E9657" t="str">
        <f>"5740100048671"</f>
        <v>0</v>
      </c>
      <c r="F9657" t="str">
        <f>"001720"</f>
        <v>0</v>
      </c>
      <c r="G9657" t="s">
        <v>21</v>
      </c>
    </row>
    <row r="9658" spans="1:7">
      <c r="A9658">
        <v>9657</v>
      </c>
      <c r="B9658" t="str">
        <f>"008977"</f>
        <v>0</v>
      </c>
      <c r="C9658" t="s">
        <v>411</v>
      </c>
      <c r="D9658" t="s">
        <v>14672</v>
      </c>
      <c r="E9658" t="str">
        <f>"3411200343655"</f>
        <v>0</v>
      </c>
      <c r="F9658" t="str">
        <f>"001720"</f>
        <v>0</v>
      </c>
      <c r="G9658" t="s">
        <v>21</v>
      </c>
    </row>
    <row r="9659" spans="1:7">
      <c r="A9659">
        <v>9658</v>
      </c>
      <c r="B9659" t="str">
        <f>"009626"</f>
        <v>0</v>
      </c>
      <c r="C9659" t="s">
        <v>4305</v>
      </c>
      <c r="D9659" t="s">
        <v>14673</v>
      </c>
      <c r="E9659" t="str">
        <f>"3860700387398"</f>
        <v>0</v>
      </c>
      <c r="F9659" t="str">
        <f>"001720"</f>
        <v>0</v>
      </c>
      <c r="G9659" t="s">
        <v>21</v>
      </c>
    </row>
    <row r="9660" spans="1:7">
      <c r="A9660">
        <v>9659</v>
      </c>
      <c r="B9660" t="str">
        <f>"011589"</f>
        <v>0</v>
      </c>
      <c r="C9660" t="s">
        <v>173</v>
      </c>
      <c r="D9660" t="s">
        <v>14674</v>
      </c>
      <c r="E9660" t="str">
        <f>"3740300246615"</f>
        <v>0</v>
      </c>
      <c r="F9660" t="str">
        <f>"001720"</f>
        <v>0</v>
      </c>
      <c r="G9660" t="s">
        <v>21</v>
      </c>
    </row>
    <row r="9661" spans="1:7">
      <c r="A9661">
        <v>9660</v>
      </c>
      <c r="B9661" t="str">
        <f>"011918"</f>
        <v>0</v>
      </c>
      <c r="C9661" t="s">
        <v>14675</v>
      </c>
      <c r="D9661" t="s">
        <v>14676</v>
      </c>
      <c r="E9661" t="str">
        <f>"3810400257375"</f>
        <v>0</v>
      </c>
      <c r="F9661" t="str">
        <f>"001720"</f>
        <v>0</v>
      </c>
      <c r="G9661" t="s">
        <v>21</v>
      </c>
    </row>
    <row r="9662" spans="1:7">
      <c r="A9662">
        <v>9661</v>
      </c>
      <c r="B9662" t="str">
        <f>"014796"</f>
        <v>0</v>
      </c>
      <c r="C9662" t="s">
        <v>3557</v>
      </c>
      <c r="D9662" t="s">
        <v>14677</v>
      </c>
      <c r="E9662" t="str">
        <f>"3130100408650"</f>
        <v>0</v>
      </c>
      <c r="F9662" t="str">
        <f>"001720"</f>
        <v>0</v>
      </c>
      <c r="G9662" t="s">
        <v>21</v>
      </c>
    </row>
    <row r="9663" spans="1:7">
      <c r="A9663">
        <v>9662</v>
      </c>
      <c r="B9663" t="str">
        <f>"015838"</f>
        <v>0</v>
      </c>
      <c r="C9663" t="s">
        <v>5737</v>
      </c>
      <c r="D9663" t="s">
        <v>7578</v>
      </c>
      <c r="E9663" t="str">
        <f>"3740200534015"</f>
        <v>0</v>
      </c>
      <c r="F9663" t="str">
        <f>"001720"</f>
        <v>0</v>
      </c>
      <c r="G9663" t="s">
        <v>21</v>
      </c>
    </row>
    <row r="9664" spans="1:7">
      <c r="A9664">
        <v>9663</v>
      </c>
      <c r="B9664" t="str">
        <f>"016607"</f>
        <v>0</v>
      </c>
      <c r="C9664" t="s">
        <v>14678</v>
      </c>
      <c r="D9664" t="s">
        <v>14679</v>
      </c>
      <c r="E9664" t="str">
        <f>"3770400082843"</f>
        <v>0</v>
      </c>
      <c r="F9664" t="str">
        <f>"001720"</f>
        <v>0</v>
      </c>
      <c r="G9664" t="s">
        <v>21</v>
      </c>
    </row>
    <row r="9665" spans="1:7">
      <c r="A9665">
        <v>9664</v>
      </c>
      <c r="B9665" t="str">
        <f>"017708"</f>
        <v>0</v>
      </c>
      <c r="C9665" t="s">
        <v>14680</v>
      </c>
      <c r="D9665" t="s">
        <v>14681</v>
      </c>
      <c r="E9665" t="str">
        <f>"3740100342696"</f>
        <v>0</v>
      </c>
      <c r="F9665" t="str">
        <f>"001720"</f>
        <v>0</v>
      </c>
      <c r="G9665" t="s">
        <v>21</v>
      </c>
    </row>
    <row r="9666" spans="1:7">
      <c r="A9666">
        <v>9665</v>
      </c>
      <c r="B9666" t="str">
        <f>"021548"</f>
        <v>0</v>
      </c>
      <c r="C9666" t="s">
        <v>2445</v>
      </c>
      <c r="D9666" t="s">
        <v>6429</v>
      </c>
      <c r="E9666" t="str">
        <f>"3501200875559"</f>
        <v>0</v>
      </c>
      <c r="F9666" t="str">
        <f>"001720"</f>
        <v>0</v>
      </c>
      <c r="G9666" t="s">
        <v>21</v>
      </c>
    </row>
    <row r="9667" spans="1:7">
      <c r="A9667">
        <v>9666</v>
      </c>
      <c r="B9667" t="str">
        <f>"023182"</f>
        <v>0</v>
      </c>
      <c r="C9667" t="s">
        <v>3387</v>
      </c>
      <c r="D9667" t="s">
        <v>14682</v>
      </c>
      <c r="E9667" t="str">
        <f>"3740100334146"</f>
        <v>0</v>
      </c>
      <c r="F9667" t="str">
        <f>"001720"</f>
        <v>0</v>
      </c>
      <c r="G9667" t="s">
        <v>21</v>
      </c>
    </row>
    <row r="9668" spans="1:7">
      <c r="A9668">
        <v>9667</v>
      </c>
      <c r="B9668" t="str">
        <f>"023528"</f>
        <v>0</v>
      </c>
      <c r="C9668" t="s">
        <v>14683</v>
      </c>
      <c r="D9668" t="s">
        <v>14684</v>
      </c>
      <c r="E9668" t="str">
        <f>"3749900323546"</f>
        <v>0</v>
      </c>
      <c r="F9668" t="str">
        <f>"001720"</f>
        <v>0</v>
      </c>
      <c r="G9668" t="s">
        <v>21</v>
      </c>
    </row>
    <row r="9669" spans="1:7">
      <c r="A9669">
        <v>9668</v>
      </c>
      <c r="B9669" t="str">
        <f>"020247"</f>
        <v>0</v>
      </c>
      <c r="C9669" t="s">
        <v>14685</v>
      </c>
      <c r="D9669" t="s">
        <v>14686</v>
      </c>
      <c r="E9669" t="str">
        <f>"3100700404850"</f>
        <v>0</v>
      </c>
      <c r="F9669" t="str">
        <f>"001720"</f>
        <v>0</v>
      </c>
      <c r="G9669" t="s">
        <v>21</v>
      </c>
    </row>
    <row r="9670" spans="1:7">
      <c r="A9670">
        <v>9669</v>
      </c>
      <c r="B9670" t="str">
        <f>"023043"</f>
        <v>0</v>
      </c>
      <c r="C9670" t="s">
        <v>14687</v>
      </c>
      <c r="D9670" t="s">
        <v>14688</v>
      </c>
      <c r="E9670" t="str">
        <f>"3740300209001"</f>
        <v>0</v>
      </c>
      <c r="F9670" t="str">
        <f>"001720"</f>
        <v>0</v>
      </c>
      <c r="G9670" t="s">
        <v>21</v>
      </c>
    </row>
    <row r="9671" spans="1:7">
      <c r="A9671">
        <v>9670</v>
      </c>
      <c r="B9671" t="str">
        <f>"006158"</f>
        <v>0</v>
      </c>
      <c r="C9671" t="s">
        <v>14689</v>
      </c>
      <c r="D9671" t="s">
        <v>7711</v>
      </c>
      <c r="E9671" t="str">
        <f>"3102001051496"</f>
        <v>0</v>
      </c>
      <c r="F9671" t="str">
        <f>"001720"</f>
        <v>0</v>
      </c>
      <c r="G9671" t="s">
        <v>21</v>
      </c>
    </row>
    <row r="9672" spans="1:7">
      <c r="A9672">
        <v>9671</v>
      </c>
      <c r="B9672" t="str">
        <f>"002608"</f>
        <v>0</v>
      </c>
      <c r="C9672" t="s">
        <v>14690</v>
      </c>
      <c r="D9672" t="s">
        <v>14691</v>
      </c>
      <c r="E9672" t="str">
        <f>"3120100816774"</f>
        <v>0</v>
      </c>
      <c r="F9672" t="str">
        <f>"001720"</f>
        <v>0</v>
      </c>
      <c r="G9672" t="s">
        <v>21</v>
      </c>
    </row>
    <row r="9673" spans="1:7">
      <c r="A9673">
        <v>9672</v>
      </c>
      <c r="B9673" t="str">
        <f>"022763"</f>
        <v>0</v>
      </c>
      <c r="C9673" t="s">
        <v>9377</v>
      </c>
      <c r="D9673" t="s">
        <v>14692</v>
      </c>
      <c r="E9673" t="str">
        <f>"3411500066193"</f>
        <v>0</v>
      </c>
      <c r="F9673" t="str">
        <f>"001720"</f>
        <v>0</v>
      </c>
      <c r="G9673" t="s">
        <v>21</v>
      </c>
    </row>
    <row r="9674" spans="1:7">
      <c r="A9674">
        <v>9673</v>
      </c>
      <c r="B9674" t="str">
        <f>"025479"</f>
        <v>0</v>
      </c>
      <c r="C9674" t="s">
        <v>3719</v>
      </c>
      <c r="D9674" t="s">
        <v>14693</v>
      </c>
      <c r="E9674" t="str">
        <f>"3101801060774"</f>
        <v>0</v>
      </c>
      <c r="F9674" t="str">
        <f>"001720"</f>
        <v>0</v>
      </c>
      <c r="G9674" t="s">
        <v>21</v>
      </c>
    </row>
    <row r="9675" spans="1:7">
      <c r="A9675">
        <v>9674</v>
      </c>
      <c r="B9675" t="str">
        <f>"018086"</f>
        <v>0</v>
      </c>
      <c r="C9675" t="s">
        <v>4605</v>
      </c>
      <c r="D9675" t="s">
        <v>14694</v>
      </c>
      <c r="E9675" t="str">
        <f>"3550600129608"</f>
        <v>0</v>
      </c>
      <c r="F9675" t="str">
        <f>"001720"</f>
        <v>0</v>
      </c>
      <c r="G9675" t="s">
        <v>21</v>
      </c>
    </row>
    <row r="9676" spans="1:7">
      <c r="A9676">
        <v>9675</v>
      </c>
      <c r="B9676" t="str">
        <f>"022442"</f>
        <v>0</v>
      </c>
      <c r="C9676" t="s">
        <v>5015</v>
      </c>
      <c r="D9676" t="s">
        <v>14695</v>
      </c>
      <c r="E9676" t="str">
        <f>"1450100005882"</f>
        <v>0</v>
      </c>
      <c r="F9676" t="str">
        <f>"001720"</f>
        <v>0</v>
      </c>
      <c r="G9676" t="s">
        <v>21</v>
      </c>
    </row>
    <row r="9677" spans="1:7">
      <c r="A9677">
        <v>9676</v>
      </c>
      <c r="B9677" t="str">
        <f>"021952"</f>
        <v>0</v>
      </c>
      <c r="C9677" t="s">
        <v>1998</v>
      </c>
      <c r="D9677" t="s">
        <v>14696</v>
      </c>
      <c r="E9677" t="str">
        <f>"3140400041425"</f>
        <v>0</v>
      </c>
      <c r="F9677" t="str">
        <f>"001720"</f>
        <v>0</v>
      </c>
      <c r="G9677" t="s">
        <v>21</v>
      </c>
    </row>
    <row r="9678" spans="1:7">
      <c r="A9678">
        <v>9677</v>
      </c>
      <c r="B9678" t="str">
        <f>"019527"</f>
        <v>0</v>
      </c>
      <c r="C9678" t="s">
        <v>46</v>
      </c>
      <c r="D9678" t="s">
        <v>14697</v>
      </c>
      <c r="E9678" t="str">
        <f>"3160500021256"</f>
        <v>0</v>
      </c>
      <c r="F9678" t="str">
        <f>"001720"</f>
        <v>0</v>
      </c>
      <c r="G9678" t="s">
        <v>21</v>
      </c>
    </row>
    <row r="9679" spans="1:7">
      <c r="A9679">
        <v>9678</v>
      </c>
      <c r="B9679" t="str">
        <f>"021489"</f>
        <v>0</v>
      </c>
      <c r="C9679" t="s">
        <v>14698</v>
      </c>
      <c r="D9679" t="s">
        <v>14106</v>
      </c>
      <c r="E9679" t="str">
        <f>"3700400672276"</f>
        <v>0</v>
      </c>
      <c r="F9679" t="str">
        <f>"001720"</f>
        <v>0</v>
      </c>
      <c r="G9679" t="s">
        <v>21</v>
      </c>
    </row>
    <row r="9680" spans="1:7">
      <c r="A9680">
        <v>9679</v>
      </c>
      <c r="B9680" t="str">
        <f>"024995"</f>
        <v>0</v>
      </c>
      <c r="C9680" t="s">
        <v>14699</v>
      </c>
      <c r="D9680" t="s">
        <v>14700</v>
      </c>
      <c r="E9680" t="str">
        <f>"1709900307820"</f>
        <v>0</v>
      </c>
      <c r="F9680" t="str">
        <f>"001720"</f>
        <v>0</v>
      </c>
      <c r="G9680" t="s">
        <v>21</v>
      </c>
    </row>
    <row r="9681" spans="1:7">
      <c r="A9681">
        <v>9680</v>
      </c>
      <c r="B9681" t="str">
        <f>"027215"</f>
        <v>0</v>
      </c>
      <c r="C9681" t="s">
        <v>14701</v>
      </c>
      <c r="D9681" t="s">
        <v>14702</v>
      </c>
      <c r="E9681" t="str">
        <f>"1709900664649"</f>
        <v>0</v>
      </c>
      <c r="F9681" t="str">
        <f>"001720"</f>
        <v>0</v>
      </c>
      <c r="G9681" t="s">
        <v>21</v>
      </c>
    </row>
    <row r="9682" spans="1:7">
      <c r="A9682">
        <v>9681</v>
      </c>
      <c r="B9682" t="str">
        <f>"023095"</f>
        <v>0</v>
      </c>
      <c r="C9682" t="s">
        <v>7405</v>
      </c>
      <c r="D9682" t="s">
        <v>14703</v>
      </c>
      <c r="E9682" t="str">
        <f>"3700100747882"</f>
        <v>0</v>
      </c>
      <c r="F9682" t="str">
        <f>"001720"</f>
        <v>0</v>
      </c>
      <c r="G9682" t="s">
        <v>21</v>
      </c>
    </row>
    <row r="9683" spans="1:7">
      <c r="A9683">
        <v>9682</v>
      </c>
      <c r="B9683" t="str">
        <f>"025751"</f>
        <v>0</v>
      </c>
      <c r="C9683" t="s">
        <v>2157</v>
      </c>
      <c r="D9683" t="s">
        <v>14704</v>
      </c>
      <c r="E9683" t="str">
        <f>"1710500215881"</f>
        <v>0</v>
      </c>
      <c r="F9683" t="str">
        <f>"001720"</f>
        <v>0</v>
      </c>
      <c r="G9683" t="s">
        <v>21</v>
      </c>
    </row>
    <row r="9684" spans="1:7">
      <c r="A9684">
        <v>9683</v>
      </c>
      <c r="B9684" t="str">
        <f>"013984"</f>
        <v>0</v>
      </c>
      <c r="C9684" t="s">
        <v>90</v>
      </c>
      <c r="D9684" t="s">
        <v>14705</v>
      </c>
      <c r="E9684" t="str">
        <f>"3730200529844"</f>
        <v>0</v>
      </c>
      <c r="F9684" t="str">
        <f>"001720"</f>
        <v>0</v>
      </c>
      <c r="G9684" t="s">
        <v>21</v>
      </c>
    </row>
    <row r="9685" spans="1:7">
      <c r="A9685">
        <v>9684</v>
      </c>
      <c r="B9685" t="str">
        <f>"024996"</f>
        <v>0</v>
      </c>
      <c r="C9685" t="s">
        <v>11953</v>
      </c>
      <c r="D9685" t="s">
        <v>14706</v>
      </c>
      <c r="E9685" t="str">
        <f>"1730600010416"</f>
        <v>0</v>
      </c>
      <c r="F9685" t="str">
        <f>"001720"</f>
        <v>0</v>
      </c>
      <c r="G9685" t="s">
        <v>21</v>
      </c>
    </row>
    <row r="9686" spans="1:7">
      <c r="A9686">
        <v>9685</v>
      </c>
      <c r="B9686" t="str">
        <f>"025338"</f>
        <v>0</v>
      </c>
      <c r="C9686" t="s">
        <v>14707</v>
      </c>
      <c r="D9686" t="s">
        <v>14708</v>
      </c>
      <c r="E9686" t="str">
        <f>"1739900008105"</f>
        <v>0</v>
      </c>
      <c r="F9686" t="str">
        <f>"001720"</f>
        <v>0</v>
      </c>
      <c r="G9686" t="s">
        <v>21</v>
      </c>
    </row>
    <row r="9687" spans="1:7">
      <c r="A9687">
        <v>9686</v>
      </c>
      <c r="B9687" t="str">
        <f>"011072"</f>
        <v>0</v>
      </c>
      <c r="C9687" t="s">
        <v>326</v>
      </c>
      <c r="D9687" t="s">
        <v>14709</v>
      </c>
      <c r="E9687" t="str">
        <f>"3770300319078"</f>
        <v>0</v>
      </c>
      <c r="F9687" t="str">
        <f>"001720"</f>
        <v>0</v>
      </c>
      <c r="G9687" t="s">
        <v>21</v>
      </c>
    </row>
    <row r="9688" spans="1:7">
      <c r="A9688">
        <v>9687</v>
      </c>
      <c r="B9688" t="str">
        <f>"012915"</f>
        <v>0</v>
      </c>
      <c r="C9688" t="s">
        <v>14710</v>
      </c>
      <c r="D9688" t="s">
        <v>14711</v>
      </c>
      <c r="E9688" t="str">
        <f>"3740200136761"</f>
        <v>0</v>
      </c>
      <c r="F9688" t="str">
        <f>"001720"</f>
        <v>0</v>
      </c>
      <c r="G9688" t="s">
        <v>21</v>
      </c>
    </row>
    <row r="9689" spans="1:7">
      <c r="A9689">
        <v>9688</v>
      </c>
      <c r="B9689" t="str">
        <f>"016610"</f>
        <v>0</v>
      </c>
      <c r="C9689" t="s">
        <v>391</v>
      </c>
      <c r="D9689" t="s">
        <v>14712</v>
      </c>
      <c r="E9689" t="str">
        <f>"3930300487653"</f>
        <v>0</v>
      </c>
      <c r="F9689" t="str">
        <f>"001720"</f>
        <v>0</v>
      </c>
      <c r="G9689" t="s">
        <v>21</v>
      </c>
    </row>
    <row r="9690" spans="1:7">
      <c r="A9690">
        <v>9689</v>
      </c>
      <c r="B9690" t="str">
        <f>"017917"</f>
        <v>0</v>
      </c>
      <c r="C9690" t="s">
        <v>957</v>
      </c>
      <c r="D9690" t="s">
        <v>7578</v>
      </c>
      <c r="E9690" t="str">
        <f>"3740200320520"</f>
        <v>0</v>
      </c>
      <c r="F9690" t="str">
        <f>"001720"</f>
        <v>0</v>
      </c>
      <c r="G9690" t="s">
        <v>21</v>
      </c>
    </row>
    <row r="9691" spans="1:7">
      <c r="A9691">
        <v>9690</v>
      </c>
      <c r="B9691" t="str">
        <f>"018931"</f>
        <v>0</v>
      </c>
      <c r="C9691" t="s">
        <v>14713</v>
      </c>
      <c r="D9691" t="s">
        <v>14714</v>
      </c>
      <c r="E9691" t="str">
        <f>"3740100203092"</f>
        <v>0</v>
      </c>
      <c r="F9691" t="str">
        <f>"001720"</f>
        <v>0</v>
      </c>
      <c r="G9691" t="s">
        <v>21</v>
      </c>
    </row>
    <row r="9692" spans="1:7">
      <c r="A9692">
        <v>9691</v>
      </c>
      <c r="B9692" t="str">
        <f>"019191"</f>
        <v>0</v>
      </c>
      <c r="C9692" t="s">
        <v>14715</v>
      </c>
      <c r="D9692" t="s">
        <v>14716</v>
      </c>
      <c r="E9692" t="str">
        <f>"3929800064440"</f>
        <v>0</v>
      </c>
      <c r="F9692" t="str">
        <f>"001720"</f>
        <v>0</v>
      </c>
      <c r="G9692" t="s">
        <v>21</v>
      </c>
    </row>
    <row r="9693" spans="1:7">
      <c r="A9693">
        <v>9692</v>
      </c>
      <c r="B9693" t="str">
        <f>"021641"</f>
        <v>0</v>
      </c>
      <c r="C9693" t="s">
        <v>14717</v>
      </c>
      <c r="D9693" t="s">
        <v>14718</v>
      </c>
      <c r="E9693" t="str">
        <f>"3929800019738"</f>
        <v>0</v>
      </c>
      <c r="F9693" t="str">
        <f>"001720"</f>
        <v>0</v>
      </c>
      <c r="G9693" t="s">
        <v>21</v>
      </c>
    </row>
    <row r="9694" spans="1:7">
      <c r="A9694">
        <v>9693</v>
      </c>
      <c r="B9694" t="str">
        <f>"023607"</f>
        <v>0</v>
      </c>
      <c r="C9694" t="s">
        <v>14719</v>
      </c>
      <c r="D9694" t="s">
        <v>14720</v>
      </c>
      <c r="E9694" t="str">
        <f>"3571100264574"</f>
        <v>0</v>
      </c>
      <c r="F9694" t="str">
        <f>"001720"</f>
        <v>0</v>
      </c>
      <c r="G9694" t="s">
        <v>21</v>
      </c>
    </row>
    <row r="9695" spans="1:7">
      <c r="A9695">
        <v>9694</v>
      </c>
      <c r="B9695" t="str">
        <f>"025901"</f>
        <v>0</v>
      </c>
      <c r="C9695" t="s">
        <v>6255</v>
      </c>
      <c r="D9695" t="s">
        <v>14721</v>
      </c>
      <c r="E9695" t="str">
        <f>"1759900117133"</f>
        <v>0</v>
      </c>
      <c r="F9695" t="str">
        <f>"001720"</f>
        <v>0</v>
      </c>
      <c r="G9695" t="s">
        <v>21</v>
      </c>
    </row>
    <row r="9696" spans="1:7">
      <c r="A9696">
        <v>9695</v>
      </c>
      <c r="B9696" t="str">
        <f>"026037"</f>
        <v>0</v>
      </c>
      <c r="C9696" t="s">
        <v>13551</v>
      </c>
      <c r="D9696" t="s">
        <v>14722</v>
      </c>
      <c r="E9696" t="str">
        <f>"3740300270826"</f>
        <v>0</v>
      </c>
      <c r="F9696" t="str">
        <f>"001720"</f>
        <v>0</v>
      </c>
      <c r="G9696" t="s">
        <v>21</v>
      </c>
    </row>
    <row r="9697" spans="1:7">
      <c r="A9697">
        <v>9696</v>
      </c>
      <c r="B9697" t="str">
        <f>"026227"</f>
        <v>0</v>
      </c>
      <c r="C9697" t="s">
        <v>6686</v>
      </c>
      <c r="D9697" t="s">
        <v>14723</v>
      </c>
      <c r="E9697" t="str">
        <f>"1749900174935"</f>
        <v>0</v>
      </c>
      <c r="F9697" t="str">
        <f>"001720"</f>
        <v>0</v>
      </c>
      <c r="G9697" t="s">
        <v>21</v>
      </c>
    </row>
    <row r="9698" spans="1:7">
      <c r="A9698">
        <v>9697</v>
      </c>
      <c r="B9698" t="str">
        <f>"026534"</f>
        <v>0</v>
      </c>
      <c r="C9698" t="s">
        <v>14724</v>
      </c>
      <c r="D9698" t="s">
        <v>14725</v>
      </c>
      <c r="E9698" t="str">
        <f>"1740300079313"</f>
        <v>0</v>
      </c>
      <c r="F9698" t="str">
        <f>"001720"</f>
        <v>0</v>
      </c>
      <c r="G9698" t="s">
        <v>21</v>
      </c>
    </row>
    <row r="9699" spans="1:7">
      <c r="A9699">
        <v>9698</v>
      </c>
      <c r="B9699" t="str">
        <f>"022480"</f>
        <v>0</v>
      </c>
      <c r="C9699" t="s">
        <v>14726</v>
      </c>
      <c r="D9699" t="s">
        <v>14727</v>
      </c>
      <c r="E9699" t="str">
        <f>"3720701036212"</f>
        <v>0</v>
      </c>
      <c r="F9699" t="str">
        <f>"001720"</f>
        <v>0</v>
      </c>
      <c r="G9699" t="s">
        <v>21</v>
      </c>
    </row>
    <row r="9700" spans="1:7">
      <c r="A9700">
        <v>9699</v>
      </c>
      <c r="B9700" t="str">
        <f>"020295"</f>
        <v>0</v>
      </c>
      <c r="C9700" t="s">
        <v>1458</v>
      </c>
      <c r="D9700" t="s">
        <v>14728</v>
      </c>
      <c r="E9700" t="str">
        <f>"3349900356715"</f>
        <v>0</v>
      </c>
      <c r="F9700" t="str">
        <f>"001720"</f>
        <v>0</v>
      </c>
      <c r="G9700" t="s">
        <v>21</v>
      </c>
    </row>
    <row r="9701" spans="1:7">
      <c r="A9701">
        <v>9700</v>
      </c>
      <c r="B9701" t="str">
        <f>"020350"</f>
        <v>0</v>
      </c>
      <c r="C9701" t="s">
        <v>4269</v>
      </c>
      <c r="D9701" t="s">
        <v>14729</v>
      </c>
      <c r="E9701" t="str">
        <f>"3949900009360"</f>
        <v>0</v>
      </c>
      <c r="F9701" t="str">
        <f>"001720"</f>
        <v>0</v>
      </c>
      <c r="G9701" t="s">
        <v>21</v>
      </c>
    </row>
    <row r="9702" spans="1:7">
      <c r="A9702">
        <v>9701</v>
      </c>
      <c r="B9702" t="str">
        <f>"016817"</f>
        <v>0</v>
      </c>
      <c r="C9702" t="s">
        <v>11727</v>
      </c>
      <c r="D9702" t="s">
        <v>10560</v>
      </c>
      <c r="E9702" t="str">
        <f>"3700700318206"</f>
        <v>0</v>
      </c>
      <c r="F9702" t="str">
        <f>"001720"</f>
        <v>0</v>
      </c>
      <c r="G9702" t="s">
        <v>21</v>
      </c>
    </row>
    <row r="9703" spans="1:7">
      <c r="A9703">
        <v>9702</v>
      </c>
      <c r="B9703" t="str">
        <f>"000717"</f>
        <v>0</v>
      </c>
      <c r="C9703" t="s">
        <v>11317</v>
      </c>
      <c r="D9703" t="s">
        <v>14730</v>
      </c>
      <c r="E9703" t="str">
        <f>"3250600032810"</f>
        <v>0</v>
      </c>
      <c r="F9703" t="str">
        <f>"001740"</f>
        <v>0</v>
      </c>
      <c r="G9703" t="s">
        <v>21</v>
      </c>
    </row>
    <row r="9704" spans="1:7">
      <c r="A9704">
        <v>9703</v>
      </c>
      <c r="B9704" t="str">
        <f>"000953"</f>
        <v>0</v>
      </c>
      <c r="C9704" t="s">
        <v>2607</v>
      </c>
      <c r="D9704" t="s">
        <v>14731</v>
      </c>
      <c r="E9704" t="str">
        <f>"3250900129142"</f>
        <v>0</v>
      </c>
      <c r="F9704" t="str">
        <f>"001740"</f>
        <v>0</v>
      </c>
      <c r="G9704" t="s">
        <v>21</v>
      </c>
    </row>
    <row r="9705" spans="1:7">
      <c r="A9705">
        <v>9704</v>
      </c>
      <c r="B9705" t="str">
        <f>"002786"</f>
        <v>0</v>
      </c>
      <c r="C9705" t="s">
        <v>5127</v>
      </c>
      <c r="D9705" t="s">
        <v>14732</v>
      </c>
      <c r="E9705" t="str">
        <f>"3251200092263"</f>
        <v>0</v>
      </c>
      <c r="F9705" t="str">
        <f>"001740"</f>
        <v>0</v>
      </c>
      <c r="G9705" t="s">
        <v>21</v>
      </c>
    </row>
    <row r="9706" spans="1:7">
      <c r="A9706">
        <v>9705</v>
      </c>
      <c r="B9706" t="str">
        <f>"003072"</f>
        <v>0</v>
      </c>
      <c r="C9706" t="s">
        <v>14733</v>
      </c>
      <c r="D9706" t="s">
        <v>14734</v>
      </c>
      <c r="E9706" t="str">
        <f>"3180400134750"</f>
        <v>0</v>
      </c>
      <c r="F9706" t="str">
        <f>"001740"</f>
        <v>0</v>
      </c>
      <c r="G9706" t="s">
        <v>21</v>
      </c>
    </row>
    <row r="9707" spans="1:7">
      <c r="A9707">
        <v>9706</v>
      </c>
      <c r="B9707" t="str">
        <f>"003653"</f>
        <v>0</v>
      </c>
      <c r="C9707" t="s">
        <v>14735</v>
      </c>
      <c r="D9707" t="s">
        <v>14736</v>
      </c>
      <c r="E9707" t="str">
        <f>"3259800029667"</f>
        <v>0</v>
      </c>
      <c r="F9707" t="str">
        <f>"001740"</f>
        <v>0</v>
      </c>
      <c r="G9707" t="s">
        <v>21</v>
      </c>
    </row>
    <row r="9708" spans="1:7">
      <c r="A9708">
        <v>9707</v>
      </c>
      <c r="B9708" t="str">
        <f>"004225"</f>
        <v>0</v>
      </c>
      <c r="C9708" t="s">
        <v>9057</v>
      </c>
      <c r="D9708" t="s">
        <v>2132</v>
      </c>
      <c r="E9708" t="str">
        <f>"3250400016004"</f>
        <v>0</v>
      </c>
      <c r="F9708" t="str">
        <f>"001740"</f>
        <v>0</v>
      </c>
      <c r="G9708" t="s">
        <v>21</v>
      </c>
    </row>
    <row r="9709" spans="1:7">
      <c r="A9709">
        <v>9708</v>
      </c>
      <c r="B9709" t="str">
        <f>"005995"</f>
        <v>0</v>
      </c>
      <c r="C9709" t="s">
        <v>442</v>
      </c>
      <c r="D9709" t="s">
        <v>1932</v>
      </c>
      <c r="E9709" t="str">
        <f>"3419900090421"</f>
        <v>0</v>
      </c>
      <c r="F9709" t="str">
        <f>"001740"</f>
        <v>0</v>
      </c>
      <c r="G9709" t="s">
        <v>21</v>
      </c>
    </row>
    <row r="9710" spans="1:7">
      <c r="A9710">
        <v>9709</v>
      </c>
      <c r="B9710" t="str">
        <f>"006071"</f>
        <v>0</v>
      </c>
      <c r="C9710" t="s">
        <v>14737</v>
      </c>
      <c r="D9710" t="s">
        <v>14738</v>
      </c>
      <c r="E9710" t="str">
        <f>"3251000413988"</f>
        <v>0</v>
      </c>
      <c r="F9710" t="str">
        <f>"001740"</f>
        <v>0</v>
      </c>
      <c r="G9710" t="s">
        <v>21</v>
      </c>
    </row>
    <row r="9711" spans="1:7">
      <c r="A9711">
        <v>9710</v>
      </c>
      <c r="B9711" t="str">
        <f>"006376"</f>
        <v>0</v>
      </c>
      <c r="C9711" t="s">
        <v>10569</v>
      </c>
      <c r="D9711" t="s">
        <v>2132</v>
      </c>
      <c r="E9711" t="str">
        <f>"3100903593126"</f>
        <v>0</v>
      </c>
      <c r="F9711" t="str">
        <f>"001740"</f>
        <v>0</v>
      </c>
      <c r="G9711" t="s">
        <v>21</v>
      </c>
    </row>
    <row r="9712" spans="1:7">
      <c r="A9712">
        <v>9711</v>
      </c>
      <c r="B9712" t="str">
        <f>"007409"</f>
        <v>0</v>
      </c>
      <c r="C9712" t="s">
        <v>9737</v>
      </c>
      <c r="D9712" t="s">
        <v>14739</v>
      </c>
      <c r="E9712" t="str">
        <f>"3250400516627"</f>
        <v>0</v>
      </c>
      <c r="F9712" t="str">
        <f>"001740"</f>
        <v>0</v>
      </c>
      <c r="G9712" t="s">
        <v>21</v>
      </c>
    </row>
    <row r="9713" spans="1:7">
      <c r="A9713">
        <v>9712</v>
      </c>
      <c r="B9713" t="str">
        <f>"007503"</f>
        <v>0</v>
      </c>
      <c r="C9713" t="s">
        <v>14740</v>
      </c>
      <c r="D9713" t="s">
        <v>14741</v>
      </c>
      <c r="E9713" t="str">
        <f>"3841400106726"</f>
        <v>0</v>
      </c>
      <c r="F9713" t="str">
        <f>"001740"</f>
        <v>0</v>
      </c>
      <c r="G9713" t="s">
        <v>21</v>
      </c>
    </row>
    <row r="9714" spans="1:7">
      <c r="A9714">
        <v>9713</v>
      </c>
      <c r="B9714" t="str">
        <f>"007736"</f>
        <v>0</v>
      </c>
      <c r="C9714" t="s">
        <v>1649</v>
      </c>
      <c r="D9714" t="s">
        <v>14742</v>
      </c>
      <c r="E9714" t="str">
        <f>"3251000478028"</f>
        <v>0</v>
      </c>
      <c r="F9714" t="str">
        <f>"001740"</f>
        <v>0</v>
      </c>
      <c r="G9714" t="s">
        <v>21</v>
      </c>
    </row>
    <row r="9715" spans="1:7">
      <c r="A9715">
        <v>9714</v>
      </c>
      <c r="B9715" t="str">
        <f>"008807"</f>
        <v>0</v>
      </c>
      <c r="C9715" t="s">
        <v>11389</v>
      </c>
      <c r="D9715" t="s">
        <v>14743</v>
      </c>
      <c r="E9715" t="str">
        <f>"3969900209300"</f>
        <v>0</v>
      </c>
      <c r="F9715" t="str">
        <f>"001740"</f>
        <v>0</v>
      </c>
      <c r="G9715" t="s">
        <v>21</v>
      </c>
    </row>
    <row r="9716" spans="1:7">
      <c r="A9716">
        <v>9715</v>
      </c>
      <c r="B9716" t="str">
        <f>"009598"</f>
        <v>0</v>
      </c>
      <c r="C9716" t="s">
        <v>14744</v>
      </c>
      <c r="D9716" t="s">
        <v>14745</v>
      </c>
      <c r="E9716" t="str">
        <f>"3440400369991"</f>
        <v>0</v>
      </c>
      <c r="F9716" t="str">
        <f>"001740"</f>
        <v>0</v>
      </c>
      <c r="G9716" t="s">
        <v>21</v>
      </c>
    </row>
    <row r="9717" spans="1:7">
      <c r="A9717">
        <v>9716</v>
      </c>
      <c r="B9717" t="str">
        <f>"010360"</f>
        <v>0</v>
      </c>
      <c r="C9717" t="s">
        <v>14746</v>
      </c>
      <c r="D9717" t="s">
        <v>773</v>
      </c>
      <c r="E9717" t="str">
        <f>"3840100242950"</f>
        <v>0</v>
      </c>
      <c r="F9717" t="str">
        <f>"001740"</f>
        <v>0</v>
      </c>
      <c r="G9717" t="s">
        <v>21</v>
      </c>
    </row>
    <row r="9718" spans="1:7">
      <c r="A9718">
        <v>9717</v>
      </c>
      <c r="B9718" t="str">
        <f>"010540"</f>
        <v>0</v>
      </c>
      <c r="C9718" t="s">
        <v>130</v>
      </c>
      <c r="D9718" t="s">
        <v>14747</v>
      </c>
      <c r="E9718" t="str">
        <f>"3420200194730"</f>
        <v>0</v>
      </c>
      <c r="F9718" t="str">
        <f>"001740"</f>
        <v>0</v>
      </c>
      <c r="G9718" t="s">
        <v>21</v>
      </c>
    </row>
    <row r="9719" spans="1:7">
      <c r="A9719">
        <v>9718</v>
      </c>
      <c r="B9719" t="str">
        <f>"010807"</f>
        <v>0</v>
      </c>
      <c r="C9719" t="s">
        <v>11710</v>
      </c>
      <c r="D9719" t="s">
        <v>14748</v>
      </c>
      <c r="E9719" t="str">
        <f>"3801300304372"</f>
        <v>0</v>
      </c>
      <c r="F9719" t="str">
        <f>"001740"</f>
        <v>0</v>
      </c>
      <c r="G9719" t="s">
        <v>21</v>
      </c>
    </row>
    <row r="9720" spans="1:7">
      <c r="A9720">
        <v>9719</v>
      </c>
      <c r="B9720" t="str">
        <f>"011181"</f>
        <v>0</v>
      </c>
      <c r="C9720" t="s">
        <v>10377</v>
      </c>
      <c r="D9720" t="s">
        <v>14749</v>
      </c>
      <c r="E9720" t="str">
        <f>"3200200376759"</f>
        <v>0</v>
      </c>
      <c r="F9720" t="str">
        <f>"001740"</f>
        <v>0</v>
      </c>
      <c r="G9720" t="s">
        <v>21</v>
      </c>
    </row>
    <row r="9721" spans="1:7">
      <c r="A9721">
        <v>9720</v>
      </c>
      <c r="B9721" t="str">
        <f>"013834"</f>
        <v>0</v>
      </c>
      <c r="C9721" t="s">
        <v>1003</v>
      </c>
      <c r="D9721" t="s">
        <v>14750</v>
      </c>
      <c r="E9721" t="str">
        <f>"3251200231921"</f>
        <v>0</v>
      </c>
      <c r="F9721" t="str">
        <f>"001740"</f>
        <v>0</v>
      </c>
      <c r="G9721" t="s">
        <v>21</v>
      </c>
    </row>
    <row r="9722" spans="1:7">
      <c r="A9722">
        <v>9721</v>
      </c>
      <c r="B9722" t="str">
        <f>"014444"</f>
        <v>0</v>
      </c>
      <c r="C9722" t="s">
        <v>14751</v>
      </c>
      <c r="D9722" t="s">
        <v>14752</v>
      </c>
      <c r="E9722" t="str">
        <f>"3400101202866"</f>
        <v>0</v>
      </c>
      <c r="F9722" t="str">
        <f>"001740"</f>
        <v>0</v>
      </c>
      <c r="G9722" t="s">
        <v>21</v>
      </c>
    </row>
    <row r="9723" spans="1:7">
      <c r="A9723">
        <v>9722</v>
      </c>
      <c r="B9723" t="str">
        <f>"015732"</f>
        <v>0</v>
      </c>
      <c r="C9723" t="s">
        <v>14753</v>
      </c>
      <c r="D9723" t="s">
        <v>14754</v>
      </c>
      <c r="E9723" t="str">
        <f>"3200400414719"</f>
        <v>0</v>
      </c>
      <c r="F9723" t="str">
        <f>"001740"</f>
        <v>0</v>
      </c>
      <c r="G9723" t="s">
        <v>21</v>
      </c>
    </row>
    <row r="9724" spans="1:7">
      <c r="A9724">
        <v>9723</v>
      </c>
      <c r="B9724" t="str">
        <f>"020048"</f>
        <v>0</v>
      </c>
      <c r="C9724" t="s">
        <v>2608</v>
      </c>
      <c r="D9724" t="s">
        <v>14755</v>
      </c>
      <c r="E9724" t="str">
        <f>"3160200224097"</f>
        <v>0</v>
      </c>
      <c r="F9724" t="str">
        <f>"001740"</f>
        <v>0</v>
      </c>
      <c r="G9724" t="s">
        <v>21</v>
      </c>
    </row>
    <row r="9725" spans="1:7">
      <c r="A9725">
        <v>9724</v>
      </c>
      <c r="B9725" t="str">
        <f>"020628"</f>
        <v>0</v>
      </c>
      <c r="C9725" t="s">
        <v>14756</v>
      </c>
      <c r="D9725" t="s">
        <v>14757</v>
      </c>
      <c r="E9725" t="str">
        <f>"3102101590003"</f>
        <v>0</v>
      </c>
      <c r="F9725" t="str">
        <f>"001740"</f>
        <v>0</v>
      </c>
      <c r="G9725" t="s">
        <v>21</v>
      </c>
    </row>
    <row r="9726" spans="1:7">
      <c r="A9726">
        <v>9725</v>
      </c>
      <c r="B9726" t="str">
        <f>"024714"</f>
        <v>0</v>
      </c>
      <c r="C9726" t="s">
        <v>939</v>
      </c>
      <c r="D9726" t="s">
        <v>14758</v>
      </c>
      <c r="E9726" t="str">
        <f>"3100601156394"</f>
        <v>0</v>
      </c>
      <c r="F9726" t="str">
        <f>"001740"</f>
        <v>0</v>
      </c>
      <c r="G9726" t="s">
        <v>21</v>
      </c>
    </row>
    <row r="9727" spans="1:7">
      <c r="A9727">
        <v>9726</v>
      </c>
      <c r="B9727" t="str">
        <f>"010459"</f>
        <v>0</v>
      </c>
      <c r="C9727" t="s">
        <v>4622</v>
      </c>
      <c r="D9727" t="s">
        <v>14759</v>
      </c>
      <c r="E9727" t="str">
        <f>"3259700083813"</f>
        <v>0</v>
      </c>
      <c r="F9727" t="str">
        <f>"001740"</f>
        <v>0</v>
      </c>
      <c r="G9727" t="s">
        <v>21</v>
      </c>
    </row>
    <row r="9728" spans="1:7">
      <c r="A9728">
        <v>9727</v>
      </c>
      <c r="B9728" t="str">
        <f>"013204"</f>
        <v>0</v>
      </c>
      <c r="C9728" t="s">
        <v>46</v>
      </c>
      <c r="D9728" t="s">
        <v>14760</v>
      </c>
      <c r="E9728" t="str">
        <f>"3110300899584"</f>
        <v>0</v>
      </c>
      <c r="F9728" t="str">
        <f>"001740"</f>
        <v>0</v>
      </c>
      <c r="G9728" t="s">
        <v>21</v>
      </c>
    </row>
    <row r="9729" spans="1:7">
      <c r="A9729">
        <v>9728</v>
      </c>
      <c r="B9729" t="str">
        <f>"026816"</f>
        <v>0</v>
      </c>
      <c r="C9729" t="s">
        <v>3855</v>
      </c>
      <c r="D9729" t="s">
        <v>14761</v>
      </c>
      <c r="E9729" t="str">
        <f>"3220600110683"</f>
        <v>0</v>
      </c>
      <c r="F9729" t="str">
        <f>"001740"</f>
        <v>0</v>
      </c>
      <c r="G9729" t="s">
        <v>21</v>
      </c>
    </row>
    <row r="9730" spans="1:7">
      <c r="A9730">
        <v>9729</v>
      </c>
      <c r="B9730" t="str">
        <f>"026817"</f>
        <v>0</v>
      </c>
      <c r="C9730" t="s">
        <v>14762</v>
      </c>
      <c r="D9730" t="s">
        <v>14763</v>
      </c>
      <c r="E9730" t="str">
        <f>"1103000034622"</f>
        <v>0</v>
      </c>
      <c r="F9730" t="str">
        <f>"001740"</f>
        <v>0</v>
      </c>
      <c r="G9730" t="s">
        <v>21</v>
      </c>
    </row>
    <row r="9731" spans="1:7">
      <c r="A9731">
        <v>9730</v>
      </c>
      <c r="B9731" t="str">
        <f>"021874"</f>
        <v>0</v>
      </c>
      <c r="C9731" t="s">
        <v>14764</v>
      </c>
      <c r="D9731" t="s">
        <v>14765</v>
      </c>
      <c r="E9731" t="str">
        <f>"3130200406063"</f>
        <v>0</v>
      </c>
      <c r="F9731" t="str">
        <f>"001740"</f>
        <v>0</v>
      </c>
      <c r="G9731" t="s">
        <v>21</v>
      </c>
    </row>
    <row r="9732" spans="1:7">
      <c r="A9732">
        <v>9731</v>
      </c>
      <c r="B9732" t="str">
        <f>"027007"</f>
        <v>0</v>
      </c>
      <c r="C9732" t="s">
        <v>14766</v>
      </c>
      <c r="D9732" t="s">
        <v>14767</v>
      </c>
      <c r="E9732" t="str">
        <f>"1179900255752"</f>
        <v>0</v>
      </c>
      <c r="F9732" t="str">
        <f>"001740"</f>
        <v>0</v>
      </c>
      <c r="G9732" t="s">
        <v>21</v>
      </c>
    </row>
    <row r="9733" spans="1:7">
      <c r="A9733">
        <v>9732</v>
      </c>
      <c r="B9733" t="str">
        <f>"026593"</f>
        <v>0</v>
      </c>
      <c r="C9733" t="s">
        <v>14768</v>
      </c>
      <c r="D9733" t="s">
        <v>14769</v>
      </c>
      <c r="E9733" t="str">
        <f>"1471200189889"</f>
        <v>0</v>
      </c>
      <c r="F9733" t="str">
        <f>"001740"</f>
        <v>0</v>
      </c>
      <c r="G9733" t="s">
        <v>21</v>
      </c>
    </row>
    <row r="9734" spans="1:7">
      <c r="A9734">
        <v>9733</v>
      </c>
      <c r="B9734" t="str">
        <f>"026921"</f>
        <v>0</v>
      </c>
      <c r="C9734" t="s">
        <v>14770</v>
      </c>
      <c r="D9734" t="s">
        <v>14771</v>
      </c>
      <c r="E9734" t="str">
        <f>"1220400109022"</f>
        <v>0</v>
      </c>
      <c r="F9734" t="str">
        <f>"001740"</f>
        <v>0</v>
      </c>
      <c r="G9734" t="s">
        <v>21</v>
      </c>
    </row>
    <row r="9735" spans="1:7">
      <c r="A9735">
        <v>9734</v>
      </c>
      <c r="B9735" t="str">
        <f>"017144"</f>
        <v>0</v>
      </c>
      <c r="C9735" t="s">
        <v>6463</v>
      </c>
      <c r="D9735" t="s">
        <v>14772</v>
      </c>
      <c r="E9735" t="str">
        <f>"3320100453432"</f>
        <v>0</v>
      </c>
      <c r="F9735" t="str">
        <f>"001740"</f>
        <v>0</v>
      </c>
      <c r="G9735" t="s">
        <v>21</v>
      </c>
    </row>
    <row r="9736" spans="1:7">
      <c r="A9736">
        <v>9735</v>
      </c>
      <c r="B9736" t="str">
        <f>"020791"</f>
        <v>0</v>
      </c>
      <c r="C9736" t="s">
        <v>14773</v>
      </c>
      <c r="D9736" t="s">
        <v>14774</v>
      </c>
      <c r="E9736" t="str">
        <f>"3250100552962"</f>
        <v>0</v>
      </c>
      <c r="F9736" t="str">
        <f>"001740"</f>
        <v>0</v>
      </c>
      <c r="G9736" t="s">
        <v>21</v>
      </c>
    </row>
    <row r="9737" spans="1:7">
      <c r="A9737">
        <v>9736</v>
      </c>
      <c r="B9737" t="str">
        <f>"021114"</f>
        <v>0</v>
      </c>
      <c r="C9737" t="s">
        <v>14775</v>
      </c>
      <c r="D9737" t="s">
        <v>14776</v>
      </c>
      <c r="E9737" t="str">
        <f>"3250200014393"</f>
        <v>0</v>
      </c>
      <c r="F9737" t="str">
        <f>"001740"</f>
        <v>0</v>
      </c>
      <c r="G9737" t="s">
        <v>21</v>
      </c>
    </row>
    <row r="9738" spans="1:7">
      <c r="A9738">
        <v>9737</v>
      </c>
      <c r="B9738" t="str">
        <f>"023464"</f>
        <v>0</v>
      </c>
      <c r="C9738" t="s">
        <v>14777</v>
      </c>
      <c r="D9738" t="s">
        <v>14778</v>
      </c>
      <c r="E9738" t="str">
        <f>"3401800269430"</f>
        <v>0</v>
      </c>
      <c r="F9738" t="str">
        <f>"001740"</f>
        <v>0</v>
      </c>
      <c r="G9738" t="s">
        <v>21</v>
      </c>
    </row>
    <row r="9739" spans="1:7">
      <c r="A9739">
        <v>9738</v>
      </c>
      <c r="B9739" t="str">
        <f>"024543"</f>
        <v>0</v>
      </c>
      <c r="C9739" t="s">
        <v>14779</v>
      </c>
      <c r="D9739" t="s">
        <v>14780</v>
      </c>
      <c r="E9739" t="str">
        <f>"1250200093581"</f>
        <v>0</v>
      </c>
      <c r="F9739" t="str">
        <f>"001740"</f>
        <v>0</v>
      </c>
      <c r="G9739" t="s">
        <v>21</v>
      </c>
    </row>
    <row r="9740" spans="1:7">
      <c r="A9740">
        <v>9739</v>
      </c>
      <c r="B9740" t="str">
        <f>"026228"</f>
        <v>0</v>
      </c>
      <c r="C9740" t="s">
        <v>14781</v>
      </c>
      <c r="D9740" t="s">
        <v>14782</v>
      </c>
      <c r="E9740" t="str">
        <f>"1101800219129"</f>
        <v>0</v>
      </c>
      <c r="F9740" t="str">
        <f>"001740"</f>
        <v>0</v>
      </c>
      <c r="G9740" t="s">
        <v>21</v>
      </c>
    </row>
    <row r="9741" spans="1:7">
      <c r="A9741">
        <v>9740</v>
      </c>
      <c r="B9741" t="str">
        <f>"026922"</f>
        <v>0</v>
      </c>
      <c r="C9741" t="s">
        <v>11501</v>
      </c>
      <c r="D9741" t="s">
        <v>14783</v>
      </c>
      <c r="E9741" t="str">
        <f>"1250800051889"</f>
        <v>0</v>
      </c>
      <c r="F9741" t="str">
        <f>"001740"</f>
        <v>0</v>
      </c>
      <c r="G9741" t="s">
        <v>21</v>
      </c>
    </row>
    <row r="9742" spans="1:7">
      <c r="A9742">
        <v>9741</v>
      </c>
      <c r="B9742" t="str">
        <f>"010458"</f>
        <v>0</v>
      </c>
      <c r="C9742" t="s">
        <v>2239</v>
      </c>
      <c r="D9742" t="s">
        <v>1351</v>
      </c>
      <c r="E9742" t="str">
        <f>"3930100062578"</f>
        <v>0</v>
      </c>
      <c r="F9742" t="str">
        <f>"001740"</f>
        <v>0</v>
      </c>
      <c r="G9742" t="s">
        <v>21</v>
      </c>
    </row>
    <row r="9743" spans="1:7">
      <c r="A9743">
        <v>9742</v>
      </c>
      <c r="B9743" t="str">
        <f>"010871"</f>
        <v>0</v>
      </c>
      <c r="C9743" t="s">
        <v>46</v>
      </c>
      <c r="D9743" t="s">
        <v>14784</v>
      </c>
      <c r="E9743" t="str">
        <f>"3260400094510"</f>
        <v>0</v>
      </c>
      <c r="F9743" t="str">
        <f>"001740"</f>
        <v>0</v>
      </c>
      <c r="G9743" t="s">
        <v>21</v>
      </c>
    </row>
    <row r="9744" spans="1:7">
      <c r="A9744">
        <v>9743</v>
      </c>
      <c r="B9744" t="str">
        <f>"011246"</f>
        <v>0</v>
      </c>
      <c r="C9744" t="s">
        <v>2622</v>
      </c>
      <c r="D9744" t="s">
        <v>14785</v>
      </c>
      <c r="E9744" t="str">
        <f>"3490400187028"</f>
        <v>0</v>
      </c>
      <c r="F9744" t="str">
        <f>"001740"</f>
        <v>0</v>
      </c>
      <c r="G9744" t="s">
        <v>21</v>
      </c>
    </row>
    <row r="9745" spans="1:7">
      <c r="A9745">
        <v>9744</v>
      </c>
      <c r="B9745" t="str">
        <f>"012900"</f>
        <v>0</v>
      </c>
      <c r="C9745" t="s">
        <v>367</v>
      </c>
      <c r="D9745" t="s">
        <v>14786</v>
      </c>
      <c r="E9745" t="str">
        <f>"5250499014820"</f>
        <v>0</v>
      </c>
      <c r="F9745" t="str">
        <f>"001740"</f>
        <v>0</v>
      </c>
      <c r="G9745" t="s">
        <v>21</v>
      </c>
    </row>
    <row r="9746" spans="1:7">
      <c r="A9746">
        <v>9745</v>
      </c>
      <c r="B9746" t="str">
        <f>"013205"</f>
        <v>0</v>
      </c>
      <c r="C9746" t="s">
        <v>2014</v>
      </c>
      <c r="D9746" t="s">
        <v>14787</v>
      </c>
      <c r="E9746" t="str">
        <f>"3149900452082"</f>
        <v>0</v>
      </c>
      <c r="F9746" t="str">
        <f>"001740"</f>
        <v>0</v>
      </c>
      <c r="G9746" t="s">
        <v>21</v>
      </c>
    </row>
    <row r="9747" spans="1:7">
      <c r="A9747">
        <v>9746</v>
      </c>
      <c r="B9747" t="str">
        <f>"015422"</f>
        <v>0</v>
      </c>
      <c r="C9747" t="s">
        <v>4795</v>
      </c>
      <c r="D9747" t="s">
        <v>79</v>
      </c>
      <c r="E9747" t="str">
        <f>"3301500530061"</f>
        <v>0</v>
      </c>
      <c r="F9747" t="str">
        <f>"001740"</f>
        <v>0</v>
      </c>
      <c r="G9747" t="s">
        <v>21</v>
      </c>
    </row>
    <row r="9748" spans="1:7">
      <c r="A9748">
        <v>9747</v>
      </c>
      <c r="B9748" t="str">
        <f>"016144"</f>
        <v>0</v>
      </c>
      <c r="C9748" t="s">
        <v>2441</v>
      </c>
      <c r="D9748" t="s">
        <v>14788</v>
      </c>
      <c r="E9748" t="str">
        <f>"3610200334581"</f>
        <v>0</v>
      </c>
      <c r="F9748" t="str">
        <f>"001740"</f>
        <v>0</v>
      </c>
      <c r="G9748" t="s">
        <v>21</v>
      </c>
    </row>
    <row r="9749" spans="1:7">
      <c r="A9749">
        <v>9748</v>
      </c>
      <c r="B9749" t="str">
        <f>"016181"</f>
        <v>0</v>
      </c>
      <c r="C9749" t="s">
        <v>2084</v>
      </c>
      <c r="D9749" t="s">
        <v>5506</v>
      </c>
      <c r="E9749" t="str">
        <f>"5800900003361"</f>
        <v>0</v>
      </c>
      <c r="F9749" t="str">
        <f>"001740"</f>
        <v>0</v>
      </c>
      <c r="G9749" t="s">
        <v>21</v>
      </c>
    </row>
    <row r="9750" spans="1:7">
      <c r="A9750">
        <v>9749</v>
      </c>
      <c r="B9750" t="str">
        <f>"016905"</f>
        <v>0</v>
      </c>
      <c r="C9750" t="s">
        <v>14789</v>
      </c>
      <c r="D9750" t="s">
        <v>14790</v>
      </c>
      <c r="E9750" t="str">
        <f>"3251100157983"</f>
        <v>0</v>
      </c>
      <c r="F9750" t="str">
        <f>"001740"</f>
        <v>0</v>
      </c>
      <c r="G9750" t="s">
        <v>21</v>
      </c>
    </row>
    <row r="9751" spans="1:7">
      <c r="A9751">
        <v>9750</v>
      </c>
      <c r="B9751" t="str">
        <f>"017136"</f>
        <v>0</v>
      </c>
      <c r="C9751" t="s">
        <v>2607</v>
      </c>
      <c r="D9751" t="s">
        <v>14791</v>
      </c>
      <c r="E9751" t="str">
        <f>"3301401312367"</f>
        <v>0</v>
      </c>
      <c r="F9751" t="str">
        <f>"001740"</f>
        <v>0</v>
      </c>
      <c r="G9751" t="s">
        <v>21</v>
      </c>
    </row>
    <row r="9752" spans="1:7">
      <c r="A9752">
        <v>9751</v>
      </c>
      <c r="B9752" t="str">
        <f>"018225"</f>
        <v>0</v>
      </c>
      <c r="C9752" t="s">
        <v>9085</v>
      </c>
      <c r="D9752" t="s">
        <v>79</v>
      </c>
      <c r="E9752" t="str">
        <f>"3309901347477"</f>
        <v>0</v>
      </c>
      <c r="F9752" t="str">
        <f>"001740"</f>
        <v>0</v>
      </c>
      <c r="G9752" t="s">
        <v>21</v>
      </c>
    </row>
    <row r="9753" spans="1:7">
      <c r="A9753">
        <v>9752</v>
      </c>
      <c r="B9753" t="str">
        <f>"018343"</f>
        <v>0</v>
      </c>
      <c r="C9753" t="s">
        <v>14792</v>
      </c>
      <c r="D9753" t="s">
        <v>14793</v>
      </c>
      <c r="E9753" t="str">
        <f>"3710200030441"</f>
        <v>0</v>
      </c>
      <c r="F9753" t="str">
        <f>"001740"</f>
        <v>0</v>
      </c>
      <c r="G9753" t="s">
        <v>21</v>
      </c>
    </row>
    <row r="9754" spans="1:7">
      <c r="A9754">
        <v>9753</v>
      </c>
      <c r="B9754" t="str">
        <f>"018402"</f>
        <v>0</v>
      </c>
      <c r="C9754" t="s">
        <v>2417</v>
      </c>
      <c r="D9754" t="s">
        <v>5506</v>
      </c>
      <c r="E9754" t="str">
        <f>"3401200655509"</f>
        <v>0</v>
      </c>
      <c r="F9754" t="str">
        <f>"001740"</f>
        <v>0</v>
      </c>
      <c r="G9754" t="s">
        <v>21</v>
      </c>
    </row>
    <row r="9755" spans="1:7">
      <c r="A9755">
        <v>9754</v>
      </c>
      <c r="B9755" t="str">
        <f>"021365"</f>
        <v>0</v>
      </c>
      <c r="C9755" t="s">
        <v>7565</v>
      </c>
      <c r="D9755" t="s">
        <v>14794</v>
      </c>
      <c r="E9755" t="str">
        <f>"3250800099934"</f>
        <v>0</v>
      </c>
      <c r="F9755" t="str">
        <f>"001740"</f>
        <v>0</v>
      </c>
      <c r="G9755" t="s">
        <v>21</v>
      </c>
    </row>
    <row r="9756" spans="1:7">
      <c r="A9756">
        <v>9755</v>
      </c>
      <c r="B9756" t="str">
        <f>"022204"</f>
        <v>0</v>
      </c>
      <c r="C9756" t="s">
        <v>14795</v>
      </c>
      <c r="D9756" t="s">
        <v>14083</v>
      </c>
      <c r="E9756" t="str">
        <f>"3250500293794"</f>
        <v>0</v>
      </c>
      <c r="F9756" t="str">
        <f>"001740"</f>
        <v>0</v>
      </c>
      <c r="G9756" t="s">
        <v>21</v>
      </c>
    </row>
    <row r="9757" spans="1:7">
      <c r="A9757">
        <v>9756</v>
      </c>
      <c r="B9757" t="str">
        <f>"024281"</f>
        <v>0</v>
      </c>
      <c r="C9757" t="s">
        <v>14796</v>
      </c>
      <c r="D9757" t="s">
        <v>14797</v>
      </c>
      <c r="E9757" t="str">
        <f>"3250400042315"</f>
        <v>0</v>
      </c>
      <c r="F9757" t="str">
        <f>"001740"</f>
        <v>0</v>
      </c>
      <c r="G9757" t="s">
        <v>21</v>
      </c>
    </row>
    <row r="9758" spans="1:7">
      <c r="A9758">
        <v>9757</v>
      </c>
      <c r="B9758" t="str">
        <f>"024408"</f>
        <v>0</v>
      </c>
      <c r="C9758" t="s">
        <v>3084</v>
      </c>
      <c r="D9758" t="s">
        <v>14798</v>
      </c>
      <c r="E9758" t="str">
        <f>"3260100650352"</f>
        <v>0</v>
      </c>
      <c r="F9758" t="str">
        <f>"001740"</f>
        <v>0</v>
      </c>
      <c r="G9758" t="s">
        <v>21</v>
      </c>
    </row>
    <row r="9759" spans="1:7">
      <c r="A9759">
        <v>9758</v>
      </c>
      <c r="B9759" t="str">
        <f>"024544"</f>
        <v>0</v>
      </c>
      <c r="C9759" t="s">
        <v>14799</v>
      </c>
      <c r="D9759" t="s">
        <v>14800</v>
      </c>
      <c r="E9759" t="str">
        <f>"3530900153148"</f>
        <v>0</v>
      </c>
      <c r="F9759" t="str">
        <f>"001740"</f>
        <v>0</v>
      </c>
      <c r="G9759" t="s">
        <v>21</v>
      </c>
    </row>
    <row r="9760" spans="1:7">
      <c r="A9760">
        <v>9759</v>
      </c>
      <c r="B9760" t="str">
        <f>"025130"</f>
        <v>0</v>
      </c>
      <c r="C9760" t="s">
        <v>14801</v>
      </c>
      <c r="D9760" t="s">
        <v>14802</v>
      </c>
      <c r="E9760" t="str">
        <f>"1251300025685"</f>
        <v>0</v>
      </c>
      <c r="F9760" t="str">
        <f>"001740"</f>
        <v>0</v>
      </c>
      <c r="G9760" t="s">
        <v>21</v>
      </c>
    </row>
    <row r="9761" spans="1:7">
      <c r="A9761">
        <v>9760</v>
      </c>
      <c r="B9761" t="str">
        <f>"025663"</f>
        <v>0</v>
      </c>
      <c r="C9761" t="s">
        <v>973</v>
      </c>
      <c r="D9761" t="s">
        <v>14803</v>
      </c>
      <c r="E9761" t="str">
        <f>"1259700086522"</f>
        <v>0</v>
      </c>
      <c r="F9761" t="str">
        <f>"001740"</f>
        <v>0</v>
      </c>
      <c r="G9761" t="s">
        <v>21</v>
      </c>
    </row>
    <row r="9762" spans="1:7">
      <c r="A9762">
        <v>9761</v>
      </c>
      <c r="B9762" t="str">
        <f>"025972"</f>
        <v>0</v>
      </c>
      <c r="C9762" t="s">
        <v>3005</v>
      </c>
      <c r="D9762" t="s">
        <v>14804</v>
      </c>
      <c r="E9762" t="str">
        <f>"1250400047841"</f>
        <v>0</v>
      </c>
      <c r="F9762" t="str">
        <f>"001740"</f>
        <v>0</v>
      </c>
      <c r="G9762" t="s">
        <v>21</v>
      </c>
    </row>
    <row r="9763" spans="1:7">
      <c r="A9763">
        <v>9762</v>
      </c>
      <c r="B9763" t="str">
        <f>"026433"</f>
        <v>0</v>
      </c>
      <c r="C9763" t="s">
        <v>14805</v>
      </c>
      <c r="D9763" t="s">
        <v>14806</v>
      </c>
      <c r="E9763" t="str">
        <f>"5470100083088"</f>
        <v>0</v>
      </c>
      <c r="F9763" t="str">
        <f>"001740"</f>
        <v>0</v>
      </c>
      <c r="G9763" t="s">
        <v>21</v>
      </c>
    </row>
    <row r="9764" spans="1:7">
      <c r="A9764">
        <v>9763</v>
      </c>
      <c r="B9764" t="str">
        <f>"025480"</f>
        <v>0</v>
      </c>
      <c r="C9764" t="s">
        <v>4988</v>
      </c>
      <c r="D9764" t="s">
        <v>14807</v>
      </c>
      <c r="E9764" t="str">
        <f>"5311000125546"</f>
        <v>0</v>
      </c>
      <c r="F9764" t="str">
        <f>"001740"</f>
        <v>0</v>
      </c>
      <c r="G9764" t="s">
        <v>21</v>
      </c>
    </row>
    <row r="9765" spans="1:7">
      <c r="A9765">
        <v>9764</v>
      </c>
      <c r="B9765" t="str">
        <f>"025798"</f>
        <v>0</v>
      </c>
      <c r="C9765" t="s">
        <v>14808</v>
      </c>
      <c r="D9765" t="s">
        <v>14809</v>
      </c>
      <c r="E9765" t="str">
        <f>"1320700042585"</f>
        <v>0</v>
      </c>
      <c r="F9765" t="str">
        <f>"001740"</f>
        <v>0</v>
      </c>
      <c r="G9765" t="s">
        <v>21</v>
      </c>
    </row>
    <row r="9766" spans="1:7">
      <c r="A9766">
        <v>9765</v>
      </c>
      <c r="B9766" t="str">
        <f>"027216"</f>
        <v>0</v>
      </c>
      <c r="C9766" t="s">
        <v>1781</v>
      </c>
      <c r="D9766" t="s">
        <v>14810</v>
      </c>
      <c r="E9766" t="str">
        <f>"1340700472105"</f>
        <v>0</v>
      </c>
      <c r="F9766" t="str">
        <f>"001740"</f>
        <v>0</v>
      </c>
      <c r="G9766" t="s">
        <v>21</v>
      </c>
    </row>
    <row r="9767" spans="1:7">
      <c r="A9767">
        <v>9766</v>
      </c>
      <c r="B9767" t="str">
        <f>"024137"</f>
        <v>0</v>
      </c>
      <c r="C9767" t="s">
        <v>14811</v>
      </c>
      <c r="D9767" t="s">
        <v>14812</v>
      </c>
      <c r="E9767" t="str">
        <f>"1300800008214"</f>
        <v>0</v>
      </c>
      <c r="F9767" t="str">
        <f>"001740"</f>
        <v>0</v>
      </c>
      <c r="G9767" t="s">
        <v>21</v>
      </c>
    </row>
    <row r="9768" spans="1:7">
      <c r="A9768">
        <v>9767</v>
      </c>
      <c r="B9768" t="str">
        <f>"019911"</f>
        <v>0</v>
      </c>
      <c r="C9768" t="s">
        <v>14813</v>
      </c>
      <c r="D9768" t="s">
        <v>14814</v>
      </c>
      <c r="E9768" t="str">
        <f>"3670100673103"</f>
        <v>0</v>
      </c>
      <c r="F9768" t="str">
        <f>"001740"</f>
        <v>0</v>
      </c>
      <c r="G9768" t="s">
        <v>21</v>
      </c>
    </row>
    <row r="9769" spans="1:7">
      <c r="A9769">
        <v>9768</v>
      </c>
      <c r="B9769" t="str">
        <f>"027562"</f>
        <v>0</v>
      </c>
      <c r="C9769" t="s">
        <v>11555</v>
      </c>
      <c r="D9769" t="s">
        <v>14815</v>
      </c>
      <c r="E9769" t="str">
        <f>"3509901078458"</f>
        <v>0</v>
      </c>
      <c r="F9769" t="str">
        <f>"001740"</f>
        <v>0</v>
      </c>
      <c r="G9769" t="s">
        <v>21</v>
      </c>
    </row>
    <row r="9770" spans="1:7">
      <c r="A9770">
        <v>9769</v>
      </c>
      <c r="B9770" t="str">
        <f>"001801"</f>
        <v>0</v>
      </c>
      <c r="C9770" t="s">
        <v>590</v>
      </c>
      <c r="D9770" t="s">
        <v>14816</v>
      </c>
      <c r="E9770" t="str">
        <f>"3199900123534"</f>
        <v>0</v>
      </c>
      <c r="F9770" t="str">
        <f>"001750"</f>
        <v>0</v>
      </c>
      <c r="G9770" t="s">
        <v>21</v>
      </c>
    </row>
    <row r="9771" spans="1:7">
      <c r="A9771">
        <v>9770</v>
      </c>
      <c r="B9771" t="str">
        <f>"001930"</f>
        <v>0</v>
      </c>
      <c r="C9771" t="s">
        <v>8384</v>
      </c>
      <c r="D9771" t="s">
        <v>14817</v>
      </c>
      <c r="E9771" t="str">
        <f>"3190300110603"</f>
        <v>0</v>
      </c>
      <c r="F9771" t="str">
        <f>"001750"</f>
        <v>0</v>
      </c>
      <c r="G9771" t="s">
        <v>21</v>
      </c>
    </row>
    <row r="9772" spans="1:7">
      <c r="A9772">
        <v>9771</v>
      </c>
      <c r="B9772" t="str">
        <f>"003248"</f>
        <v>0</v>
      </c>
      <c r="C9772" t="s">
        <v>4682</v>
      </c>
      <c r="D9772" t="s">
        <v>1932</v>
      </c>
      <c r="E9772" t="str">
        <f>"3199900412030"</f>
        <v>0</v>
      </c>
      <c r="F9772" t="str">
        <f>"001750"</f>
        <v>0</v>
      </c>
      <c r="G9772" t="s">
        <v>21</v>
      </c>
    </row>
    <row r="9773" spans="1:7">
      <c r="A9773">
        <v>9772</v>
      </c>
      <c r="B9773" t="str">
        <f>"003479"</f>
        <v>0</v>
      </c>
      <c r="C9773" t="s">
        <v>397</v>
      </c>
      <c r="D9773" t="s">
        <v>14818</v>
      </c>
      <c r="E9773" t="str">
        <f>"3190200505126"</f>
        <v>0</v>
      </c>
      <c r="F9773" t="str">
        <f>"001750"</f>
        <v>0</v>
      </c>
      <c r="G9773" t="s">
        <v>21</v>
      </c>
    </row>
    <row r="9774" spans="1:7">
      <c r="A9774">
        <v>9773</v>
      </c>
      <c r="B9774" t="str">
        <f>"004419"</f>
        <v>0</v>
      </c>
      <c r="C9774" t="s">
        <v>14819</v>
      </c>
      <c r="D9774" t="s">
        <v>14820</v>
      </c>
      <c r="E9774" t="str">
        <f>"3319900137533"</f>
        <v>0</v>
      </c>
      <c r="F9774" t="str">
        <f>"001750"</f>
        <v>0</v>
      </c>
      <c r="G9774" t="s">
        <v>21</v>
      </c>
    </row>
    <row r="9775" spans="1:7">
      <c r="A9775">
        <v>9774</v>
      </c>
      <c r="B9775" t="str">
        <f>"004575"</f>
        <v>0</v>
      </c>
      <c r="C9775" t="s">
        <v>14821</v>
      </c>
      <c r="D9775" t="s">
        <v>14822</v>
      </c>
      <c r="E9775" t="str">
        <f>"3140400008495"</f>
        <v>0</v>
      </c>
      <c r="F9775" t="str">
        <f>"001750"</f>
        <v>0</v>
      </c>
      <c r="G9775" t="s">
        <v>21</v>
      </c>
    </row>
    <row r="9776" spans="1:7">
      <c r="A9776">
        <v>9775</v>
      </c>
      <c r="B9776" t="str">
        <f>"005216"</f>
        <v>0</v>
      </c>
      <c r="C9776" t="s">
        <v>375</v>
      </c>
      <c r="D9776" t="s">
        <v>14823</v>
      </c>
      <c r="E9776" t="str">
        <f>"3190600079566"</f>
        <v>0</v>
      </c>
      <c r="F9776" t="str">
        <f>"001750"</f>
        <v>0</v>
      </c>
      <c r="G9776" t="s">
        <v>21</v>
      </c>
    </row>
    <row r="9777" spans="1:7">
      <c r="A9777">
        <v>9776</v>
      </c>
      <c r="B9777" t="str">
        <f>"005804"</f>
        <v>0</v>
      </c>
      <c r="C9777" t="s">
        <v>14824</v>
      </c>
      <c r="D9777" t="s">
        <v>14825</v>
      </c>
      <c r="E9777" t="str">
        <f>"3190900191205"</f>
        <v>0</v>
      </c>
      <c r="F9777" t="str">
        <f>"001750"</f>
        <v>0</v>
      </c>
      <c r="G9777" t="s">
        <v>21</v>
      </c>
    </row>
    <row r="9778" spans="1:7">
      <c r="A9778">
        <v>9777</v>
      </c>
      <c r="B9778" t="str">
        <f>"005805"</f>
        <v>0</v>
      </c>
      <c r="C9778" t="s">
        <v>14826</v>
      </c>
      <c r="D9778" t="s">
        <v>14825</v>
      </c>
      <c r="E9778" t="str">
        <f>"3190900191213"</f>
        <v>0</v>
      </c>
      <c r="F9778" t="str">
        <f>"001750"</f>
        <v>0</v>
      </c>
      <c r="G9778" t="s">
        <v>21</v>
      </c>
    </row>
    <row r="9779" spans="1:7">
      <c r="A9779">
        <v>9778</v>
      </c>
      <c r="B9779" t="str">
        <f>"007051"</f>
        <v>0</v>
      </c>
      <c r="C9779" t="s">
        <v>6106</v>
      </c>
      <c r="D9779" t="s">
        <v>10179</v>
      </c>
      <c r="E9779" t="str">
        <f>"3190600005414"</f>
        <v>0</v>
      </c>
      <c r="F9779" t="str">
        <f>"001750"</f>
        <v>0</v>
      </c>
      <c r="G9779" t="s">
        <v>21</v>
      </c>
    </row>
    <row r="9780" spans="1:7">
      <c r="A9780">
        <v>9779</v>
      </c>
      <c r="B9780" t="str">
        <f>"007052"</f>
        <v>0</v>
      </c>
      <c r="C9780" t="s">
        <v>5125</v>
      </c>
      <c r="D9780" t="s">
        <v>14827</v>
      </c>
      <c r="E9780" t="str">
        <f>"3190900394718"</f>
        <v>0</v>
      </c>
      <c r="F9780" t="str">
        <f>"001750"</f>
        <v>0</v>
      </c>
      <c r="G9780" t="s">
        <v>21</v>
      </c>
    </row>
    <row r="9781" spans="1:7">
      <c r="A9781">
        <v>9780</v>
      </c>
      <c r="B9781" t="str">
        <f>"007185"</f>
        <v>0</v>
      </c>
      <c r="C9781" t="s">
        <v>14828</v>
      </c>
      <c r="D9781" t="s">
        <v>12894</v>
      </c>
      <c r="E9781" t="str">
        <f>"3660500211182"</f>
        <v>0</v>
      </c>
      <c r="F9781" t="str">
        <f>"001750"</f>
        <v>0</v>
      </c>
      <c r="G9781" t="s">
        <v>21</v>
      </c>
    </row>
    <row r="9782" spans="1:7">
      <c r="A9782">
        <v>9781</v>
      </c>
      <c r="B9782" t="str">
        <f>"007317"</f>
        <v>0</v>
      </c>
      <c r="C9782" t="s">
        <v>4568</v>
      </c>
      <c r="D9782" t="s">
        <v>14829</v>
      </c>
      <c r="E9782" t="str">
        <f>"3570101372060"</f>
        <v>0</v>
      </c>
      <c r="F9782" t="str">
        <f>"001750"</f>
        <v>0</v>
      </c>
      <c r="G9782" t="s">
        <v>21</v>
      </c>
    </row>
    <row r="9783" spans="1:7">
      <c r="A9783">
        <v>9782</v>
      </c>
      <c r="B9783" t="str">
        <f>"009115"</f>
        <v>0</v>
      </c>
      <c r="C9783" t="s">
        <v>7820</v>
      </c>
      <c r="D9783" t="s">
        <v>14830</v>
      </c>
      <c r="E9783" t="str">
        <f>"3190900365688"</f>
        <v>0</v>
      </c>
      <c r="F9783" t="str">
        <f>"001750"</f>
        <v>0</v>
      </c>
      <c r="G9783" t="s">
        <v>21</v>
      </c>
    </row>
    <row r="9784" spans="1:7">
      <c r="A9784">
        <v>9783</v>
      </c>
      <c r="B9784" t="str">
        <f>"009743"</f>
        <v>0</v>
      </c>
      <c r="C9784" t="s">
        <v>14831</v>
      </c>
      <c r="D9784" t="s">
        <v>14832</v>
      </c>
      <c r="E9784" t="str">
        <f>"3190800025869"</f>
        <v>0</v>
      </c>
      <c r="F9784" t="str">
        <f>"001750"</f>
        <v>0</v>
      </c>
      <c r="G9784" t="s">
        <v>21</v>
      </c>
    </row>
    <row r="9785" spans="1:7">
      <c r="A9785">
        <v>9784</v>
      </c>
      <c r="B9785" t="str">
        <f>"009903"</f>
        <v>0</v>
      </c>
      <c r="C9785" t="s">
        <v>14833</v>
      </c>
      <c r="D9785" t="s">
        <v>14834</v>
      </c>
      <c r="E9785" t="str">
        <f>"3190300122644"</f>
        <v>0</v>
      </c>
      <c r="F9785" t="str">
        <f>"001750"</f>
        <v>0</v>
      </c>
      <c r="G9785" t="s">
        <v>21</v>
      </c>
    </row>
    <row r="9786" spans="1:7">
      <c r="A9786">
        <v>9785</v>
      </c>
      <c r="B9786" t="str">
        <f>"010478"</f>
        <v>0</v>
      </c>
      <c r="C9786" t="s">
        <v>14835</v>
      </c>
      <c r="D9786" t="s">
        <v>14836</v>
      </c>
      <c r="E9786" t="str">
        <f>"3610100327825"</f>
        <v>0</v>
      </c>
      <c r="F9786" t="str">
        <f>"001750"</f>
        <v>0</v>
      </c>
      <c r="G9786" t="s">
        <v>21</v>
      </c>
    </row>
    <row r="9787" spans="1:7">
      <c r="A9787">
        <v>9786</v>
      </c>
      <c r="B9787" t="str">
        <f>"013617"</f>
        <v>0</v>
      </c>
      <c r="C9787" t="s">
        <v>252</v>
      </c>
      <c r="D9787" t="s">
        <v>14837</v>
      </c>
      <c r="E9787" t="str">
        <f>"4190300004062"</f>
        <v>0</v>
      </c>
      <c r="F9787" t="str">
        <f>"001750"</f>
        <v>0</v>
      </c>
      <c r="G9787" t="s">
        <v>21</v>
      </c>
    </row>
    <row r="9788" spans="1:7">
      <c r="A9788">
        <v>9787</v>
      </c>
      <c r="B9788" t="str">
        <f>"014180"</f>
        <v>0</v>
      </c>
      <c r="C9788" t="s">
        <v>14838</v>
      </c>
      <c r="D9788" t="s">
        <v>14839</v>
      </c>
      <c r="E9788" t="str">
        <f>"3179900011639"</f>
        <v>0</v>
      </c>
      <c r="F9788" t="str">
        <f>"001750"</f>
        <v>0</v>
      </c>
      <c r="G9788" t="s">
        <v>21</v>
      </c>
    </row>
    <row r="9789" spans="1:7">
      <c r="A9789">
        <v>9788</v>
      </c>
      <c r="B9789" t="str">
        <f>"017598"</f>
        <v>0</v>
      </c>
      <c r="C9789" t="s">
        <v>1498</v>
      </c>
      <c r="D9789" t="s">
        <v>14840</v>
      </c>
      <c r="E9789" t="str">
        <f>"3100503817809"</f>
        <v>0</v>
      </c>
      <c r="F9789" t="str">
        <f>"001750"</f>
        <v>0</v>
      </c>
      <c r="G9789" t="s">
        <v>21</v>
      </c>
    </row>
    <row r="9790" spans="1:7">
      <c r="A9790">
        <v>9789</v>
      </c>
      <c r="B9790" t="str">
        <f>"017709"</f>
        <v>0</v>
      </c>
      <c r="C9790" t="s">
        <v>264</v>
      </c>
      <c r="D9790" t="s">
        <v>14841</v>
      </c>
      <c r="E9790" t="str">
        <f>"3779800033040"</f>
        <v>0</v>
      </c>
      <c r="F9790" t="str">
        <f>"001750"</f>
        <v>0</v>
      </c>
      <c r="G9790" t="s">
        <v>21</v>
      </c>
    </row>
    <row r="9791" spans="1:7">
      <c r="A9791">
        <v>9790</v>
      </c>
      <c r="B9791" t="str">
        <f>"019838"</f>
        <v>0</v>
      </c>
      <c r="C9791" t="s">
        <v>5878</v>
      </c>
      <c r="D9791" t="s">
        <v>14842</v>
      </c>
      <c r="E9791" t="str">
        <f>"3169900093422"</f>
        <v>0</v>
      </c>
      <c r="F9791" t="str">
        <f>"001750"</f>
        <v>0</v>
      </c>
      <c r="G9791" t="s">
        <v>21</v>
      </c>
    </row>
    <row r="9792" spans="1:7">
      <c r="A9792">
        <v>9791</v>
      </c>
      <c r="B9792" t="str">
        <f>"020861"</f>
        <v>0</v>
      </c>
      <c r="C9792" t="s">
        <v>352</v>
      </c>
      <c r="D9792" t="s">
        <v>4087</v>
      </c>
      <c r="E9792" t="str">
        <f>"3189900068045"</f>
        <v>0</v>
      </c>
      <c r="F9792" t="str">
        <f>"001750"</f>
        <v>0</v>
      </c>
      <c r="G9792" t="s">
        <v>21</v>
      </c>
    </row>
    <row r="9793" spans="1:7">
      <c r="A9793">
        <v>9792</v>
      </c>
      <c r="B9793" t="str">
        <f>"004863"</f>
        <v>0</v>
      </c>
      <c r="C9793" t="s">
        <v>14843</v>
      </c>
      <c r="D9793" t="s">
        <v>14844</v>
      </c>
      <c r="E9793" t="str">
        <f>"3190300467781"</f>
        <v>0</v>
      </c>
      <c r="F9793" t="str">
        <f>"001750"</f>
        <v>0</v>
      </c>
      <c r="G9793" t="s">
        <v>21</v>
      </c>
    </row>
    <row r="9794" spans="1:7">
      <c r="A9794">
        <v>9793</v>
      </c>
      <c r="B9794" t="str">
        <f>"019747"</f>
        <v>0</v>
      </c>
      <c r="C9794" t="s">
        <v>14845</v>
      </c>
      <c r="D9794" t="s">
        <v>14846</v>
      </c>
      <c r="E9794" t="str">
        <f>"3160101303959"</f>
        <v>0</v>
      </c>
      <c r="F9794" t="str">
        <f>"001750"</f>
        <v>0</v>
      </c>
      <c r="G9794" t="s">
        <v>21</v>
      </c>
    </row>
    <row r="9795" spans="1:7">
      <c r="A9795">
        <v>9794</v>
      </c>
      <c r="B9795" t="str">
        <f>"023882"</f>
        <v>0</v>
      </c>
      <c r="C9795" t="s">
        <v>3795</v>
      </c>
      <c r="D9795" t="s">
        <v>14847</v>
      </c>
      <c r="E9795" t="str">
        <f>"3199900242193"</f>
        <v>0</v>
      </c>
      <c r="F9795" t="str">
        <f>"001750"</f>
        <v>0</v>
      </c>
      <c r="G9795" t="s">
        <v>21</v>
      </c>
    </row>
    <row r="9796" spans="1:7">
      <c r="A9796">
        <v>9795</v>
      </c>
      <c r="B9796" t="str">
        <f>"026152"</f>
        <v>0</v>
      </c>
      <c r="C9796" t="s">
        <v>6179</v>
      </c>
      <c r="D9796" t="s">
        <v>14848</v>
      </c>
      <c r="E9796" t="str">
        <f>"3190600037103"</f>
        <v>0</v>
      </c>
      <c r="F9796" t="str">
        <f>"001750"</f>
        <v>0</v>
      </c>
      <c r="G9796" t="s">
        <v>21</v>
      </c>
    </row>
    <row r="9797" spans="1:7">
      <c r="A9797">
        <v>9796</v>
      </c>
      <c r="B9797" t="str">
        <f>"001454"</f>
        <v>0</v>
      </c>
      <c r="C9797" t="s">
        <v>4779</v>
      </c>
      <c r="D9797" t="s">
        <v>14849</v>
      </c>
      <c r="E9797" t="str">
        <f>"3189900002826"</f>
        <v>0</v>
      </c>
      <c r="F9797" t="str">
        <f>"001750"</f>
        <v>0</v>
      </c>
      <c r="G9797" t="s">
        <v>21</v>
      </c>
    </row>
    <row r="9798" spans="1:7">
      <c r="A9798">
        <v>9797</v>
      </c>
      <c r="B9798" t="str">
        <f>"020501"</f>
        <v>0</v>
      </c>
      <c r="C9798" t="s">
        <v>1583</v>
      </c>
      <c r="D9798" t="s">
        <v>14850</v>
      </c>
      <c r="E9798" t="str">
        <f>"3260100228073"</f>
        <v>0</v>
      </c>
      <c r="F9798" t="str">
        <f>"001750"</f>
        <v>0</v>
      </c>
      <c r="G9798" t="s">
        <v>21</v>
      </c>
    </row>
    <row r="9799" spans="1:7">
      <c r="A9799">
        <v>9798</v>
      </c>
      <c r="B9799" t="str">
        <f>"015601"</f>
        <v>0</v>
      </c>
      <c r="C9799" t="s">
        <v>14851</v>
      </c>
      <c r="D9799" t="s">
        <v>14852</v>
      </c>
      <c r="E9799" t="str">
        <f>"3101401824700"</f>
        <v>0</v>
      </c>
      <c r="F9799" t="str">
        <f>"001750"</f>
        <v>0</v>
      </c>
      <c r="G9799" t="s">
        <v>21</v>
      </c>
    </row>
    <row r="9800" spans="1:7">
      <c r="A9800">
        <v>9799</v>
      </c>
      <c r="B9800" t="str">
        <f>"021235"</f>
        <v>0</v>
      </c>
      <c r="C9800" t="s">
        <v>7760</v>
      </c>
      <c r="D9800" t="s">
        <v>14853</v>
      </c>
      <c r="E9800" t="str">
        <f>"3102002593462"</f>
        <v>0</v>
      </c>
      <c r="F9800" t="str">
        <f>"001750"</f>
        <v>0</v>
      </c>
      <c r="G9800" t="s">
        <v>21</v>
      </c>
    </row>
    <row r="9801" spans="1:7">
      <c r="A9801">
        <v>9800</v>
      </c>
      <c r="B9801" t="str">
        <f>"022286"</f>
        <v>0</v>
      </c>
      <c r="C9801" t="s">
        <v>14854</v>
      </c>
      <c r="D9801" t="s">
        <v>14855</v>
      </c>
      <c r="E9801" t="str">
        <f>"3101800885516"</f>
        <v>0</v>
      </c>
      <c r="F9801" t="str">
        <f>"001750"</f>
        <v>0</v>
      </c>
      <c r="G9801" t="s">
        <v>21</v>
      </c>
    </row>
    <row r="9802" spans="1:7">
      <c r="A9802">
        <v>9801</v>
      </c>
      <c r="B9802" t="str">
        <f>"027407"</f>
        <v>0</v>
      </c>
      <c r="C9802" t="s">
        <v>14856</v>
      </c>
      <c r="D9802" t="s">
        <v>14857</v>
      </c>
      <c r="E9802" t="str">
        <f>"1100500623560"</f>
        <v>0</v>
      </c>
      <c r="F9802" t="str">
        <f>"001750"</f>
        <v>0</v>
      </c>
      <c r="G9802" t="s">
        <v>21</v>
      </c>
    </row>
    <row r="9803" spans="1:7">
      <c r="A9803">
        <v>9802</v>
      </c>
      <c r="B9803" t="str">
        <f>"024998"</f>
        <v>0</v>
      </c>
      <c r="C9803" t="s">
        <v>14858</v>
      </c>
      <c r="D9803" t="s">
        <v>14859</v>
      </c>
      <c r="E9803" t="str">
        <f>"1100700801151"</f>
        <v>0</v>
      </c>
      <c r="F9803" t="str">
        <f>"001750"</f>
        <v>0</v>
      </c>
      <c r="G9803" t="s">
        <v>21</v>
      </c>
    </row>
    <row r="9804" spans="1:7">
      <c r="A9804">
        <v>9803</v>
      </c>
      <c r="B9804" t="str">
        <f>"027404"</f>
        <v>0</v>
      </c>
      <c r="C9804" t="s">
        <v>14860</v>
      </c>
      <c r="D9804" t="s">
        <v>11376</v>
      </c>
      <c r="E9804" t="str">
        <f>"1120600084342"</f>
        <v>0</v>
      </c>
      <c r="F9804" t="str">
        <f>"001750"</f>
        <v>0</v>
      </c>
      <c r="G9804" t="s">
        <v>21</v>
      </c>
    </row>
    <row r="9805" spans="1:7">
      <c r="A9805">
        <v>9804</v>
      </c>
      <c r="B9805" t="str">
        <f>"019962"</f>
        <v>0</v>
      </c>
      <c r="C9805" t="s">
        <v>193</v>
      </c>
      <c r="D9805" t="s">
        <v>14861</v>
      </c>
      <c r="E9805" t="str">
        <f>"3140200057131"</f>
        <v>0</v>
      </c>
      <c r="F9805" t="str">
        <f>"001750"</f>
        <v>0</v>
      </c>
      <c r="G9805" t="s">
        <v>21</v>
      </c>
    </row>
    <row r="9806" spans="1:7">
      <c r="A9806">
        <v>9805</v>
      </c>
      <c r="B9806" t="str">
        <f>"023290"</f>
        <v>0</v>
      </c>
      <c r="C9806" t="s">
        <v>3939</v>
      </c>
      <c r="D9806" t="s">
        <v>14862</v>
      </c>
      <c r="E9806" t="str">
        <f>"3140200318628"</f>
        <v>0</v>
      </c>
      <c r="F9806" t="str">
        <f>"001750"</f>
        <v>0</v>
      </c>
      <c r="G9806" t="s">
        <v>21</v>
      </c>
    </row>
    <row r="9807" spans="1:7">
      <c r="A9807">
        <v>9806</v>
      </c>
      <c r="B9807" t="str">
        <f>"009805"</f>
        <v>0</v>
      </c>
      <c r="C9807" t="s">
        <v>2262</v>
      </c>
      <c r="D9807" t="s">
        <v>14863</v>
      </c>
      <c r="E9807" t="str">
        <f>"3160600177479"</f>
        <v>0</v>
      </c>
      <c r="F9807" t="str">
        <f>"001750"</f>
        <v>0</v>
      </c>
      <c r="G9807" t="s">
        <v>21</v>
      </c>
    </row>
    <row r="9808" spans="1:7">
      <c r="A9808">
        <v>9807</v>
      </c>
      <c r="B9808" t="str">
        <f>"012175"</f>
        <v>0</v>
      </c>
      <c r="C9808" t="s">
        <v>12237</v>
      </c>
      <c r="D9808" t="s">
        <v>14864</v>
      </c>
      <c r="E9808" t="str">
        <f>"3179900033063"</f>
        <v>0</v>
      </c>
      <c r="F9808" t="str">
        <f>"001750"</f>
        <v>0</v>
      </c>
      <c r="G9808" t="s">
        <v>21</v>
      </c>
    </row>
    <row r="9809" spans="1:7">
      <c r="A9809">
        <v>9808</v>
      </c>
      <c r="B9809" t="str">
        <f>"017561"</f>
        <v>0</v>
      </c>
      <c r="C9809" t="s">
        <v>6146</v>
      </c>
      <c r="D9809" t="s">
        <v>14865</v>
      </c>
      <c r="E9809" t="str">
        <f>"3160300266760"</f>
        <v>0</v>
      </c>
      <c r="F9809" t="str">
        <f>"001750"</f>
        <v>0</v>
      </c>
      <c r="G9809" t="s">
        <v>21</v>
      </c>
    </row>
    <row r="9810" spans="1:7">
      <c r="A9810">
        <v>9809</v>
      </c>
      <c r="B9810" t="str">
        <f>"023127"</f>
        <v>0</v>
      </c>
      <c r="C9810" t="s">
        <v>14866</v>
      </c>
      <c r="D9810" t="s">
        <v>14867</v>
      </c>
      <c r="E9810" t="str">
        <f>"3160100548117"</f>
        <v>0</v>
      </c>
      <c r="F9810" t="str">
        <f>"001750"</f>
        <v>0</v>
      </c>
      <c r="G9810" t="s">
        <v>21</v>
      </c>
    </row>
    <row r="9811" spans="1:7">
      <c r="A9811">
        <v>9810</v>
      </c>
      <c r="B9811" t="str">
        <f>"023237"</f>
        <v>0</v>
      </c>
      <c r="C9811" t="s">
        <v>14868</v>
      </c>
      <c r="D9811" t="s">
        <v>14869</v>
      </c>
      <c r="E9811" t="str">
        <f>"1670700127669"</f>
        <v>0</v>
      </c>
      <c r="F9811" t="str">
        <f>"001750"</f>
        <v>0</v>
      </c>
      <c r="G9811" t="s">
        <v>21</v>
      </c>
    </row>
    <row r="9812" spans="1:7">
      <c r="A9812">
        <v>9811</v>
      </c>
      <c r="B9812" t="str">
        <f>"024672"</f>
        <v>0</v>
      </c>
      <c r="C9812" t="s">
        <v>3162</v>
      </c>
      <c r="D9812" t="s">
        <v>14870</v>
      </c>
      <c r="E9812" t="str">
        <f>"1169800019429"</f>
        <v>0</v>
      </c>
      <c r="F9812" t="str">
        <f>"001750"</f>
        <v>0</v>
      </c>
      <c r="G9812" t="s">
        <v>21</v>
      </c>
    </row>
    <row r="9813" spans="1:7">
      <c r="A9813">
        <v>9812</v>
      </c>
      <c r="B9813" t="str">
        <f>"024979"</f>
        <v>0</v>
      </c>
      <c r="C9813" t="s">
        <v>14871</v>
      </c>
      <c r="D9813" t="s">
        <v>14872</v>
      </c>
      <c r="E9813" t="str">
        <f>"1160100224811"</f>
        <v>0</v>
      </c>
      <c r="F9813" t="str">
        <f>"001750"</f>
        <v>0</v>
      </c>
      <c r="G9813" t="s">
        <v>21</v>
      </c>
    </row>
    <row r="9814" spans="1:7">
      <c r="A9814">
        <v>9813</v>
      </c>
      <c r="B9814" t="str">
        <f>"025156"</f>
        <v>0</v>
      </c>
      <c r="C9814" t="s">
        <v>14873</v>
      </c>
      <c r="D9814" t="s">
        <v>14874</v>
      </c>
      <c r="E9814" t="str">
        <f>"3100202031903"</f>
        <v>0</v>
      </c>
      <c r="F9814" t="str">
        <f>"001750"</f>
        <v>0</v>
      </c>
      <c r="G9814" t="s">
        <v>21</v>
      </c>
    </row>
    <row r="9815" spans="1:7">
      <c r="A9815">
        <v>9814</v>
      </c>
      <c r="B9815" t="str">
        <f>"026819"</f>
        <v>0</v>
      </c>
      <c r="C9815" t="s">
        <v>14875</v>
      </c>
      <c r="D9815" t="s">
        <v>14876</v>
      </c>
      <c r="E9815" t="str">
        <f>"1179900199402"</f>
        <v>0</v>
      </c>
      <c r="F9815" t="str">
        <f>"001750"</f>
        <v>0</v>
      </c>
      <c r="G9815" t="s">
        <v>21</v>
      </c>
    </row>
    <row r="9816" spans="1:7">
      <c r="A9816">
        <v>9815</v>
      </c>
      <c r="B9816" t="str">
        <f>"007833"</f>
        <v>0</v>
      </c>
      <c r="C9816" t="s">
        <v>14877</v>
      </c>
      <c r="D9816" t="s">
        <v>14834</v>
      </c>
      <c r="E9816" t="str">
        <f>"3190300122652"</f>
        <v>0</v>
      </c>
      <c r="F9816" t="str">
        <f>"001750"</f>
        <v>0</v>
      </c>
      <c r="G9816" t="s">
        <v>21</v>
      </c>
    </row>
    <row r="9817" spans="1:7">
      <c r="A9817">
        <v>9816</v>
      </c>
      <c r="B9817" t="str">
        <f>"008707"</f>
        <v>0</v>
      </c>
      <c r="C9817" t="s">
        <v>14878</v>
      </c>
      <c r="D9817" t="s">
        <v>14879</v>
      </c>
      <c r="E9817" t="str">
        <f>"3190200505207"</f>
        <v>0</v>
      </c>
      <c r="F9817" t="str">
        <f>"001750"</f>
        <v>0</v>
      </c>
      <c r="G9817" t="s">
        <v>21</v>
      </c>
    </row>
    <row r="9818" spans="1:7">
      <c r="A9818">
        <v>9817</v>
      </c>
      <c r="B9818" t="str">
        <f>"009729"</f>
        <v>0</v>
      </c>
      <c r="C9818" t="s">
        <v>14880</v>
      </c>
      <c r="D9818" t="s">
        <v>14881</v>
      </c>
      <c r="E9818" t="str">
        <f>"3191000018486"</f>
        <v>0</v>
      </c>
      <c r="F9818" t="str">
        <f>"001750"</f>
        <v>0</v>
      </c>
      <c r="G9818" t="s">
        <v>21</v>
      </c>
    </row>
    <row r="9819" spans="1:7">
      <c r="A9819">
        <v>9818</v>
      </c>
      <c r="B9819" t="str">
        <f>"010581"</f>
        <v>0</v>
      </c>
      <c r="C9819" t="s">
        <v>6915</v>
      </c>
      <c r="D9819" t="s">
        <v>14882</v>
      </c>
      <c r="E9819" t="str">
        <f>"3600300271572"</f>
        <v>0</v>
      </c>
      <c r="F9819" t="str">
        <f>"001750"</f>
        <v>0</v>
      </c>
      <c r="G9819" t="s">
        <v>21</v>
      </c>
    </row>
    <row r="9820" spans="1:7">
      <c r="A9820">
        <v>9819</v>
      </c>
      <c r="B9820" t="str">
        <f>"011164"</f>
        <v>0</v>
      </c>
      <c r="C9820" t="s">
        <v>14883</v>
      </c>
      <c r="D9820" t="s">
        <v>14884</v>
      </c>
      <c r="E9820" t="str">
        <f>"3190600240154"</f>
        <v>0</v>
      </c>
      <c r="F9820" t="str">
        <f>"001750"</f>
        <v>0</v>
      </c>
      <c r="G9820" t="s">
        <v>21</v>
      </c>
    </row>
    <row r="9821" spans="1:7">
      <c r="A9821">
        <v>9820</v>
      </c>
      <c r="B9821" t="str">
        <f>"011280"</f>
        <v>0</v>
      </c>
      <c r="C9821" t="s">
        <v>14885</v>
      </c>
      <c r="D9821" t="s">
        <v>6623</v>
      </c>
      <c r="E9821" t="str">
        <f>"3190900390704"</f>
        <v>0</v>
      </c>
      <c r="F9821" t="str">
        <f>"001750"</f>
        <v>0</v>
      </c>
      <c r="G9821" t="s">
        <v>21</v>
      </c>
    </row>
    <row r="9822" spans="1:7">
      <c r="A9822">
        <v>9821</v>
      </c>
      <c r="B9822" t="str">
        <f>"012046"</f>
        <v>0</v>
      </c>
      <c r="C9822" t="s">
        <v>14886</v>
      </c>
      <c r="D9822" t="s">
        <v>14887</v>
      </c>
      <c r="E9822" t="str">
        <f>"3190900120472"</f>
        <v>0</v>
      </c>
      <c r="F9822" t="str">
        <f>"001750"</f>
        <v>0</v>
      </c>
      <c r="G9822" t="s">
        <v>21</v>
      </c>
    </row>
    <row r="9823" spans="1:7">
      <c r="A9823">
        <v>9822</v>
      </c>
      <c r="B9823" t="str">
        <f>"013106"</f>
        <v>0</v>
      </c>
      <c r="C9823" t="s">
        <v>837</v>
      </c>
      <c r="D9823" t="s">
        <v>14888</v>
      </c>
      <c r="E9823" t="str">
        <f>"3140200184966"</f>
        <v>0</v>
      </c>
      <c r="F9823" t="str">
        <f>"001750"</f>
        <v>0</v>
      </c>
      <c r="G9823" t="s">
        <v>21</v>
      </c>
    </row>
    <row r="9824" spans="1:7">
      <c r="A9824">
        <v>9823</v>
      </c>
      <c r="B9824" t="str">
        <f>"013329"</f>
        <v>0</v>
      </c>
      <c r="C9824" t="s">
        <v>98</v>
      </c>
      <c r="D9824" t="s">
        <v>14889</v>
      </c>
      <c r="E9824" t="str">
        <f>"3140200219298"</f>
        <v>0</v>
      </c>
      <c r="F9824" t="str">
        <f>"001750"</f>
        <v>0</v>
      </c>
      <c r="G9824" t="s">
        <v>21</v>
      </c>
    </row>
    <row r="9825" spans="1:7">
      <c r="A9825">
        <v>9824</v>
      </c>
      <c r="B9825" t="str">
        <f>"013863"</f>
        <v>0</v>
      </c>
      <c r="C9825" t="s">
        <v>2445</v>
      </c>
      <c r="D9825" t="s">
        <v>706</v>
      </c>
      <c r="E9825" t="str">
        <f>"3130200017997"</f>
        <v>0</v>
      </c>
      <c r="F9825" t="str">
        <f>"001750"</f>
        <v>0</v>
      </c>
      <c r="G9825" t="s">
        <v>21</v>
      </c>
    </row>
    <row r="9826" spans="1:7">
      <c r="A9826">
        <v>9825</v>
      </c>
      <c r="B9826" t="str">
        <f>"013878"</f>
        <v>0</v>
      </c>
      <c r="C9826" t="s">
        <v>3552</v>
      </c>
      <c r="D9826" t="s">
        <v>14890</v>
      </c>
      <c r="E9826" t="str">
        <f>"3190100347570"</f>
        <v>0</v>
      </c>
      <c r="F9826" t="str">
        <f>"001750"</f>
        <v>0</v>
      </c>
      <c r="G9826" t="s">
        <v>21</v>
      </c>
    </row>
    <row r="9827" spans="1:7">
      <c r="A9827">
        <v>9826</v>
      </c>
      <c r="B9827" t="str">
        <f>"014259"</f>
        <v>0</v>
      </c>
      <c r="C9827" t="s">
        <v>1021</v>
      </c>
      <c r="D9827" t="s">
        <v>14891</v>
      </c>
      <c r="E9827" t="str">
        <f>"3190400066550"</f>
        <v>0</v>
      </c>
      <c r="F9827" t="str">
        <f>"001750"</f>
        <v>0</v>
      </c>
      <c r="G9827" t="s">
        <v>21</v>
      </c>
    </row>
    <row r="9828" spans="1:7">
      <c r="A9828">
        <v>9827</v>
      </c>
      <c r="B9828" t="str">
        <f>"014693"</f>
        <v>0</v>
      </c>
      <c r="C9828" t="s">
        <v>14892</v>
      </c>
      <c r="D9828" t="s">
        <v>14893</v>
      </c>
      <c r="E9828" t="str">
        <f>"3199900012821"</f>
        <v>0</v>
      </c>
      <c r="F9828" t="str">
        <f>"001750"</f>
        <v>0</v>
      </c>
      <c r="G9828" t="s">
        <v>21</v>
      </c>
    </row>
    <row r="9829" spans="1:7">
      <c r="A9829">
        <v>9828</v>
      </c>
      <c r="B9829" t="str">
        <f>"014906"</f>
        <v>0</v>
      </c>
      <c r="C9829" t="s">
        <v>14894</v>
      </c>
      <c r="D9829" t="s">
        <v>14895</v>
      </c>
      <c r="E9829" t="str">
        <f>"3260100348087"</f>
        <v>0</v>
      </c>
      <c r="F9829" t="str">
        <f>"001750"</f>
        <v>0</v>
      </c>
      <c r="G9829" t="s">
        <v>21</v>
      </c>
    </row>
    <row r="9830" spans="1:7">
      <c r="A9830">
        <v>9829</v>
      </c>
      <c r="B9830" t="str">
        <f>"015854"</f>
        <v>0</v>
      </c>
      <c r="C9830" t="s">
        <v>14896</v>
      </c>
      <c r="D9830" t="s">
        <v>14897</v>
      </c>
      <c r="E9830" t="str">
        <f>"3410400738555"</f>
        <v>0</v>
      </c>
      <c r="F9830" t="str">
        <f>"001750"</f>
        <v>0</v>
      </c>
      <c r="G9830" t="s">
        <v>21</v>
      </c>
    </row>
    <row r="9831" spans="1:7">
      <c r="A9831">
        <v>9830</v>
      </c>
      <c r="B9831" t="str">
        <f>"017710"</f>
        <v>0</v>
      </c>
      <c r="C9831" t="s">
        <v>14898</v>
      </c>
      <c r="D9831" t="s">
        <v>654</v>
      </c>
      <c r="E9831" t="str">
        <f>"3801400362731"</f>
        <v>0</v>
      </c>
      <c r="F9831" t="str">
        <f>"001750"</f>
        <v>0</v>
      </c>
      <c r="G9831" t="s">
        <v>21</v>
      </c>
    </row>
    <row r="9832" spans="1:7">
      <c r="A9832">
        <v>9831</v>
      </c>
      <c r="B9832" t="str">
        <f>"020603"</f>
        <v>0</v>
      </c>
      <c r="C9832" t="s">
        <v>14899</v>
      </c>
      <c r="D9832" t="s">
        <v>14900</v>
      </c>
      <c r="E9832" t="str">
        <f>"3190300137579"</f>
        <v>0</v>
      </c>
      <c r="F9832" t="str">
        <f>"001750"</f>
        <v>0</v>
      </c>
      <c r="G9832" t="s">
        <v>21</v>
      </c>
    </row>
    <row r="9833" spans="1:7">
      <c r="A9833">
        <v>9832</v>
      </c>
      <c r="B9833" t="str">
        <f>"021333"</f>
        <v>0</v>
      </c>
      <c r="C9833" t="s">
        <v>14901</v>
      </c>
      <c r="D9833" t="s">
        <v>14888</v>
      </c>
      <c r="E9833" t="str">
        <f>"3449900071710"</f>
        <v>0</v>
      </c>
      <c r="F9833" t="str">
        <f>"001750"</f>
        <v>0</v>
      </c>
      <c r="G9833" t="s">
        <v>21</v>
      </c>
    </row>
    <row r="9834" spans="1:7">
      <c r="A9834">
        <v>9833</v>
      </c>
      <c r="B9834" t="str">
        <f>"021556"</f>
        <v>0</v>
      </c>
      <c r="C9834" t="s">
        <v>14902</v>
      </c>
      <c r="D9834" t="s">
        <v>10927</v>
      </c>
      <c r="E9834" t="str">
        <f>"3190200500311"</f>
        <v>0</v>
      </c>
      <c r="F9834" t="str">
        <f>"001750"</f>
        <v>0</v>
      </c>
      <c r="G9834" t="s">
        <v>21</v>
      </c>
    </row>
    <row r="9835" spans="1:7">
      <c r="A9835">
        <v>9834</v>
      </c>
      <c r="B9835" t="str">
        <f>"021589"</f>
        <v>0</v>
      </c>
      <c r="C9835" t="s">
        <v>14903</v>
      </c>
      <c r="D9835" t="s">
        <v>14904</v>
      </c>
      <c r="E9835" t="str">
        <f>"3190100431104"</f>
        <v>0</v>
      </c>
      <c r="F9835" t="str">
        <f>"001750"</f>
        <v>0</v>
      </c>
      <c r="G9835" t="s">
        <v>21</v>
      </c>
    </row>
    <row r="9836" spans="1:7">
      <c r="A9836">
        <v>9835</v>
      </c>
      <c r="B9836" t="str">
        <f>"021743"</f>
        <v>0</v>
      </c>
      <c r="C9836" t="s">
        <v>9115</v>
      </c>
      <c r="D9836" t="s">
        <v>14905</v>
      </c>
      <c r="E9836" t="str">
        <f>"3190300394270"</f>
        <v>0</v>
      </c>
      <c r="F9836" t="str">
        <f>"001750"</f>
        <v>0</v>
      </c>
      <c r="G9836" t="s">
        <v>21</v>
      </c>
    </row>
    <row r="9837" spans="1:7">
      <c r="A9837">
        <v>9836</v>
      </c>
      <c r="B9837" t="str">
        <f>"022029"</f>
        <v>0</v>
      </c>
      <c r="C9837" t="s">
        <v>14906</v>
      </c>
      <c r="D9837" t="s">
        <v>10812</v>
      </c>
      <c r="E9837" t="str">
        <f>"3190300401381"</f>
        <v>0</v>
      </c>
      <c r="F9837" t="str">
        <f>"001750"</f>
        <v>0</v>
      </c>
      <c r="G9837" t="s">
        <v>21</v>
      </c>
    </row>
    <row r="9838" spans="1:7">
      <c r="A9838">
        <v>9837</v>
      </c>
      <c r="B9838" t="str">
        <f>"022100"</f>
        <v>0</v>
      </c>
      <c r="C9838" t="s">
        <v>14907</v>
      </c>
      <c r="D9838" t="s">
        <v>14908</v>
      </c>
      <c r="E9838" t="str">
        <f>"3191000064381"</f>
        <v>0</v>
      </c>
      <c r="F9838" t="str">
        <f>"001750"</f>
        <v>0</v>
      </c>
      <c r="G9838" t="s">
        <v>21</v>
      </c>
    </row>
    <row r="9839" spans="1:7">
      <c r="A9839">
        <v>9838</v>
      </c>
      <c r="B9839" t="str">
        <f>"022162"</f>
        <v>0</v>
      </c>
      <c r="C9839" t="s">
        <v>14909</v>
      </c>
      <c r="D9839" t="s">
        <v>14910</v>
      </c>
      <c r="E9839" t="str">
        <f>"3190600354133"</f>
        <v>0</v>
      </c>
      <c r="F9839" t="str">
        <f>"001750"</f>
        <v>0</v>
      </c>
      <c r="G9839" t="s">
        <v>21</v>
      </c>
    </row>
    <row r="9840" spans="1:7">
      <c r="A9840">
        <v>9839</v>
      </c>
      <c r="B9840" t="str">
        <f>"022445"</f>
        <v>0</v>
      </c>
      <c r="C9840" t="s">
        <v>11265</v>
      </c>
      <c r="D9840" t="s">
        <v>14911</v>
      </c>
      <c r="E9840" t="str">
        <f>"3199800108070"</f>
        <v>0</v>
      </c>
      <c r="F9840" t="str">
        <f>"001750"</f>
        <v>0</v>
      </c>
      <c r="G9840" t="s">
        <v>21</v>
      </c>
    </row>
    <row r="9841" spans="1:7">
      <c r="A9841">
        <v>9840</v>
      </c>
      <c r="B9841" t="str">
        <f>"022545"</f>
        <v>0</v>
      </c>
      <c r="C9841" t="s">
        <v>1346</v>
      </c>
      <c r="D9841" t="s">
        <v>14912</v>
      </c>
      <c r="E9841" t="str">
        <f>"1190200001318"</f>
        <v>0</v>
      </c>
      <c r="F9841" t="str">
        <f>"001750"</f>
        <v>0</v>
      </c>
      <c r="G9841" t="s">
        <v>21</v>
      </c>
    </row>
    <row r="9842" spans="1:7">
      <c r="A9842">
        <v>9841</v>
      </c>
      <c r="B9842" t="str">
        <f>"022876"</f>
        <v>0</v>
      </c>
      <c r="C9842" t="s">
        <v>14913</v>
      </c>
      <c r="D9842" t="s">
        <v>14914</v>
      </c>
      <c r="E9842" t="str">
        <f>"3570200293800"</f>
        <v>0</v>
      </c>
      <c r="F9842" t="str">
        <f>"001750"</f>
        <v>0</v>
      </c>
      <c r="G9842" t="s">
        <v>21</v>
      </c>
    </row>
    <row r="9843" spans="1:7">
      <c r="A9843">
        <v>9842</v>
      </c>
      <c r="B9843" t="str">
        <f>"023128"</f>
        <v>0</v>
      </c>
      <c r="C9843" t="s">
        <v>11265</v>
      </c>
      <c r="D9843" t="s">
        <v>14915</v>
      </c>
      <c r="E9843" t="str">
        <f>"3499900108320"</f>
        <v>0</v>
      </c>
      <c r="F9843" t="str">
        <f>"001750"</f>
        <v>0</v>
      </c>
      <c r="G9843" t="s">
        <v>21</v>
      </c>
    </row>
    <row r="9844" spans="1:7">
      <c r="A9844">
        <v>9843</v>
      </c>
      <c r="B9844" t="str">
        <f>"023141"</f>
        <v>0</v>
      </c>
      <c r="C9844" t="s">
        <v>14916</v>
      </c>
      <c r="D9844" t="s">
        <v>14917</v>
      </c>
      <c r="E9844" t="str">
        <f>"3199700019296"</f>
        <v>0</v>
      </c>
      <c r="F9844" t="str">
        <f>"001750"</f>
        <v>0</v>
      </c>
      <c r="G9844" t="s">
        <v>21</v>
      </c>
    </row>
    <row r="9845" spans="1:7">
      <c r="A9845">
        <v>9844</v>
      </c>
      <c r="B9845" t="str">
        <f>"024410"</f>
        <v>0</v>
      </c>
      <c r="C9845" t="s">
        <v>14918</v>
      </c>
      <c r="D9845" t="s">
        <v>14919</v>
      </c>
      <c r="E9845" t="str">
        <f>"1160100013331"</f>
        <v>0</v>
      </c>
      <c r="F9845" t="str">
        <f>"001750"</f>
        <v>0</v>
      </c>
      <c r="G9845" t="s">
        <v>21</v>
      </c>
    </row>
    <row r="9846" spans="1:7">
      <c r="A9846">
        <v>9845</v>
      </c>
      <c r="B9846" t="str">
        <f>"024545"</f>
        <v>0</v>
      </c>
      <c r="C9846" t="s">
        <v>14920</v>
      </c>
      <c r="D9846" t="s">
        <v>14921</v>
      </c>
      <c r="E9846" t="str">
        <f>"3101702325508"</f>
        <v>0</v>
      </c>
      <c r="F9846" t="str">
        <f>"001750"</f>
        <v>0</v>
      </c>
      <c r="G9846" t="s">
        <v>21</v>
      </c>
    </row>
    <row r="9847" spans="1:7">
      <c r="A9847">
        <v>9846</v>
      </c>
      <c r="B9847" t="str">
        <f>"024862"</f>
        <v>0</v>
      </c>
      <c r="C9847" t="s">
        <v>14922</v>
      </c>
      <c r="D9847" t="s">
        <v>14923</v>
      </c>
      <c r="E9847" t="str">
        <f>"3430100669582"</f>
        <v>0</v>
      </c>
      <c r="F9847" t="str">
        <f>"001750"</f>
        <v>0</v>
      </c>
      <c r="G9847" t="s">
        <v>21</v>
      </c>
    </row>
    <row r="9848" spans="1:7">
      <c r="A9848">
        <v>9847</v>
      </c>
      <c r="B9848" t="str">
        <f>"024960"</f>
        <v>0</v>
      </c>
      <c r="C9848" t="s">
        <v>14924</v>
      </c>
      <c r="D9848" t="s">
        <v>14925</v>
      </c>
      <c r="E9848" t="str">
        <f>"1190500031972"</f>
        <v>0</v>
      </c>
      <c r="F9848" t="str">
        <f>"001750"</f>
        <v>0</v>
      </c>
      <c r="G9848" t="s">
        <v>21</v>
      </c>
    </row>
    <row r="9849" spans="1:7">
      <c r="A9849">
        <v>9848</v>
      </c>
      <c r="B9849" t="str">
        <f>"025289"</f>
        <v>0</v>
      </c>
      <c r="C9849" t="s">
        <v>14926</v>
      </c>
      <c r="D9849" t="s">
        <v>14927</v>
      </c>
      <c r="E9849" t="str">
        <f>"1190900019414"</f>
        <v>0</v>
      </c>
      <c r="F9849" t="str">
        <f>"001750"</f>
        <v>0</v>
      </c>
      <c r="G9849" t="s">
        <v>21</v>
      </c>
    </row>
    <row r="9850" spans="1:7">
      <c r="A9850">
        <v>9849</v>
      </c>
      <c r="B9850" t="str">
        <f>"025651"</f>
        <v>0</v>
      </c>
      <c r="C9850" t="s">
        <v>14147</v>
      </c>
      <c r="D9850" t="s">
        <v>14928</v>
      </c>
      <c r="E9850" t="str">
        <f>"2330400020291"</f>
        <v>0</v>
      </c>
      <c r="F9850" t="str">
        <f>"001750"</f>
        <v>0</v>
      </c>
      <c r="G9850" t="s">
        <v>21</v>
      </c>
    </row>
    <row r="9851" spans="1:7">
      <c r="A9851">
        <v>9850</v>
      </c>
      <c r="B9851" t="str">
        <f>"025665"</f>
        <v>0</v>
      </c>
      <c r="C9851" t="s">
        <v>14929</v>
      </c>
      <c r="D9851" t="s">
        <v>14930</v>
      </c>
      <c r="E9851" t="str">
        <f>"1199900251633"</f>
        <v>0</v>
      </c>
      <c r="F9851" t="str">
        <f>"001750"</f>
        <v>0</v>
      </c>
      <c r="G9851" t="s">
        <v>21</v>
      </c>
    </row>
    <row r="9852" spans="1:7">
      <c r="A9852">
        <v>9851</v>
      </c>
      <c r="B9852" t="str">
        <f>"025880"</f>
        <v>0</v>
      </c>
      <c r="C9852" t="s">
        <v>14931</v>
      </c>
      <c r="D9852" t="s">
        <v>14932</v>
      </c>
      <c r="E9852" t="str">
        <f>"3721000122105"</f>
        <v>0</v>
      </c>
      <c r="F9852" t="str">
        <f>"001750"</f>
        <v>0</v>
      </c>
      <c r="G9852" t="s">
        <v>21</v>
      </c>
    </row>
    <row r="9853" spans="1:7">
      <c r="A9853">
        <v>9852</v>
      </c>
      <c r="B9853" t="str">
        <f>"025954"</f>
        <v>0</v>
      </c>
      <c r="C9853" t="s">
        <v>1575</v>
      </c>
      <c r="D9853" t="s">
        <v>14933</v>
      </c>
      <c r="E9853" t="str">
        <f>"3450200378768"</f>
        <v>0</v>
      </c>
      <c r="F9853" t="str">
        <f>"001750"</f>
        <v>0</v>
      </c>
      <c r="G9853" t="s">
        <v>21</v>
      </c>
    </row>
    <row r="9854" spans="1:7">
      <c r="A9854">
        <v>9853</v>
      </c>
      <c r="B9854" t="str">
        <f>"026818"</f>
        <v>0</v>
      </c>
      <c r="C9854" t="s">
        <v>14934</v>
      </c>
      <c r="D9854" t="s">
        <v>14935</v>
      </c>
      <c r="E9854" t="str">
        <f>"1199900064001"</f>
        <v>0</v>
      </c>
      <c r="F9854" t="str">
        <f>"001750"</f>
        <v>0</v>
      </c>
      <c r="G9854" t="s">
        <v>21</v>
      </c>
    </row>
    <row r="9855" spans="1:7">
      <c r="A9855">
        <v>9854</v>
      </c>
      <c r="B9855" t="str">
        <f>"027492"</f>
        <v>0</v>
      </c>
      <c r="C9855" t="s">
        <v>14936</v>
      </c>
      <c r="D9855" t="s">
        <v>10947</v>
      </c>
      <c r="E9855" t="str">
        <f>"1191000021731"</f>
        <v>0</v>
      </c>
      <c r="F9855" t="str">
        <f>"001750"</f>
        <v>0</v>
      </c>
      <c r="G9855" t="s">
        <v>21</v>
      </c>
    </row>
    <row r="9856" spans="1:7">
      <c r="A9856">
        <v>9855</v>
      </c>
      <c r="B9856" t="str">
        <f>"027493"</f>
        <v>0</v>
      </c>
      <c r="C9856" t="s">
        <v>14937</v>
      </c>
      <c r="D9856" t="s">
        <v>14938</v>
      </c>
      <c r="E9856" t="str">
        <f>"3341100034082"</f>
        <v>0</v>
      </c>
      <c r="F9856" t="str">
        <f>"001750"</f>
        <v>0</v>
      </c>
      <c r="G9856" t="s">
        <v>21</v>
      </c>
    </row>
    <row r="9857" spans="1:7">
      <c r="A9857">
        <v>9856</v>
      </c>
      <c r="B9857" t="str">
        <f>"021144"</f>
        <v>0</v>
      </c>
      <c r="C9857" t="s">
        <v>2430</v>
      </c>
      <c r="D9857" t="s">
        <v>14939</v>
      </c>
      <c r="E9857" t="str">
        <f>"3260300564573"</f>
        <v>0</v>
      </c>
      <c r="F9857" t="str">
        <f>"001750"</f>
        <v>0</v>
      </c>
      <c r="G9857" t="s">
        <v>21</v>
      </c>
    </row>
    <row r="9858" spans="1:7">
      <c r="A9858">
        <v>9857</v>
      </c>
      <c r="B9858" t="str">
        <f>"026417"</f>
        <v>0</v>
      </c>
      <c r="C9858" t="s">
        <v>14940</v>
      </c>
      <c r="D9858" t="s">
        <v>14941</v>
      </c>
      <c r="E9858" t="str">
        <f>"1309700084529"</f>
        <v>0</v>
      </c>
      <c r="F9858" t="str">
        <f>"001750"</f>
        <v>0</v>
      </c>
      <c r="G9858" t="s">
        <v>21</v>
      </c>
    </row>
    <row r="9859" spans="1:7">
      <c r="A9859">
        <v>9858</v>
      </c>
      <c r="B9859" t="str">
        <f>"023547"</f>
        <v>0</v>
      </c>
      <c r="C9859" t="s">
        <v>14942</v>
      </c>
      <c r="D9859" t="s">
        <v>7879</v>
      </c>
      <c r="E9859" t="str">
        <f>"3330100016776"</f>
        <v>0</v>
      </c>
      <c r="F9859" t="str">
        <f>"001750"</f>
        <v>0</v>
      </c>
      <c r="G9859" t="s">
        <v>21</v>
      </c>
    </row>
    <row r="9860" spans="1:7">
      <c r="A9860">
        <v>9859</v>
      </c>
      <c r="B9860" t="str">
        <f>"017230"</f>
        <v>0</v>
      </c>
      <c r="C9860" t="s">
        <v>837</v>
      </c>
      <c r="D9860" t="s">
        <v>14943</v>
      </c>
      <c r="E9860" t="str">
        <f>"3349900665149"</f>
        <v>0</v>
      </c>
      <c r="F9860" t="str">
        <f>"001750"</f>
        <v>0</v>
      </c>
      <c r="G9860" t="s">
        <v>21</v>
      </c>
    </row>
    <row r="9861" spans="1:7">
      <c r="A9861">
        <v>9860</v>
      </c>
      <c r="B9861" t="str">
        <f>"022628"</f>
        <v>0</v>
      </c>
      <c r="C9861" t="s">
        <v>14944</v>
      </c>
      <c r="D9861" t="s">
        <v>14945</v>
      </c>
      <c r="E9861" t="str">
        <f>"5340400092474"</f>
        <v>0</v>
      </c>
      <c r="F9861" t="str">
        <f>"001750"</f>
        <v>0</v>
      </c>
      <c r="G9861" t="s">
        <v>21</v>
      </c>
    </row>
    <row r="9862" spans="1:7">
      <c r="A9862">
        <v>9861</v>
      </c>
      <c r="B9862" t="str">
        <f>"013370"</f>
        <v>0</v>
      </c>
      <c r="C9862" t="s">
        <v>4969</v>
      </c>
      <c r="D9862" t="s">
        <v>14946</v>
      </c>
      <c r="E9862" t="str">
        <f>"3190800055695"</f>
        <v>0</v>
      </c>
      <c r="F9862" t="str">
        <f>"001750"</f>
        <v>0</v>
      </c>
      <c r="G9862" t="s">
        <v>21</v>
      </c>
    </row>
    <row r="9863" spans="1:7">
      <c r="A9863">
        <v>9862</v>
      </c>
      <c r="B9863" t="str">
        <f>"017711"</f>
        <v>0</v>
      </c>
      <c r="C9863" t="s">
        <v>14947</v>
      </c>
      <c r="D9863" t="s">
        <v>14948</v>
      </c>
      <c r="E9863" t="str">
        <f>"3180500106049"</f>
        <v>0</v>
      </c>
      <c r="F9863" t="str">
        <f>"001750"</f>
        <v>0</v>
      </c>
      <c r="G9863" t="s">
        <v>21</v>
      </c>
    </row>
    <row r="9864" spans="1:7">
      <c r="A9864">
        <v>9863</v>
      </c>
      <c r="B9864" t="str">
        <f>"020141"</f>
        <v>0</v>
      </c>
      <c r="C9864" t="s">
        <v>14949</v>
      </c>
      <c r="D9864" t="s">
        <v>14950</v>
      </c>
      <c r="E9864" t="str">
        <f>"3401800289309"</f>
        <v>0</v>
      </c>
      <c r="F9864" t="str">
        <f>"001750"</f>
        <v>0</v>
      </c>
      <c r="G9864" t="s">
        <v>21</v>
      </c>
    </row>
    <row r="9865" spans="1:7">
      <c r="A9865">
        <v>9864</v>
      </c>
      <c r="B9865" t="str">
        <f>"026203"</f>
        <v>0</v>
      </c>
      <c r="C9865" t="s">
        <v>14951</v>
      </c>
      <c r="D9865" t="s">
        <v>14952</v>
      </c>
      <c r="E9865" t="str">
        <f>"1509901076513"</f>
        <v>0</v>
      </c>
      <c r="F9865" t="str">
        <f>"001750"</f>
        <v>0</v>
      </c>
      <c r="G9865" t="s">
        <v>21</v>
      </c>
    </row>
    <row r="9866" spans="1:7">
      <c r="A9866">
        <v>9865</v>
      </c>
      <c r="B9866" t="str">
        <f>"015264"</f>
        <v>0</v>
      </c>
      <c r="C9866" t="s">
        <v>14953</v>
      </c>
      <c r="D9866" t="s">
        <v>14954</v>
      </c>
      <c r="E9866" t="str">
        <f>"3469900111045"</f>
        <v>0</v>
      </c>
      <c r="F9866" t="str">
        <f>"001750"</f>
        <v>0</v>
      </c>
      <c r="G9866" t="s">
        <v>21</v>
      </c>
    </row>
    <row r="9867" spans="1:7">
      <c r="A9867">
        <v>9866</v>
      </c>
      <c r="B9867" t="str">
        <f>"023881"</f>
        <v>0</v>
      </c>
      <c r="C9867" t="s">
        <v>731</v>
      </c>
      <c r="D9867" t="s">
        <v>14955</v>
      </c>
      <c r="E9867" t="str">
        <f>"3310600059911"</f>
        <v>0</v>
      </c>
      <c r="F9867" t="str">
        <f>"001750"</f>
        <v>0</v>
      </c>
      <c r="G9867" t="s">
        <v>21</v>
      </c>
    </row>
    <row r="9868" spans="1:7">
      <c r="A9868">
        <v>9867</v>
      </c>
      <c r="B9868" t="str">
        <f>"023609"</f>
        <v>0</v>
      </c>
      <c r="C9868" t="s">
        <v>14956</v>
      </c>
      <c r="D9868" t="s">
        <v>14957</v>
      </c>
      <c r="E9868" t="str">
        <f>"3460600011217"</f>
        <v>0</v>
      </c>
      <c r="F9868" t="str">
        <f>"001750"</f>
        <v>0</v>
      </c>
      <c r="G9868" t="s">
        <v>21</v>
      </c>
    </row>
    <row r="9869" spans="1:7">
      <c r="A9869">
        <v>9868</v>
      </c>
      <c r="B9869" t="str">
        <f>"027405"</f>
        <v>0</v>
      </c>
      <c r="C9869" t="s">
        <v>7622</v>
      </c>
      <c r="D9869" t="s">
        <v>3051</v>
      </c>
      <c r="E9869" t="str">
        <f>"1509901088465"</f>
        <v>0</v>
      </c>
      <c r="F9869" t="str">
        <f>"001750"</f>
        <v>0</v>
      </c>
      <c r="G9869" t="s">
        <v>21</v>
      </c>
    </row>
    <row r="9870" spans="1:7">
      <c r="A9870">
        <v>9869</v>
      </c>
      <c r="B9870" t="str">
        <f>"026820"</f>
        <v>0</v>
      </c>
      <c r="C9870" t="s">
        <v>14958</v>
      </c>
      <c r="D9870" t="s">
        <v>14959</v>
      </c>
      <c r="E9870" t="str">
        <f>"1559900205603"</f>
        <v>0</v>
      </c>
      <c r="F9870" t="str">
        <f>"001750"</f>
        <v>0</v>
      </c>
      <c r="G9870" t="s">
        <v>21</v>
      </c>
    </row>
    <row r="9871" spans="1:7">
      <c r="A9871">
        <v>9870</v>
      </c>
      <c r="B9871" t="str">
        <f>"020358"</f>
        <v>0</v>
      </c>
      <c r="C9871" t="s">
        <v>2608</v>
      </c>
      <c r="D9871" t="s">
        <v>14960</v>
      </c>
      <c r="E9871" t="str">
        <f>"3409900642156"</f>
        <v>0</v>
      </c>
      <c r="F9871" t="str">
        <f>"001750"</f>
        <v>0</v>
      </c>
      <c r="G9871" t="s">
        <v>21</v>
      </c>
    </row>
    <row r="9872" spans="1:7">
      <c r="A9872">
        <v>9871</v>
      </c>
      <c r="B9872" t="str">
        <f>"021194"</f>
        <v>0</v>
      </c>
      <c r="C9872" t="s">
        <v>14961</v>
      </c>
      <c r="D9872" t="s">
        <v>5628</v>
      </c>
      <c r="E9872" t="str">
        <f>"3670101597702"</f>
        <v>0</v>
      </c>
      <c r="F9872" t="str">
        <f>"001750"</f>
        <v>0</v>
      </c>
      <c r="G9872" t="s">
        <v>21</v>
      </c>
    </row>
    <row r="9873" spans="1:7">
      <c r="A9873">
        <v>9872</v>
      </c>
      <c r="B9873" t="str">
        <f>"027406"</f>
        <v>0</v>
      </c>
      <c r="C9873" t="s">
        <v>4783</v>
      </c>
      <c r="D9873" t="s">
        <v>14962</v>
      </c>
      <c r="E9873" t="str">
        <f>"3710501035468"</f>
        <v>0</v>
      </c>
      <c r="F9873" t="str">
        <f>"001750"</f>
        <v>0</v>
      </c>
      <c r="G9873" t="s">
        <v>21</v>
      </c>
    </row>
    <row r="9874" spans="1:7">
      <c r="A9874">
        <v>9873</v>
      </c>
      <c r="B9874" t="str">
        <f>"020366"</f>
        <v>0</v>
      </c>
      <c r="C9874" t="s">
        <v>1335</v>
      </c>
      <c r="D9874" t="s">
        <v>14963</v>
      </c>
      <c r="E9874" t="str">
        <f>"3199900060532"</f>
        <v>0</v>
      </c>
      <c r="F9874" t="str">
        <f>"001750"</f>
        <v>0</v>
      </c>
      <c r="G9874" t="s">
        <v>21</v>
      </c>
    </row>
    <row r="9875" spans="1:7">
      <c r="A9875">
        <v>9874</v>
      </c>
      <c r="B9875" t="str">
        <f>"020595"</f>
        <v>0</v>
      </c>
      <c r="C9875" t="s">
        <v>96</v>
      </c>
      <c r="D9875" t="s">
        <v>7208</v>
      </c>
      <c r="E9875" t="str">
        <f>"3800900800388"</f>
        <v>0</v>
      </c>
      <c r="F9875" t="str">
        <f>"001750"</f>
        <v>0</v>
      </c>
      <c r="G9875" t="s">
        <v>21</v>
      </c>
    </row>
    <row r="9876" spans="1:7">
      <c r="A9876">
        <v>9875</v>
      </c>
      <c r="B9876" t="str">
        <f>"002412"</f>
        <v>0</v>
      </c>
      <c r="C9876" t="s">
        <v>36</v>
      </c>
      <c r="D9876" t="s">
        <v>14964</v>
      </c>
      <c r="E9876" t="str">
        <f>"3170200291452"</f>
        <v>0</v>
      </c>
      <c r="F9876" t="str">
        <f>"001770"</f>
        <v>0</v>
      </c>
      <c r="G9876" t="s">
        <v>21</v>
      </c>
    </row>
    <row r="9877" spans="1:7">
      <c r="A9877">
        <v>9876</v>
      </c>
      <c r="B9877" t="str">
        <f>"002751"</f>
        <v>0</v>
      </c>
      <c r="C9877" t="s">
        <v>2902</v>
      </c>
      <c r="D9877" t="s">
        <v>14964</v>
      </c>
      <c r="E9877" t="str">
        <f>"3170200291487"</f>
        <v>0</v>
      </c>
      <c r="F9877" t="str">
        <f>"001770"</f>
        <v>0</v>
      </c>
      <c r="G9877" t="s">
        <v>21</v>
      </c>
    </row>
    <row r="9878" spans="1:7">
      <c r="A9878">
        <v>9877</v>
      </c>
      <c r="B9878" t="str">
        <f>"004364"</f>
        <v>0</v>
      </c>
      <c r="C9878" t="s">
        <v>2907</v>
      </c>
      <c r="D9878" t="s">
        <v>14965</v>
      </c>
      <c r="E9878" t="str">
        <f>"3179900053803"</f>
        <v>0</v>
      </c>
      <c r="F9878" t="str">
        <f>"001770"</f>
        <v>0</v>
      </c>
      <c r="G9878" t="s">
        <v>21</v>
      </c>
    </row>
    <row r="9879" spans="1:7">
      <c r="A9879">
        <v>9878</v>
      </c>
      <c r="B9879" t="str">
        <f>"005241"</f>
        <v>0</v>
      </c>
      <c r="C9879" t="s">
        <v>1216</v>
      </c>
      <c r="D9879" t="s">
        <v>14966</v>
      </c>
      <c r="E9879" t="str">
        <f>"5150700016309"</f>
        <v>0</v>
      </c>
      <c r="F9879" t="str">
        <f>"001770"</f>
        <v>0</v>
      </c>
      <c r="G9879" t="s">
        <v>21</v>
      </c>
    </row>
    <row r="9880" spans="1:7">
      <c r="A9880">
        <v>9879</v>
      </c>
      <c r="B9880" t="str">
        <f>"005711"</f>
        <v>0</v>
      </c>
      <c r="C9880" t="s">
        <v>14967</v>
      </c>
      <c r="D9880" t="s">
        <v>14968</v>
      </c>
      <c r="E9880" t="str">
        <f>"3170200204738"</f>
        <v>0</v>
      </c>
      <c r="F9880" t="str">
        <f>"001770"</f>
        <v>0</v>
      </c>
      <c r="G9880" t="s">
        <v>21</v>
      </c>
    </row>
    <row r="9881" spans="1:7">
      <c r="A9881">
        <v>9880</v>
      </c>
      <c r="B9881" t="str">
        <f>"006919"</f>
        <v>0</v>
      </c>
      <c r="C9881" t="s">
        <v>14969</v>
      </c>
      <c r="D9881" t="s">
        <v>6090</v>
      </c>
      <c r="E9881" t="str">
        <f>"3170200164817"</f>
        <v>0</v>
      </c>
      <c r="F9881" t="str">
        <f>"001770"</f>
        <v>0</v>
      </c>
      <c r="G9881" t="s">
        <v>21</v>
      </c>
    </row>
    <row r="9882" spans="1:7">
      <c r="A9882">
        <v>9881</v>
      </c>
      <c r="B9882" t="str">
        <f>"009843"</f>
        <v>0</v>
      </c>
      <c r="C9882" t="s">
        <v>7848</v>
      </c>
      <c r="D9882" t="s">
        <v>14970</v>
      </c>
      <c r="E9882" t="str">
        <f>"3900900385860"</f>
        <v>0</v>
      </c>
      <c r="F9882" t="str">
        <f>"001770"</f>
        <v>0</v>
      </c>
      <c r="G9882" t="s">
        <v>21</v>
      </c>
    </row>
    <row r="9883" spans="1:7">
      <c r="A9883">
        <v>9882</v>
      </c>
      <c r="B9883" t="str">
        <f>"010508"</f>
        <v>0</v>
      </c>
      <c r="C9883" t="s">
        <v>755</v>
      </c>
      <c r="D9883" t="s">
        <v>14971</v>
      </c>
      <c r="E9883" t="str">
        <f>"3149900507855"</f>
        <v>0</v>
      </c>
      <c r="F9883" t="str">
        <f>"001770"</f>
        <v>0</v>
      </c>
      <c r="G9883" t="s">
        <v>21</v>
      </c>
    </row>
    <row r="9884" spans="1:7">
      <c r="A9884">
        <v>9883</v>
      </c>
      <c r="B9884" t="str">
        <f>"010691"</f>
        <v>0</v>
      </c>
      <c r="C9884" t="s">
        <v>5112</v>
      </c>
      <c r="D9884" t="s">
        <v>14972</v>
      </c>
      <c r="E9884" t="str">
        <f>"3170400188931"</f>
        <v>0</v>
      </c>
      <c r="F9884" t="str">
        <f>"001770"</f>
        <v>0</v>
      </c>
      <c r="G9884" t="s">
        <v>21</v>
      </c>
    </row>
    <row r="9885" spans="1:7">
      <c r="A9885">
        <v>9884</v>
      </c>
      <c r="B9885" t="str">
        <f>"012029"</f>
        <v>0</v>
      </c>
      <c r="C9885" t="s">
        <v>3548</v>
      </c>
      <c r="D9885" t="s">
        <v>14973</v>
      </c>
      <c r="E9885" t="str">
        <f>"3170300182167"</f>
        <v>0</v>
      </c>
      <c r="F9885" t="str">
        <f>"001770"</f>
        <v>0</v>
      </c>
      <c r="G9885" t="s">
        <v>21</v>
      </c>
    </row>
    <row r="9886" spans="1:7">
      <c r="A9886">
        <v>9885</v>
      </c>
      <c r="B9886" t="str">
        <f>"012606"</f>
        <v>0</v>
      </c>
      <c r="C9886" t="s">
        <v>11222</v>
      </c>
      <c r="D9886" t="s">
        <v>14974</v>
      </c>
      <c r="E9886" t="str">
        <f>"3170300216711"</f>
        <v>0</v>
      </c>
      <c r="F9886" t="str">
        <f>"001770"</f>
        <v>0</v>
      </c>
      <c r="G9886" t="s">
        <v>21</v>
      </c>
    </row>
    <row r="9887" spans="1:7">
      <c r="A9887">
        <v>9886</v>
      </c>
      <c r="B9887" t="str">
        <f>"013112"</f>
        <v>0</v>
      </c>
      <c r="C9887" t="s">
        <v>878</v>
      </c>
      <c r="D9887" t="s">
        <v>14975</v>
      </c>
      <c r="E9887" t="str">
        <f>"3160500096922"</f>
        <v>0</v>
      </c>
      <c r="F9887" t="str">
        <f>"001770"</f>
        <v>0</v>
      </c>
      <c r="G9887" t="s">
        <v>21</v>
      </c>
    </row>
    <row r="9888" spans="1:7">
      <c r="A9888">
        <v>9887</v>
      </c>
      <c r="B9888" t="str">
        <f>"013282"</f>
        <v>0</v>
      </c>
      <c r="C9888" t="s">
        <v>14976</v>
      </c>
      <c r="D9888" t="s">
        <v>10944</v>
      </c>
      <c r="E9888" t="str">
        <f>"3500200487612"</f>
        <v>0</v>
      </c>
      <c r="F9888" t="str">
        <f>"001770"</f>
        <v>0</v>
      </c>
      <c r="G9888" t="s">
        <v>21</v>
      </c>
    </row>
    <row r="9889" spans="1:7">
      <c r="A9889">
        <v>9888</v>
      </c>
      <c r="B9889" t="str">
        <f>"013749"</f>
        <v>0</v>
      </c>
      <c r="C9889" t="s">
        <v>14977</v>
      </c>
      <c r="D9889" t="s">
        <v>14978</v>
      </c>
      <c r="E9889" t="str">
        <f>"3179900197333"</f>
        <v>0</v>
      </c>
      <c r="F9889" t="str">
        <f>"001770"</f>
        <v>0</v>
      </c>
      <c r="G9889" t="s">
        <v>21</v>
      </c>
    </row>
    <row r="9890" spans="1:7">
      <c r="A9890">
        <v>9889</v>
      </c>
      <c r="B9890" t="str">
        <f>"014541"</f>
        <v>0</v>
      </c>
      <c r="C9890" t="s">
        <v>391</v>
      </c>
      <c r="D9890" t="s">
        <v>4067</v>
      </c>
      <c r="E9890" t="str">
        <f>"3170600191668"</f>
        <v>0</v>
      </c>
      <c r="F9890" t="str">
        <f>"001770"</f>
        <v>0</v>
      </c>
      <c r="G9890" t="s">
        <v>21</v>
      </c>
    </row>
    <row r="9891" spans="1:7">
      <c r="A9891">
        <v>9890</v>
      </c>
      <c r="B9891" t="str">
        <f>"015589"</f>
        <v>0</v>
      </c>
      <c r="C9891" t="s">
        <v>14979</v>
      </c>
      <c r="D9891" t="s">
        <v>14980</v>
      </c>
      <c r="E9891" t="str">
        <f>"3101400930778"</f>
        <v>0</v>
      </c>
      <c r="F9891" t="str">
        <f>"001770"</f>
        <v>0</v>
      </c>
      <c r="G9891" t="s">
        <v>21</v>
      </c>
    </row>
    <row r="9892" spans="1:7">
      <c r="A9892">
        <v>9891</v>
      </c>
      <c r="B9892" t="str">
        <f>"015860"</f>
        <v>0</v>
      </c>
      <c r="C9892" t="s">
        <v>2331</v>
      </c>
      <c r="D9892" t="s">
        <v>14981</v>
      </c>
      <c r="E9892" t="str">
        <f>"3170500062041"</f>
        <v>0</v>
      </c>
      <c r="F9892" t="str">
        <f>"001770"</f>
        <v>0</v>
      </c>
      <c r="G9892" t="s">
        <v>21</v>
      </c>
    </row>
    <row r="9893" spans="1:7">
      <c r="A9893">
        <v>9892</v>
      </c>
      <c r="B9893" t="str">
        <f>"016761"</f>
        <v>0</v>
      </c>
      <c r="C9893" t="s">
        <v>14982</v>
      </c>
      <c r="D9893" t="s">
        <v>5659</v>
      </c>
      <c r="E9893" t="str">
        <f>"5170600006638"</f>
        <v>0</v>
      </c>
      <c r="F9893" t="str">
        <f>"001770"</f>
        <v>0</v>
      </c>
      <c r="G9893" t="s">
        <v>21</v>
      </c>
    </row>
    <row r="9894" spans="1:7">
      <c r="A9894">
        <v>9893</v>
      </c>
      <c r="B9894" t="str">
        <f>"018376"</f>
        <v>0</v>
      </c>
      <c r="C9894" t="s">
        <v>352</v>
      </c>
      <c r="D9894" t="s">
        <v>1932</v>
      </c>
      <c r="E9894" t="str">
        <f>"3170600065565"</f>
        <v>0</v>
      </c>
      <c r="F9894" t="str">
        <f>"001770"</f>
        <v>0</v>
      </c>
      <c r="G9894" t="s">
        <v>21</v>
      </c>
    </row>
    <row r="9895" spans="1:7">
      <c r="A9895">
        <v>9894</v>
      </c>
      <c r="B9895" t="str">
        <f>"019546"</f>
        <v>0</v>
      </c>
      <c r="C9895" t="s">
        <v>447</v>
      </c>
      <c r="D9895" t="s">
        <v>14983</v>
      </c>
      <c r="E9895" t="str">
        <f>"3140400132994"</f>
        <v>0</v>
      </c>
      <c r="F9895" t="str">
        <f>"001770"</f>
        <v>0</v>
      </c>
      <c r="G9895" t="s">
        <v>21</v>
      </c>
    </row>
    <row r="9896" spans="1:7">
      <c r="A9896">
        <v>9895</v>
      </c>
      <c r="B9896" t="str">
        <f>"022101"</f>
        <v>0</v>
      </c>
      <c r="C9896" t="s">
        <v>1849</v>
      </c>
      <c r="D9896" t="s">
        <v>14984</v>
      </c>
      <c r="E9896" t="str">
        <f>"3170600205014"</f>
        <v>0</v>
      </c>
      <c r="F9896" t="str">
        <f>"001770"</f>
        <v>0</v>
      </c>
      <c r="G9896" t="s">
        <v>21</v>
      </c>
    </row>
    <row r="9897" spans="1:7">
      <c r="A9897">
        <v>9896</v>
      </c>
      <c r="B9897" t="str">
        <f>"026652"</f>
        <v>0</v>
      </c>
      <c r="C9897" t="s">
        <v>2503</v>
      </c>
      <c r="D9897" t="s">
        <v>14985</v>
      </c>
      <c r="E9897" t="str">
        <f>"3619900005944"</f>
        <v>0</v>
      </c>
      <c r="F9897" t="str">
        <f>"001770"</f>
        <v>0</v>
      </c>
      <c r="G9897" t="s">
        <v>21</v>
      </c>
    </row>
    <row r="9898" spans="1:7">
      <c r="A9898">
        <v>9897</v>
      </c>
      <c r="B9898" t="str">
        <f>"005576"</f>
        <v>0</v>
      </c>
      <c r="C9898" t="s">
        <v>3765</v>
      </c>
      <c r="D9898" t="s">
        <v>10312</v>
      </c>
      <c r="E9898" t="str">
        <f>"3100500511946"</f>
        <v>0</v>
      </c>
      <c r="F9898" t="str">
        <f>"001770"</f>
        <v>0</v>
      </c>
      <c r="G9898" t="s">
        <v>21</v>
      </c>
    </row>
    <row r="9899" spans="1:7">
      <c r="A9899">
        <v>9898</v>
      </c>
      <c r="B9899" t="str">
        <f>"011749"</f>
        <v>0</v>
      </c>
      <c r="C9899" t="s">
        <v>235</v>
      </c>
      <c r="D9899" t="s">
        <v>14986</v>
      </c>
      <c r="E9899" t="str">
        <f>"3179900094356"</f>
        <v>0</v>
      </c>
      <c r="F9899" t="str">
        <f>"001770"</f>
        <v>0</v>
      </c>
      <c r="G9899" t="s">
        <v>21</v>
      </c>
    </row>
    <row r="9900" spans="1:7">
      <c r="A9900">
        <v>9899</v>
      </c>
      <c r="B9900" t="str">
        <f>"019876"</f>
        <v>0</v>
      </c>
      <c r="C9900" t="s">
        <v>14987</v>
      </c>
      <c r="D9900" t="s">
        <v>3520</v>
      </c>
      <c r="E9900" t="str">
        <f>"3179900032954"</f>
        <v>0</v>
      </c>
      <c r="F9900" t="str">
        <f>"001770"</f>
        <v>0</v>
      </c>
      <c r="G9900" t="s">
        <v>21</v>
      </c>
    </row>
    <row r="9901" spans="1:7">
      <c r="A9901">
        <v>9900</v>
      </c>
      <c r="B9901" t="str">
        <f>"026403"</f>
        <v>0</v>
      </c>
      <c r="C9901" t="s">
        <v>14988</v>
      </c>
      <c r="D9901" t="s">
        <v>14989</v>
      </c>
      <c r="E9901" t="str">
        <f>"1179900290779"</f>
        <v>0</v>
      </c>
      <c r="F9901" t="str">
        <f>"001770"</f>
        <v>0</v>
      </c>
      <c r="G9901" t="s">
        <v>21</v>
      </c>
    </row>
    <row r="9902" spans="1:7">
      <c r="A9902">
        <v>9901</v>
      </c>
      <c r="B9902" t="str">
        <f>"027048"</f>
        <v>0</v>
      </c>
      <c r="C9902" t="s">
        <v>14990</v>
      </c>
      <c r="D9902" t="s">
        <v>14991</v>
      </c>
      <c r="E9902" t="str">
        <f>"3170100122497"</f>
        <v>0</v>
      </c>
      <c r="F9902" t="str">
        <f>"001770"</f>
        <v>0</v>
      </c>
      <c r="G9902" t="s">
        <v>21</v>
      </c>
    </row>
    <row r="9903" spans="1:7">
      <c r="A9903">
        <v>9902</v>
      </c>
      <c r="B9903" t="str">
        <f>"020985"</f>
        <v>0</v>
      </c>
      <c r="C9903" t="s">
        <v>3970</v>
      </c>
      <c r="D9903" t="s">
        <v>14992</v>
      </c>
      <c r="E9903" t="str">
        <f>"3670800580574"</f>
        <v>0</v>
      </c>
      <c r="F9903" t="str">
        <f>"001770"</f>
        <v>0</v>
      </c>
      <c r="G9903" t="s">
        <v>21</v>
      </c>
    </row>
    <row r="9904" spans="1:7">
      <c r="A9904">
        <v>9903</v>
      </c>
      <c r="B9904" t="str">
        <f>"026594"</f>
        <v>0</v>
      </c>
      <c r="C9904" t="s">
        <v>14993</v>
      </c>
      <c r="D9904" t="s">
        <v>14994</v>
      </c>
      <c r="E9904" t="str">
        <f>"1100200668941"</f>
        <v>0</v>
      </c>
      <c r="F9904" t="str">
        <f>"001770"</f>
        <v>0</v>
      </c>
      <c r="G9904" t="s">
        <v>21</v>
      </c>
    </row>
    <row r="9905" spans="1:7">
      <c r="A9905">
        <v>9904</v>
      </c>
      <c r="B9905" t="str">
        <f>"018602"</f>
        <v>0</v>
      </c>
      <c r="C9905" t="s">
        <v>14995</v>
      </c>
      <c r="D9905" t="s">
        <v>14996</v>
      </c>
      <c r="E9905" t="str">
        <f>"3800600489784"</f>
        <v>0</v>
      </c>
      <c r="F9905" t="str">
        <f>"001770"</f>
        <v>0</v>
      </c>
      <c r="G9905" t="s">
        <v>21</v>
      </c>
    </row>
    <row r="9906" spans="1:7">
      <c r="A9906">
        <v>9905</v>
      </c>
      <c r="B9906" t="str">
        <f>"023610"</f>
        <v>0</v>
      </c>
      <c r="C9906" t="s">
        <v>14997</v>
      </c>
      <c r="D9906" t="s">
        <v>14998</v>
      </c>
      <c r="E9906" t="str">
        <f>"1260400009052"</f>
        <v>0</v>
      </c>
      <c r="F9906" t="str">
        <f>"001770"</f>
        <v>0</v>
      </c>
      <c r="G9906" t="s">
        <v>21</v>
      </c>
    </row>
    <row r="9907" spans="1:7">
      <c r="A9907">
        <v>9906</v>
      </c>
      <c r="B9907" t="str">
        <f>"018095"</f>
        <v>0</v>
      </c>
      <c r="C9907" t="s">
        <v>14999</v>
      </c>
      <c r="D9907" t="s">
        <v>15000</v>
      </c>
      <c r="E9907" t="str">
        <f>"3149900024323"</f>
        <v>0</v>
      </c>
      <c r="F9907" t="str">
        <f>"001770"</f>
        <v>0</v>
      </c>
      <c r="G9907" t="s">
        <v>21</v>
      </c>
    </row>
    <row r="9908" spans="1:7">
      <c r="A9908">
        <v>9907</v>
      </c>
      <c r="B9908" t="str">
        <f>"024673"</f>
        <v>0</v>
      </c>
      <c r="C9908" t="s">
        <v>15001</v>
      </c>
      <c r="D9908" t="s">
        <v>15002</v>
      </c>
      <c r="E9908" t="str">
        <f>"1101400385790"</f>
        <v>0</v>
      </c>
      <c r="F9908" t="str">
        <f>"001770"</f>
        <v>0</v>
      </c>
      <c r="G9908" t="s">
        <v>21</v>
      </c>
    </row>
    <row r="9909" spans="1:7">
      <c r="A9909">
        <v>9908</v>
      </c>
      <c r="B9909" t="str">
        <f>"011228"</f>
        <v>0</v>
      </c>
      <c r="C9909" t="s">
        <v>15003</v>
      </c>
      <c r="D9909" t="s">
        <v>9190</v>
      </c>
      <c r="E9909" t="str">
        <f>"3160600086261"</f>
        <v>0</v>
      </c>
      <c r="F9909" t="str">
        <f>"001770"</f>
        <v>0</v>
      </c>
      <c r="G9909" t="s">
        <v>21</v>
      </c>
    </row>
    <row r="9910" spans="1:7">
      <c r="A9910">
        <v>9909</v>
      </c>
      <c r="B9910" t="str">
        <f>"023883"</f>
        <v>0</v>
      </c>
      <c r="C9910" t="s">
        <v>15004</v>
      </c>
      <c r="D9910" t="s">
        <v>15005</v>
      </c>
      <c r="E9910" t="str">
        <f>"3670700624308"</f>
        <v>0</v>
      </c>
      <c r="F9910" t="str">
        <f>"001770"</f>
        <v>0</v>
      </c>
      <c r="G9910" t="s">
        <v>21</v>
      </c>
    </row>
    <row r="9911" spans="1:7">
      <c r="A9911">
        <v>9910</v>
      </c>
      <c r="B9911" t="str">
        <f>"024142"</f>
        <v>0</v>
      </c>
      <c r="C9911" t="s">
        <v>868</v>
      </c>
      <c r="D9911" t="s">
        <v>15006</v>
      </c>
      <c r="E9911" t="str">
        <f>"1160100162212"</f>
        <v>0</v>
      </c>
      <c r="F9911" t="str">
        <f>"001770"</f>
        <v>0</v>
      </c>
      <c r="G9911" t="s">
        <v>21</v>
      </c>
    </row>
    <row r="9912" spans="1:7">
      <c r="A9912">
        <v>9911</v>
      </c>
      <c r="B9912" t="str">
        <f>"025000"</f>
        <v>0</v>
      </c>
      <c r="C9912" t="s">
        <v>15007</v>
      </c>
      <c r="D9912" t="s">
        <v>15008</v>
      </c>
      <c r="E9912" t="str">
        <f>"3160300215383"</f>
        <v>0</v>
      </c>
      <c r="F9912" t="str">
        <f>"001770"</f>
        <v>0</v>
      </c>
      <c r="G9912" t="s">
        <v>21</v>
      </c>
    </row>
    <row r="9913" spans="1:7">
      <c r="A9913">
        <v>9912</v>
      </c>
      <c r="B9913" t="str">
        <f>"008748"</f>
        <v>0</v>
      </c>
      <c r="C9913" t="s">
        <v>1406</v>
      </c>
      <c r="D9913" t="s">
        <v>15009</v>
      </c>
      <c r="E9913" t="str">
        <f>"3170400037886"</f>
        <v>0</v>
      </c>
      <c r="F9913" t="str">
        <f>"001770"</f>
        <v>0</v>
      </c>
      <c r="G9913" t="s">
        <v>21</v>
      </c>
    </row>
    <row r="9914" spans="1:7">
      <c r="A9914">
        <v>9913</v>
      </c>
      <c r="B9914" t="str">
        <f>"008838"</f>
        <v>0</v>
      </c>
      <c r="C9914" t="s">
        <v>130</v>
      </c>
      <c r="D9914" t="s">
        <v>15010</v>
      </c>
      <c r="E9914" t="str">
        <f>"3140300222193"</f>
        <v>0</v>
      </c>
      <c r="F9914" t="str">
        <f>"001770"</f>
        <v>0</v>
      </c>
      <c r="G9914" t="s">
        <v>21</v>
      </c>
    </row>
    <row r="9915" spans="1:7">
      <c r="A9915">
        <v>9914</v>
      </c>
      <c r="B9915" t="str">
        <f>"009153"</f>
        <v>0</v>
      </c>
      <c r="C9915" t="s">
        <v>802</v>
      </c>
      <c r="D9915" t="s">
        <v>15011</v>
      </c>
      <c r="E9915" t="str">
        <f>"3179900095743"</f>
        <v>0</v>
      </c>
      <c r="F9915" t="str">
        <f>"001770"</f>
        <v>0</v>
      </c>
      <c r="G9915" t="s">
        <v>21</v>
      </c>
    </row>
    <row r="9916" spans="1:7">
      <c r="A9916">
        <v>9915</v>
      </c>
      <c r="B9916" t="str">
        <f>"010561"</f>
        <v>0</v>
      </c>
      <c r="C9916" t="s">
        <v>12220</v>
      </c>
      <c r="D9916" t="s">
        <v>14971</v>
      </c>
      <c r="E9916" t="str">
        <f>"3170400193942"</f>
        <v>0</v>
      </c>
      <c r="F9916" t="str">
        <f>"001770"</f>
        <v>0</v>
      </c>
      <c r="G9916" t="s">
        <v>21</v>
      </c>
    </row>
    <row r="9917" spans="1:7">
      <c r="A9917">
        <v>9916</v>
      </c>
      <c r="B9917" t="str">
        <f>"011291"</f>
        <v>0</v>
      </c>
      <c r="C9917" t="s">
        <v>2655</v>
      </c>
      <c r="D9917" t="s">
        <v>15012</v>
      </c>
      <c r="E9917" t="str">
        <f>"3170300190178"</f>
        <v>0</v>
      </c>
      <c r="F9917" t="str">
        <f>"001770"</f>
        <v>0</v>
      </c>
      <c r="G9917" t="s">
        <v>21</v>
      </c>
    </row>
    <row r="9918" spans="1:7">
      <c r="A9918">
        <v>9917</v>
      </c>
      <c r="B9918" t="str">
        <f>"012000"</f>
        <v>0</v>
      </c>
      <c r="C9918" t="s">
        <v>46</v>
      </c>
      <c r="D9918" t="s">
        <v>11391</v>
      </c>
      <c r="E9918" t="str">
        <f>"3170600138759"</f>
        <v>0</v>
      </c>
      <c r="F9918" t="str">
        <f>"001770"</f>
        <v>0</v>
      </c>
      <c r="G9918" t="s">
        <v>21</v>
      </c>
    </row>
    <row r="9919" spans="1:7">
      <c r="A9919">
        <v>9918</v>
      </c>
      <c r="B9919" t="str">
        <f>"012523"</f>
        <v>0</v>
      </c>
      <c r="C9919" t="s">
        <v>2566</v>
      </c>
      <c r="D9919" t="s">
        <v>15013</v>
      </c>
      <c r="E9919" t="str">
        <f>"3170100031386"</f>
        <v>0</v>
      </c>
      <c r="F9919" t="str">
        <f>"001770"</f>
        <v>0</v>
      </c>
      <c r="G9919" t="s">
        <v>21</v>
      </c>
    </row>
    <row r="9920" spans="1:7">
      <c r="A9920">
        <v>9919</v>
      </c>
      <c r="B9920" t="str">
        <f>"014070"</f>
        <v>0</v>
      </c>
      <c r="C9920" t="s">
        <v>3801</v>
      </c>
      <c r="D9920" t="s">
        <v>7321</v>
      </c>
      <c r="E9920" t="str">
        <f>"3801300333674"</f>
        <v>0</v>
      </c>
      <c r="F9920" t="str">
        <f>"001770"</f>
        <v>0</v>
      </c>
      <c r="G9920" t="s">
        <v>21</v>
      </c>
    </row>
    <row r="9921" spans="1:7">
      <c r="A9921">
        <v>9920</v>
      </c>
      <c r="B9921" t="str">
        <f>"015027"</f>
        <v>0</v>
      </c>
      <c r="C9921" t="s">
        <v>15014</v>
      </c>
      <c r="D9921" t="s">
        <v>15015</v>
      </c>
      <c r="E9921" t="str">
        <f>"3170500154531"</f>
        <v>0</v>
      </c>
      <c r="F9921" t="str">
        <f>"001770"</f>
        <v>0</v>
      </c>
      <c r="G9921" t="s">
        <v>21</v>
      </c>
    </row>
    <row r="9922" spans="1:7">
      <c r="A9922">
        <v>9921</v>
      </c>
      <c r="B9922" t="str">
        <f>"015322"</f>
        <v>0</v>
      </c>
      <c r="C9922" t="s">
        <v>3082</v>
      </c>
      <c r="D9922" t="s">
        <v>15016</v>
      </c>
      <c r="E9922" t="str">
        <f>"3160500207121"</f>
        <v>0</v>
      </c>
      <c r="F9922" t="str">
        <f>"001770"</f>
        <v>0</v>
      </c>
      <c r="G9922" t="s">
        <v>21</v>
      </c>
    </row>
    <row r="9923" spans="1:7">
      <c r="A9923">
        <v>9922</v>
      </c>
      <c r="B9923" t="str">
        <f>"016835"</f>
        <v>0</v>
      </c>
      <c r="C9923" t="s">
        <v>7196</v>
      </c>
      <c r="D9923" t="s">
        <v>15017</v>
      </c>
      <c r="E9923" t="str">
        <f>"3170100258852"</f>
        <v>0</v>
      </c>
      <c r="F9923" t="str">
        <f>"001770"</f>
        <v>0</v>
      </c>
      <c r="G9923" t="s">
        <v>21</v>
      </c>
    </row>
    <row r="9924" spans="1:7">
      <c r="A9924">
        <v>9923</v>
      </c>
      <c r="B9924" t="str">
        <f>"017400"</f>
        <v>0</v>
      </c>
      <c r="C9924" t="s">
        <v>5236</v>
      </c>
      <c r="D9924" t="s">
        <v>15018</v>
      </c>
      <c r="E9924" t="str">
        <f>"3180200153815"</f>
        <v>0</v>
      </c>
      <c r="F9924" t="str">
        <f>"001770"</f>
        <v>0</v>
      </c>
      <c r="G9924" t="s">
        <v>21</v>
      </c>
    </row>
    <row r="9925" spans="1:7">
      <c r="A9925">
        <v>9924</v>
      </c>
      <c r="B9925" t="str">
        <f>"020556"</f>
        <v>0</v>
      </c>
      <c r="C9925" t="s">
        <v>15019</v>
      </c>
      <c r="D9925" t="s">
        <v>12625</v>
      </c>
      <c r="E9925" t="str">
        <f>"3700100311014"</f>
        <v>0</v>
      </c>
      <c r="F9925" t="str">
        <f>"001770"</f>
        <v>0</v>
      </c>
      <c r="G9925" t="s">
        <v>21</v>
      </c>
    </row>
    <row r="9926" spans="1:7">
      <c r="A9926">
        <v>9925</v>
      </c>
      <c r="B9926" t="str">
        <f>"022059"</f>
        <v>0</v>
      </c>
      <c r="C9926" t="s">
        <v>15020</v>
      </c>
      <c r="D9926" t="s">
        <v>15021</v>
      </c>
      <c r="E9926" t="str">
        <f>"3510100248179"</f>
        <v>0</v>
      </c>
      <c r="F9926" t="str">
        <f>"001770"</f>
        <v>0</v>
      </c>
      <c r="G9926" t="s">
        <v>21</v>
      </c>
    </row>
    <row r="9927" spans="1:7">
      <c r="A9927">
        <v>9926</v>
      </c>
      <c r="B9927" t="str">
        <f>"022099"</f>
        <v>0</v>
      </c>
      <c r="C9927" t="s">
        <v>15022</v>
      </c>
      <c r="D9927" t="s">
        <v>15023</v>
      </c>
      <c r="E9927" t="str">
        <f>"3170200308851"</f>
        <v>0</v>
      </c>
      <c r="F9927" t="str">
        <f>"001770"</f>
        <v>0</v>
      </c>
      <c r="G9927" t="s">
        <v>21</v>
      </c>
    </row>
    <row r="9928" spans="1:7">
      <c r="A9928">
        <v>9927</v>
      </c>
      <c r="B9928" t="str">
        <f>"022139"</f>
        <v>0</v>
      </c>
      <c r="C9928" t="s">
        <v>15024</v>
      </c>
      <c r="D9928" t="s">
        <v>15025</v>
      </c>
      <c r="E9928" t="str">
        <f>"2179900001091"</f>
        <v>0</v>
      </c>
      <c r="F9928" t="str">
        <f>"001770"</f>
        <v>0</v>
      </c>
      <c r="G9928" t="s">
        <v>21</v>
      </c>
    </row>
    <row r="9929" spans="1:7">
      <c r="A9929">
        <v>9928</v>
      </c>
      <c r="B9929" t="str">
        <f>"022535"</f>
        <v>0</v>
      </c>
      <c r="C9929" t="s">
        <v>15026</v>
      </c>
      <c r="D9929" t="s">
        <v>15027</v>
      </c>
      <c r="E9929" t="str">
        <f>"1170600057043"</f>
        <v>0</v>
      </c>
      <c r="F9929" t="str">
        <f>"001770"</f>
        <v>0</v>
      </c>
      <c r="G9929" t="s">
        <v>21</v>
      </c>
    </row>
    <row r="9930" spans="1:7">
      <c r="A9930">
        <v>9929</v>
      </c>
      <c r="B9930" t="str">
        <f>"022584"</f>
        <v>0</v>
      </c>
      <c r="C9930" t="s">
        <v>5599</v>
      </c>
      <c r="D9930" t="s">
        <v>15028</v>
      </c>
      <c r="E9930" t="str">
        <f>"3139900071861"</f>
        <v>0</v>
      </c>
      <c r="F9930" t="str">
        <f>"001770"</f>
        <v>0</v>
      </c>
      <c r="G9930" t="s">
        <v>21</v>
      </c>
    </row>
    <row r="9931" spans="1:7">
      <c r="A9931">
        <v>9930</v>
      </c>
      <c r="B9931" t="str">
        <f>"022996"</f>
        <v>0</v>
      </c>
      <c r="C9931" t="s">
        <v>15029</v>
      </c>
      <c r="D9931" t="s">
        <v>15030</v>
      </c>
      <c r="E9931" t="str">
        <f>"1170600015944"</f>
        <v>0</v>
      </c>
      <c r="F9931" t="str">
        <f>"001770"</f>
        <v>0</v>
      </c>
      <c r="G9931" t="s">
        <v>21</v>
      </c>
    </row>
    <row r="9932" spans="1:7">
      <c r="A9932">
        <v>9931</v>
      </c>
      <c r="B9932" t="str">
        <f>"023048"</f>
        <v>0</v>
      </c>
      <c r="C9932" t="s">
        <v>3797</v>
      </c>
      <c r="D9932" t="s">
        <v>15031</v>
      </c>
      <c r="E9932" t="str">
        <f>"3479900215932"</f>
        <v>0</v>
      </c>
      <c r="F9932" t="str">
        <f>"001770"</f>
        <v>0</v>
      </c>
      <c r="G9932" t="s">
        <v>21</v>
      </c>
    </row>
    <row r="9933" spans="1:7">
      <c r="A9933">
        <v>9932</v>
      </c>
      <c r="B9933" t="str">
        <f>"023130"</f>
        <v>0</v>
      </c>
      <c r="C9933" t="s">
        <v>3712</v>
      </c>
      <c r="D9933" t="s">
        <v>15032</v>
      </c>
      <c r="E9933" t="str">
        <f>"1179900021271"</f>
        <v>0</v>
      </c>
      <c r="F9933" t="str">
        <f>"001770"</f>
        <v>0</v>
      </c>
      <c r="G9933" t="s">
        <v>21</v>
      </c>
    </row>
    <row r="9934" spans="1:7">
      <c r="A9934">
        <v>9933</v>
      </c>
      <c r="B9934" t="str">
        <f>"023611"</f>
        <v>0</v>
      </c>
      <c r="C9934" t="s">
        <v>15033</v>
      </c>
      <c r="D9934" t="s">
        <v>15034</v>
      </c>
      <c r="E9934" t="str">
        <f>"1170600051479"</f>
        <v>0</v>
      </c>
      <c r="F9934" t="str">
        <f>"001770"</f>
        <v>0</v>
      </c>
      <c r="G9934" t="s">
        <v>21</v>
      </c>
    </row>
    <row r="9935" spans="1:7">
      <c r="A9935">
        <v>9934</v>
      </c>
      <c r="B9935" t="str">
        <f>"023820"</f>
        <v>0</v>
      </c>
      <c r="C9935" t="s">
        <v>8531</v>
      </c>
      <c r="D9935" t="s">
        <v>15035</v>
      </c>
      <c r="E9935" t="str">
        <f>"1179900062105"</f>
        <v>0</v>
      </c>
      <c r="F9935" t="str">
        <f>"001770"</f>
        <v>0</v>
      </c>
      <c r="G9935" t="s">
        <v>21</v>
      </c>
    </row>
    <row r="9936" spans="1:7">
      <c r="A9936">
        <v>9935</v>
      </c>
      <c r="B9936" t="str">
        <f>"024139"</f>
        <v>0</v>
      </c>
      <c r="C9936" t="s">
        <v>15036</v>
      </c>
      <c r="D9936" t="s">
        <v>15037</v>
      </c>
      <c r="E9936" t="str">
        <f>"1170600014867"</f>
        <v>0</v>
      </c>
      <c r="F9936" t="str">
        <f>"001770"</f>
        <v>0</v>
      </c>
      <c r="G9936" t="s">
        <v>21</v>
      </c>
    </row>
    <row r="9937" spans="1:7">
      <c r="A9937">
        <v>9936</v>
      </c>
      <c r="B9937" t="str">
        <f>"024282"</f>
        <v>0</v>
      </c>
      <c r="C9937" t="s">
        <v>15038</v>
      </c>
      <c r="D9937" t="s">
        <v>12222</v>
      </c>
      <c r="E9937" t="str">
        <f>"5170699000947"</f>
        <v>0</v>
      </c>
      <c r="F9937" t="str">
        <f>"001770"</f>
        <v>0</v>
      </c>
      <c r="G9937" t="s">
        <v>21</v>
      </c>
    </row>
    <row r="9938" spans="1:7">
      <c r="A9938">
        <v>9937</v>
      </c>
      <c r="B9938" t="str">
        <f>"024658"</f>
        <v>0</v>
      </c>
      <c r="C9938" t="s">
        <v>15039</v>
      </c>
      <c r="D9938" t="s">
        <v>15040</v>
      </c>
      <c r="E9938" t="str">
        <f>"5170600006816"</f>
        <v>0</v>
      </c>
      <c r="F9938" t="str">
        <f>"001770"</f>
        <v>0</v>
      </c>
      <c r="G9938" t="s">
        <v>21</v>
      </c>
    </row>
    <row r="9939" spans="1:7">
      <c r="A9939">
        <v>9938</v>
      </c>
      <c r="B9939" t="str">
        <f>"025142"</f>
        <v>0</v>
      </c>
      <c r="C9939" t="s">
        <v>15041</v>
      </c>
      <c r="D9939" t="s">
        <v>15042</v>
      </c>
      <c r="E9939" t="str">
        <f>"1170600058317"</f>
        <v>0</v>
      </c>
      <c r="F9939" t="str">
        <f>"001770"</f>
        <v>0</v>
      </c>
      <c r="G9939" t="s">
        <v>21</v>
      </c>
    </row>
    <row r="9940" spans="1:7">
      <c r="A9940">
        <v>9939</v>
      </c>
      <c r="B9940" t="str">
        <f>"025340"</f>
        <v>0</v>
      </c>
      <c r="C9940" t="s">
        <v>15043</v>
      </c>
      <c r="D9940" t="s">
        <v>15044</v>
      </c>
      <c r="E9940" t="str">
        <f>"3730200223494"</f>
        <v>0</v>
      </c>
      <c r="F9940" t="str">
        <f>"001770"</f>
        <v>0</v>
      </c>
      <c r="G9940" t="s">
        <v>21</v>
      </c>
    </row>
    <row r="9941" spans="1:7">
      <c r="A9941">
        <v>9940</v>
      </c>
      <c r="B9941" t="str">
        <f>"025341"</f>
        <v>0</v>
      </c>
      <c r="C9941" t="s">
        <v>15045</v>
      </c>
      <c r="D9941" t="s">
        <v>15046</v>
      </c>
      <c r="E9941" t="str">
        <f>"3170200314509"</f>
        <v>0</v>
      </c>
      <c r="F9941" t="str">
        <f>"001770"</f>
        <v>0</v>
      </c>
      <c r="G9941" t="s">
        <v>21</v>
      </c>
    </row>
    <row r="9942" spans="1:7">
      <c r="A9942">
        <v>9941</v>
      </c>
      <c r="B9942" t="str">
        <f>"025507"</f>
        <v>0</v>
      </c>
      <c r="C9942" t="s">
        <v>15047</v>
      </c>
      <c r="D9942" t="s">
        <v>15048</v>
      </c>
      <c r="E9942" t="str">
        <f>"3180400251241"</f>
        <v>0</v>
      </c>
      <c r="F9942" t="str">
        <f>"001770"</f>
        <v>0</v>
      </c>
      <c r="G9942" t="s">
        <v>21</v>
      </c>
    </row>
    <row r="9943" spans="1:7">
      <c r="A9943">
        <v>9942</v>
      </c>
      <c r="B9943" t="str">
        <f>"025666"</f>
        <v>0</v>
      </c>
      <c r="C9943" t="s">
        <v>15049</v>
      </c>
      <c r="D9943" t="s">
        <v>15050</v>
      </c>
      <c r="E9943" t="str">
        <f>"1170600008531"</f>
        <v>0</v>
      </c>
      <c r="F9943" t="str">
        <f>"001770"</f>
        <v>0</v>
      </c>
      <c r="G9943" t="s">
        <v>21</v>
      </c>
    </row>
    <row r="9944" spans="1:7">
      <c r="A9944">
        <v>9943</v>
      </c>
      <c r="B9944" t="str">
        <f>"026418"</f>
        <v>0</v>
      </c>
      <c r="C9944" t="s">
        <v>15051</v>
      </c>
      <c r="D9944" t="s">
        <v>15052</v>
      </c>
      <c r="E9944" t="str">
        <f>"1179900231080"</f>
        <v>0</v>
      </c>
      <c r="F9944" t="str">
        <f>"001770"</f>
        <v>0</v>
      </c>
      <c r="G9944" t="s">
        <v>21</v>
      </c>
    </row>
    <row r="9945" spans="1:7">
      <c r="A9945">
        <v>9944</v>
      </c>
      <c r="B9945" t="str">
        <f>"010542"</f>
        <v>0</v>
      </c>
      <c r="C9945" t="s">
        <v>15053</v>
      </c>
      <c r="D9945" t="s">
        <v>9065</v>
      </c>
      <c r="E9945" t="str">
        <f>"3170100009330"</f>
        <v>0</v>
      </c>
      <c r="F9945" t="str">
        <f>"001770"</f>
        <v>0</v>
      </c>
      <c r="G9945" t="s">
        <v>21</v>
      </c>
    </row>
    <row r="9946" spans="1:7">
      <c r="A9946">
        <v>9945</v>
      </c>
      <c r="B9946" t="str">
        <f>"024999"</f>
        <v>0</v>
      </c>
      <c r="C9946" t="s">
        <v>1232</v>
      </c>
      <c r="D9946" t="s">
        <v>15054</v>
      </c>
      <c r="E9946" t="str">
        <f>"1570700062967"</f>
        <v>0</v>
      </c>
      <c r="F9946" t="str">
        <f>"001770"</f>
        <v>0</v>
      </c>
      <c r="G9946" t="s">
        <v>21</v>
      </c>
    </row>
    <row r="9947" spans="1:7">
      <c r="A9947">
        <v>9946</v>
      </c>
      <c r="B9947" t="str">
        <f>"021267"</f>
        <v>0</v>
      </c>
      <c r="C9947" t="s">
        <v>1641</v>
      </c>
      <c r="D9947" t="s">
        <v>15055</v>
      </c>
      <c r="E9947" t="str">
        <f>"3650100644791"</f>
        <v>0</v>
      </c>
      <c r="F9947" t="str">
        <f>"001770"</f>
        <v>0</v>
      </c>
      <c r="G9947" t="s">
        <v>21</v>
      </c>
    </row>
    <row r="9948" spans="1:7">
      <c r="A9948">
        <v>9947</v>
      </c>
      <c r="B9948" t="str">
        <f>"025339"</f>
        <v>0</v>
      </c>
      <c r="C9948" t="s">
        <v>15056</v>
      </c>
      <c r="D9948" t="s">
        <v>15057</v>
      </c>
      <c r="E9948" t="str">
        <f>"3100502862371"</f>
        <v>0</v>
      </c>
      <c r="F9948" t="str">
        <f>"001770"</f>
        <v>0</v>
      </c>
      <c r="G9948" t="s">
        <v>21</v>
      </c>
    </row>
    <row r="9949" spans="1:7">
      <c r="A9949">
        <v>9948</v>
      </c>
      <c r="B9949" t="str">
        <f>"023131"</f>
        <v>0</v>
      </c>
      <c r="C9949" t="s">
        <v>15058</v>
      </c>
      <c r="D9949" t="s">
        <v>15059</v>
      </c>
      <c r="E9949" t="str">
        <f>"3720300143000"</f>
        <v>0</v>
      </c>
      <c r="F9949" t="str">
        <f>"001770"</f>
        <v>0</v>
      </c>
      <c r="G9949" t="s">
        <v>21</v>
      </c>
    </row>
    <row r="9950" spans="1:7">
      <c r="A9950">
        <v>9949</v>
      </c>
      <c r="B9950" t="str">
        <f>"025667"</f>
        <v>0</v>
      </c>
      <c r="C9950" t="s">
        <v>15060</v>
      </c>
      <c r="D9950" t="s">
        <v>15061</v>
      </c>
      <c r="E9950" t="str">
        <f>"1179900081207"</f>
        <v>0</v>
      </c>
      <c r="F9950" t="str">
        <f>"001770"</f>
        <v>0</v>
      </c>
      <c r="G9950" t="s">
        <v>21</v>
      </c>
    </row>
    <row r="9951" spans="1:7">
      <c r="A9951">
        <v>9950</v>
      </c>
      <c r="B9951" t="str">
        <f>"026419"</f>
        <v>0</v>
      </c>
      <c r="C9951" t="s">
        <v>15062</v>
      </c>
      <c r="D9951" t="s">
        <v>15063</v>
      </c>
      <c r="E9951" t="str">
        <f>"1709900661526"</f>
        <v>0</v>
      </c>
      <c r="F9951" t="str">
        <f>"001770"</f>
        <v>0</v>
      </c>
      <c r="G9951" t="s">
        <v>21</v>
      </c>
    </row>
    <row r="9952" spans="1:7">
      <c r="A9952">
        <v>9951</v>
      </c>
      <c r="B9952" t="str">
        <f>"027504"</f>
        <v>0</v>
      </c>
      <c r="C9952" t="s">
        <v>1456</v>
      </c>
      <c r="D9952" t="s">
        <v>15064</v>
      </c>
      <c r="E9952" t="str">
        <f>"3720200578799"</f>
        <v>0</v>
      </c>
      <c r="F9952" t="str">
        <f>"001770"</f>
        <v>0</v>
      </c>
      <c r="G9952" t="s">
        <v>21</v>
      </c>
    </row>
    <row r="9953" spans="1:7">
      <c r="A9953">
        <v>9952</v>
      </c>
      <c r="B9953" t="str">
        <f>"000414"</f>
        <v>0</v>
      </c>
      <c r="C9953" t="s">
        <v>15065</v>
      </c>
      <c r="D9953" t="s">
        <v>9028</v>
      </c>
      <c r="E9953" t="str">
        <f>"3649900035789"</f>
        <v>0</v>
      </c>
      <c r="F9953" t="str">
        <f>"001780"</f>
        <v>0</v>
      </c>
      <c r="G9953" t="s">
        <v>21</v>
      </c>
    </row>
    <row r="9954" spans="1:7">
      <c r="A9954">
        <v>9953</v>
      </c>
      <c r="B9954" t="str">
        <f>"000883"</f>
        <v>0</v>
      </c>
      <c r="C9954" t="s">
        <v>4926</v>
      </c>
      <c r="D9954" t="s">
        <v>15066</v>
      </c>
      <c r="E9954" t="str">
        <f>"3640800025139"</f>
        <v>0</v>
      </c>
      <c r="F9954" t="str">
        <f>"001780"</f>
        <v>0</v>
      </c>
      <c r="G9954" t="s">
        <v>21</v>
      </c>
    </row>
    <row r="9955" spans="1:7">
      <c r="A9955">
        <v>9954</v>
      </c>
      <c r="B9955" t="str">
        <f>"000921"</f>
        <v>0</v>
      </c>
      <c r="C9955" t="s">
        <v>798</v>
      </c>
      <c r="D9955" t="s">
        <v>15067</v>
      </c>
      <c r="E9955" t="str">
        <f>"3649800163921"</f>
        <v>0</v>
      </c>
      <c r="F9955" t="str">
        <f>"001780"</f>
        <v>0</v>
      </c>
      <c r="G9955" t="s">
        <v>21</v>
      </c>
    </row>
    <row r="9956" spans="1:7">
      <c r="A9956">
        <v>9955</v>
      </c>
      <c r="B9956" t="str">
        <f>"001138"</f>
        <v>0</v>
      </c>
      <c r="C9956" t="s">
        <v>2746</v>
      </c>
      <c r="D9956" t="s">
        <v>9044</v>
      </c>
      <c r="E9956" t="str">
        <f>"3640400100745"</f>
        <v>0</v>
      </c>
      <c r="F9956" t="str">
        <f>"001780"</f>
        <v>0</v>
      </c>
      <c r="G9956" t="s">
        <v>21</v>
      </c>
    </row>
    <row r="9957" spans="1:7">
      <c r="A9957">
        <v>9956</v>
      </c>
      <c r="B9957" t="str">
        <f>"001798"</f>
        <v>0</v>
      </c>
      <c r="C9957" t="s">
        <v>15068</v>
      </c>
      <c r="D9957" t="s">
        <v>12832</v>
      </c>
      <c r="E9957" t="str">
        <f>"5640200004935"</f>
        <v>0</v>
      </c>
      <c r="F9957" t="str">
        <f>"001780"</f>
        <v>0</v>
      </c>
      <c r="G9957" t="s">
        <v>21</v>
      </c>
    </row>
    <row r="9958" spans="1:7">
      <c r="A9958">
        <v>9957</v>
      </c>
      <c r="B9958" t="str">
        <f>"002306"</f>
        <v>0</v>
      </c>
      <c r="C9958" t="s">
        <v>50</v>
      </c>
      <c r="D9958" t="s">
        <v>15069</v>
      </c>
      <c r="E9958" t="str">
        <f>"3640500442559"</f>
        <v>0</v>
      </c>
      <c r="F9958" t="str">
        <f>"001780"</f>
        <v>0</v>
      </c>
      <c r="G9958" t="s">
        <v>21</v>
      </c>
    </row>
    <row r="9959" spans="1:7">
      <c r="A9959">
        <v>9958</v>
      </c>
      <c r="B9959" t="str">
        <f>"002522"</f>
        <v>0</v>
      </c>
      <c r="C9959" t="s">
        <v>15070</v>
      </c>
      <c r="D9959" t="s">
        <v>15071</v>
      </c>
      <c r="E9959" t="str">
        <f>"4640700002003"</f>
        <v>0</v>
      </c>
      <c r="F9959" t="str">
        <f>"001780"</f>
        <v>0</v>
      </c>
      <c r="G9959" t="s">
        <v>21</v>
      </c>
    </row>
    <row r="9960" spans="1:7">
      <c r="A9960">
        <v>9959</v>
      </c>
      <c r="B9960" t="str">
        <f>"002818"</f>
        <v>0</v>
      </c>
      <c r="C9960" t="s">
        <v>1735</v>
      </c>
      <c r="D9960" t="s">
        <v>15072</v>
      </c>
      <c r="E9960" t="str">
        <f>"3450500307319"</f>
        <v>0</v>
      </c>
      <c r="F9960" t="str">
        <f>"001780"</f>
        <v>0</v>
      </c>
      <c r="G9960" t="s">
        <v>21</v>
      </c>
    </row>
    <row r="9961" spans="1:7">
      <c r="A9961">
        <v>9960</v>
      </c>
      <c r="B9961" t="str">
        <f>"003465"</f>
        <v>0</v>
      </c>
      <c r="C9961" t="s">
        <v>3638</v>
      </c>
      <c r="D9961" t="s">
        <v>15073</v>
      </c>
      <c r="E9961" t="str">
        <f>"3640700445535"</f>
        <v>0</v>
      </c>
      <c r="F9961" t="str">
        <f>"001780"</f>
        <v>0</v>
      </c>
      <c r="G9961" t="s">
        <v>21</v>
      </c>
    </row>
    <row r="9962" spans="1:7">
      <c r="A9962">
        <v>9961</v>
      </c>
      <c r="B9962" t="str">
        <f>"005764"</f>
        <v>0</v>
      </c>
      <c r="C9962" t="s">
        <v>4607</v>
      </c>
      <c r="D9962" t="s">
        <v>15074</v>
      </c>
      <c r="E9962" t="str">
        <f>"3501300076046"</f>
        <v>0</v>
      </c>
      <c r="F9962" t="str">
        <f>"001780"</f>
        <v>0</v>
      </c>
      <c r="G9962" t="s">
        <v>21</v>
      </c>
    </row>
    <row r="9963" spans="1:7">
      <c r="A9963">
        <v>9962</v>
      </c>
      <c r="B9963" t="str">
        <f>"005787"</f>
        <v>0</v>
      </c>
      <c r="C9963" t="s">
        <v>7593</v>
      </c>
      <c r="D9963" t="s">
        <v>15075</v>
      </c>
      <c r="E9963" t="str">
        <f>"3649800067506"</f>
        <v>0</v>
      </c>
      <c r="F9963" t="str">
        <f>"001780"</f>
        <v>0</v>
      </c>
      <c r="G9963" t="s">
        <v>21</v>
      </c>
    </row>
    <row r="9964" spans="1:7">
      <c r="A9964">
        <v>9963</v>
      </c>
      <c r="B9964" t="str">
        <f>"005873"</f>
        <v>0</v>
      </c>
      <c r="C9964" t="s">
        <v>3090</v>
      </c>
      <c r="D9964" t="s">
        <v>15076</v>
      </c>
      <c r="E9964" t="str">
        <f>"3650400019379"</f>
        <v>0</v>
      </c>
      <c r="F9964" t="str">
        <f>"001780"</f>
        <v>0</v>
      </c>
      <c r="G9964" t="s">
        <v>21</v>
      </c>
    </row>
    <row r="9965" spans="1:7">
      <c r="A9965">
        <v>9964</v>
      </c>
      <c r="B9965" t="str">
        <f>"006416"</f>
        <v>0</v>
      </c>
      <c r="C9965" t="s">
        <v>48</v>
      </c>
      <c r="D9965" t="s">
        <v>15077</v>
      </c>
      <c r="E9965" t="str">
        <f>"3640900246609"</f>
        <v>0</v>
      </c>
      <c r="F9965" t="str">
        <f>"001780"</f>
        <v>0</v>
      </c>
      <c r="G9965" t="s">
        <v>21</v>
      </c>
    </row>
    <row r="9966" spans="1:7">
      <c r="A9966">
        <v>9965</v>
      </c>
      <c r="B9966" t="str">
        <f>"006671"</f>
        <v>0</v>
      </c>
      <c r="C9966" t="s">
        <v>6522</v>
      </c>
      <c r="D9966" t="s">
        <v>12986</v>
      </c>
      <c r="E9966" t="str">
        <f>"3501900343100"</f>
        <v>0</v>
      </c>
      <c r="F9966" t="str">
        <f>"001780"</f>
        <v>0</v>
      </c>
      <c r="G9966" t="s">
        <v>21</v>
      </c>
    </row>
    <row r="9967" spans="1:7">
      <c r="A9967">
        <v>9966</v>
      </c>
      <c r="B9967" t="str">
        <f>"006945"</f>
        <v>0</v>
      </c>
      <c r="C9967" t="s">
        <v>15078</v>
      </c>
      <c r="D9967" t="s">
        <v>15079</v>
      </c>
      <c r="E9967" t="str">
        <f>"3640900055005"</f>
        <v>0</v>
      </c>
      <c r="F9967" t="str">
        <f>"001780"</f>
        <v>0</v>
      </c>
      <c r="G9967" t="s">
        <v>21</v>
      </c>
    </row>
    <row r="9968" spans="1:7">
      <c r="A9968">
        <v>9967</v>
      </c>
      <c r="B9968" t="str">
        <f>"006946"</f>
        <v>0</v>
      </c>
      <c r="C9968" t="s">
        <v>13247</v>
      </c>
      <c r="D9968" t="s">
        <v>15080</v>
      </c>
      <c r="E9968" t="str">
        <f>"4640800001262"</f>
        <v>0</v>
      </c>
      <c r="F9968" t="str">
        <f>"001780"</f>
        <v>0</v>
      </c>
      <c r="G9968" t="s">
        <v>21</v>
      </c>
    </row>
    <row r="9969" spans="1:7">
      <c r="A9969">
        <v>9968</v>
      </c>
      <c r="B9969" t="str">
        <f>"007092"</f>
        <v>0</v>
      </c>
      <c r="C9969" t="s">
        <v>15081</v>
      </c>
      <c r="D9969" t="s">
        <v>15082</v>
      </c>
      <c r="E9969" t="str">
        <f>"3640600033600"</f>
        <v>0</v>
      </c>
      <c r="F9969" t="str">
        <f>"001780"</f>
        <v>0</v>
      </c>
      <c r="G9969" t="s">
        <v>21</v>
      </c>
    </row>
    <row r="9970" spans="1:7">
      <c r="A9970">
        <v>9969</v>
      </c>
      <c r="B9970" t="str">
        <f>"007280"</f>
        <v>0</v>
      </c>
      <c r="C9970" t="s">
        <v>4225</v>
      </c>
      <c r="D9970" t="s">
        <v>15083</v>
      </c>
      <c r="E9970" t="str">
        <f>"3640100246752"</f>
        <v>0</v>
      </c>
      <c r="F9970" t="str">
        <f>"001780"</f>
        <v>0</v>
      </c>
      <c r="G9970" t="s">
        <v>21</v>
      </c>
    </row>
    <row r="9971" spans="1:7">
      <c r="A9971">
        <v>9970</v>
      </c>
      <c r="B9971" t="str">
        <f>"007306"</f>
        <v>0</v>
      </c>
      <c r="C9971" t="s">
        <v>11264</v>
      </c>
      <c r="D9971" t="s">
        <v>15084</v>
      </c>
      <c r="E9971" t="str">
        <f>"3500500028796"</f>
        <v>0</v>
      </c>
      <c r="F9971" t="str">
        <f>"001780"</f>
        <v>0</v>
      </c>
      <c r="G9971" t="s">
        <v>21</v>
      </c>
    </row>
    <row r="9972" spans="1:7">
      <c r="A9972">
        <v>9971</v>
      </c>
      <c r="B9972" t="str">
        <f>"007555"</f>
        <v>0</v>
      </c>
      <c r="C9972" t="s">
        <v>3795</v>
      </c>
      <c r="D9972" t="s">
        <v>15077</v>
      </c>
      <c r="E9972" t="str">
        <f>"3609700150681"</f>
        <v>0</v>
      </c>
      <c r="F9972" t="str">
        <f>"001780"</f>
        <v>0</v>
      </c>
      <c r="G9972" t="s">
        <v>21</v>
      </c>
    </row>
    <row r="9973" spans="1:7">
      <c r="A9973">
        <v>9972</v>
      </c>
      <c r="B9973" t="str">
        <f>"007587"</f>
        <v>0</v>
      </c>
      <c r="C9973" t="s">
        <v>3040</v>
      </c>
      <c r="D9973" t="s">
        <v>15085</v>
      </c>
      <c r="E9973" t="str">
        <f>"3640100660583"</f>
        <v>0</v>
      </c>
      <c r="F9973" t="str">
        <f>"001780"</f>
        <v>0</v>
      </c>
      <c r="G9973" t="s">
        <v>21</v>
      </c>
    </row>
    <row r="9974" spans="1:7">
      <c r="A9974">
        <v>9973</v>
      </c>
      <c r="B9974" t="str">
        <f>"007752"</f>
        <v>0</v>
      </c>
      <c r="C9974" t="s">
        <v>2942</v>
      </c>
      <c r="D9974" t="s">
        <v>15086</v>
      </c>
      <c r="E9974" t="str">
        <f>"3640400202467"</f>
        <v>0</v>
      </c>
      <c r="F9974" t="str">
        <f>"001780"</f>
        <v>0</v>
      </c>
      <c r="G9974" t="s">
        <v>21</v>
      </c>
    </row>
    <row r="9975" spans="1:7">
      <c r="A9975">
        <v>9974</v>
      </c>
      <c r="B9975" t="str">
        <f>"008179"</f>
        <v>0</v>
      </c>
      <c r="C9975" t="s">
        <v>2103</v>
      </c>
      <c r="D9975" t="s">
        <v>15087</v>
      </c>
      <c r="E9975" t="str">
        <f>"5620600021128"</f>
        <v>0</v>
      </c>
      <c r="F9975" t="str">
        <f>"001780"</f>
        <v>0</v>
      </c>
      <c r="G9975" t="s">
        <v>21</v>
      </c>
    </row>
    <row r="9976" spans="1:7">
      <c r="A9976">
        <v>9975</v>
      </c>
      <c r="B9976" t="str">
        <f>"008295"</f>
        <v>0</v>
      </c>
      <c r="C9976" t="s">
        <v>1983</v>
      </c>
      <c r="D9976" t="s">
        <v>15088</v>
      </c>
      <c r="E9976" t="str">
        <f>"3441000152597"</f>
        <v>0</v>
      </c>
      <c r="F9976" t="str">
        <f>"001780"</f>
        <v>0</v>
      </c>
      <c r="G9976" t="s">
        <v>21</v>
      </c>
    </row>
    <row r="9977" spans="1:7">
      <c r="A9977">
        <v>9976</v>
      </c>
      <c r="B9977" t="str">
        <f>"008637"</f>
        <v>0</v>
      </c>
      <c r="C9977" t="s">
        <v>3801</v>
      </c>
      <c r="D9977" t="s">
        <v>15089</v>
      </c>
      <c r="E9977" t="str">
        <f>"3570700365796"</f>
        <v>0</v>
      </c>
      <c r="F9977" t="str">
        <f>"001780"</f>
        <v>0</v>
      </c>
      <c r="G9977" t="s">
        <v>21</v>
      </c>
    </row>
    <row r="9978" spans="1:7">
      <c r="A9978">
        <v>9977</v>
      </c>
      <c r="B9978" t="str">
        <f>"008661"</f>
        <v>0</v>
      </c>
      <c r="C9978" t="s">
        <v>470</v>
      </c>
      <c r="D9978" t="s">
        <v>15090</v>
      </c>
      <c r="E9978" t="str">
        <f>"3620400845261"</f>
        <v>0</v>
      </c>
      <c r="F9978" t="str">
        <f>"001780"</f>
        <v>0</v>
      </c>
      <c r="G9978" t="s">
        <v>21</v>
      </c>
    </row>
    <row r="9979" spans="1:7">
      <c r="A9979">
        <v>9978</v>
      </c>
      <c r="B9979" t="str">
        <f>"009027"</f>
        <v>0</v>
      </c>
      <c r="C9979" t="s">
        <v>10677</v>
      </c>
      <c r="D9979" t="s">
        <v>15091</v>
      </c>
      <c r="E9979" t="str">
        <f>"3360700011074"</f>
        <v>0</v>
      </c>
      <c r="F9979" t="str">
        <f>"001780"</f>
        <v>0</v>
      </c>
      <c r="G9979" t="s">
        <v>21</v>
      </c>
    </row>
    <row r="9980" spans="1:7">
      <c r="A9980">
        <v>9979</v>
      </c>
      <c r="B9980" t="str">
        <f>"009528"</f>
        <v>0</v>
      </c>
      <c r="C9980" t="s">
        <v>8846</v>
      </c>
      <c r="D9980" t="s">
        <v>15092</v>
      </c>
      <c r="E9980" t="str">
        <f>"3640600347370"</f>
        <v>0</v>
      </c>
      <c r="F9980" t="str">
        <f>"001780"</f>
        <v>0</v>
      </c>
      <c r="G9980" t="s">
        <v>21</v>
      </c>
    </row>
    <row r="9981" spans="1:7">
      <c r="A9981">
        <v>9980</v>
      </c>
      <c r="B9981" t="str">
        <f>"010101"</f>
        <v>0</v>
      </c>
      <c r="C9981" t="s">
        <v>15093</v>
      </c>
      <c r="D9981" t="s">
        <v>15094</v>
      </c>
      <c r="E9981" t="str">
        <f>"3640900032668"</f>
        <v>0</v>
      </c>
      <c r="F9981" t="str">
        <f>"001780"</f>
        <v>0</v>
      </c>
      <c r="G9981" t="s">
        <v>21</v>
      </c>
    </row>
    <row r="9982" spans="1:7">
      <c r="A9982">
        <v>9981</v>
      </c>
      <c r="B9982" t="str">
        <f>"010405"</f>
        <v>0</v>
      </c>
      <c r="C9982" t="s">
        <v>10923</v>
      </c>
      <c r="D9982" t="s">
        <v>15095</v>
      </c>
      <c r="E9982" t="str">
        <f>"3409800062841"</f>
        <v>0</v>
      </c>
      <c r="F9982" t="str">
        <f>"001780"</f>
        <v>0</v>
      </c>
      <c r="G9982" t="s">
        <v>21</v>
      </c>
    </row>
    <row r="9983" spans="1:7">
      <c r="A9983">
        <v>9982</v>
      </c>
      <c r="B9983" t="str">
        <f>"011292"</f>
        <v>0</v>
      </c>
      <c r="C9983" t="s">
        <v>4851</v>
      </c>
      <c r="D9983" t="s">
        <v>15096</v>
      </c>
      <c r="E9983" t="str">
        <f>"3640900250169"</f>
        <v>0</v>
      </c>
      <c r="F9983" t="str">
        <f>"001780"</f>
        <v>0</v>
      </c>
      <c r="G9983" t="s">
        <v>21</v>
      </c>
    </row>
    <row r="9984" spans="1:7">
      <c r="A9984">
        <v>9983</v>
      </c>
      <c r="B9984" t="str">
        <f>"012583"</f>
        <v>0</v>
      </c>
      <c r="C9984" t="s">
        <v>15097</v>
      </c>
      <c r="D9984" t="s">
        <v>15098</v>
      </c>
      <c r="E9984" t="str">
        <f>"3670500973490"</f>
        <v>0</v>
      </c>
      <c r="F9984" t="str">
        <f>"001780"</f>
        <v>0</v>
      </c>
      <c r="G9984" t="s">
        <v>21</v>
      </c>
    </row>
    <row r="9985" spans="1:7">
      <c r="A9985">
        <v>9984</v>
      </c>
      <c r="B9985" t="str">
        <f>"013149"</f>
        <v>0</v>
      </c>
      <c r="C9985" t="s">
        <v>3812</v>
      </c>
      <c r="D9985" t="s">
        <v>15099</v>
      </c>
      <c r="E9985" t="str">
        <f>"3640900021038"</f>
        <v>0</v>
      </c>
      <c r="F9985" t="str">
        <f>"001780"</f>
        <v>0</v>
      </c>
      <c r="G9985" t="s">
        <v>21</v>
      </c>
    </row>
    <row r="9986" spans="1:7">
      <c r="A9986">
        <v>9985</v>
      </c>
      <c r="B9986" t="str">
        <f>"013496"</f>
        <v>0</v>
      </c>
      <c r="C9986" t="s">
        <v>4049</v>
      </c>
      <c r="D9986" t="s">
        <v>15100</v>
      </c>
      <c r="E9986" t="str">
        <f>"3510200194356"</f>
        <v>0</v>
      </c>
      <c r="F9986" t="str">
        <f>"001780"</f>
        <v>0</v>
      </c>
      <c r="G9986" t="s">
        <v>21</v>
      </c>
    </row>
    <row r="9987" spans="1:7">
      <c r="A9987">
        <v>9986</v>
      </c>
      <c r="B9987" t="str">
        <f>"013574"</f>
        <v>0</v>
      </c>
      <c r="C9987" t="s">
        <v>12553</v>
      </c>
      <c r="D9987" t="s">
        <v>15101</v>
      </c>
      <c r="E9987" t="str">
        <f>"3640900094353"</f>
        <v>0</v>
      </c>
      <c r="F9987" t="str">
        <f>"001780"</f>
        <v>0</v>
      </c>
      <c r="G9987" t="s">
        <v>21</v>
      </c>
    </row>
    <row r="9988" spans="1:7">
      <c r="A9988">
        <v>9987</v>
      </c>
      <c r="B9988" t="str">
        <f>"017849"</f>
        <v>0</v>
      </c>
      <c r="C9988" t="s">
        <v>5951</v>
      </c>
      <c r="D9988" t="s">
        <v>15102</v>
      </c>
      <c r="E9988" t="str">
        <f>"3640500111510"</f>
        <v>0</v>
      </c>
      <c r="F9988" t="str">
        <f>"001780"</f>
        <v>0</v>
      </c>
      <c r="G9988" t="s">
        <v>21</v>
      </c>
    </row>
    <row r="9989" spans="1:7">
      <c r="A9989">
        <v>9988</v>
      </c>
      <c r="B9989" t="str">
        <f>"018144"</f>
        <v>0</v>
      </c>
      <c r="C9989" t="s">
        <v>1003</v>
      </c>
      <c r="D9989" t="s">
        <v>15103</v>
      </c>
      <c r="E9989" t="str">
        <f>"3640400202769"</f>
        <v>0</v>
      </c>
      <c r="F9989" t="str">
        <f>"001780"</f>
        <v>0</v>
      </c>
      <c r="G9989" t="s">
        <v>21</v>
      </c>
    </row>
    <row r="9990" spans="1:7">
      <c r="A9990">
        <v>9989</v>
      </c>
      <c r="B9990" t="str">
        <f>"019877"</f>
        <v>0</v>
      </c>
      <c r="C9990" t="s">
        <v>7541</v>
      </c>
      <c r="D9990" t="s">
        <v>15104</v>
      </c>
      <c r="E9990" t="str">
        <f>"3540400436329"</f>
        <v>0</v>
      </c>
      <c r="F9990" t="str">
        <f>"001780"</f>
        <v>0</v>
      </c>
      <c r="G9990" t="s">
        <v>21</v>
      </c>
    </row>
    <row r="9991" spans="1:7">
      <c r="A9991">
        <v>9990</v>
      </c>
      <c r="B9991" t="str">
        <f>"019878"</f>
        <v>0</v>
      </c>
      <c r="C9991" t="s">
        <v>2596</v>
      </c>
      <c r="D9991" t="s">
        <v>15104</v>
      </c>
      <c r="E9991" t="str">
        <f>"3560300288883"</f>
        <v>0</v>
      </c>
      <c r="F9991" t="str">
        <f>"001780"</f>
        <v>0</v>
      </c>
      <c r="G9991" t="s">
        <v>21</v>
      </c>
    </row>
    <row r="9992" spans="1:7">
      <c r="A9992">
        <v>9991</v>
      </c>
      <c r="B9992" t="str">
        <f>"020498"</f>
        <v>0</v>
      </c>
      <c r="C9992" t="s">
        <v>2907</v>
      </c>
      <c r="D9992" t="s">
        <v>15105</v>
      </c>
      <c r="E9992" t="str">
        <f>"3649900179322"</f>
        <v>0</v>
      </c>
      <c r="F9992" t="str">
        <f>"001780"</f>
        <v>0</v>
      </c>
      <c r="G9992" t="s">
        <v>21</v>
      </c>
    </row>
    <row r="9993" spans="1:7">
      <c r="A9993">
        <v>9992</v>
      </c>
      <c r="B9993" t="str">
        <f>"022005"</f>
        <v>0</v>
      </c>
      <c r="C9993" t="s">
        <v>634</v>
      </c>
      <c r="D9993" t="s">
        <v>15106</v>
      </c>
      <c r="E9993" t="str">
        <f>"3610600236021"</f>
        <v>0</v>
      </c>
      <c r="F9993" t="str">
        <f>"001780"</f>
        <v>0</v>
      </c>
      <c r="G9993" t="s">
        <v>21</v>
      </c>
    </row>
    <row r="9994" spans="1:7">
      <c r="A9994">
        <v>9993</v>
      </c>
      <c r="B9994" t="str">
        <f>"024586"</f>
        <v>0</v>
      </c>
      <c r="C9994" t="s">
        <v>15107</v>
      </c>
      <c r="D9994" t="s">
        <v>15108</v>
      </c>
      <c r="E9994" t="str">
        <f>"3250300065691"</f>
        <v>0</v>
      </c>
      <c r="F9994" t="str">
        <f>"001780"</f>
        <v>0</v>
      </c>
      <c r="G9994" t="s">
        <v>21</v>
      </c>
    </row>
    <row r="9995" spans="1:7">
      <c r="A9995">
        <v>9994</v>
      </c>
      <c r="B9995" t="str">
        <f>"013073"</f>
        <v>0</v>
      </c>
      <c r="C9995" t="s">
        <v>2815</v>
      </c>
      <c r="D9995" t="s">
        <v>15109</v>
      </c>
      <c r="E9995" t="str">
        <f>"3539900227701"</f>
        <v>0</v>
      </c>
      <c r="F9995" t="str">
        <f>"001780"</f>
        <v>0</v>
      </c>
      <c r="G9995" t="s">
        <v>21</v>
      </c>
    </row>
    <row r="9996" spans="1:7">
      <c r="A9996">
        <v>9995</v>
      </c>
      <c r="B9996" t="str">
        <f>"022371"</f>
        <v>0</v>
      </c>
      <c r="C9996" t="s">
        <v>7451</v>
      </c>
      <c r="D9996" t="s">
        <v>15110</v>
      </c>
      <c r="E9996" t="str">
        <f>"3650101073428"</f>
        <v>0</v>
      </c>
      <c r="F9996" t="str">
        <f>"001780"</f>
        <v>0</v>
      </c>
      <c r="G9996" t="s">
        <v>21</v>
      </c>
    </row>
    <row r="9997" spans="1:7">
      <c r="A9997">
        <v>9996</v>
      </c>
      <c r="B9997" t="str">
        <f>"027223"</f>
        <v>0</v>
      </c>
      <c r="C9997" t="s">
        <v>15111</v>
      </c>
      <c r="D9997" t="s">
        <v>15112</v>
      </c>
      <c r="E9997" t="str">
        <f>"1220400148966"</f>
        <v>0</v>
      </c>
      <c r="F9997" t="str">
        <f>"001780"</f>
        <v>0</v>
      </c>
      <c r="G9997" t="s">
        <v>21</v>
      </c>
    </row>
    <row r="9998" spans="1:7">
      <c r="A9998">
        <v>9997</v>
      </c>
      <c r="B9998" t="str">
        <f>"027231"</f>
        <v>0</v>
      </c>
      <c r="C9998" t="s">
        <v>3821</v>
      </c>
      <c r="D9998" t="s">
        <v>15113</v>
      </c>
      <c r="E9998" t="str">
        <f>"1549900094984"</f>
        <v>0</v>
      </c>
      <c r="F9998" t="str">
        <f>"001780"</f>
        <v>0</v>
      </c>
      <c r="G9998" t="s">
        <v>21</v>
      </c>
    </row>
    <row r="9999" spans="1:7">
      <c r="A9999">
        <v>9998</v>
      </c>
      <c r="B9999" t="str">
        <f>"015700"</f>
        <v>0</v>
      </c>
      <c r="C9999" t="s">
        <v>311</v>
      </c>
      <c r="D9999" t="s">
        <v>15114</v>
      </c>
      <c r="E9999" t="str">
        <f>"3570400385627"</f>
        <v>0</v>
      </c>
      <c r="F9999" t="str">
        <f>"001780"</f>
        <v>0</v>
      </c>
      <c r="G9999" t="s">
        <v>21</v>
      </c>
    </row>
    <row r="10000" spans="1:7">
      <c r="A10000">
        <v>9999</v>
      </c>
      <c r="B10000" t="str">
        <f>"023002"</f>
        <v>0</v>
      </c>
      <c r="C10000" t="s">
        <v>15115</v>
      </c>
      <c r="D10000" t="s">
        <v>15116</v>
      </c>
      <c r="E10000" t="str">
        <f>"3500200193732"</f>
        <v>0</v>
      </c>
      <c r="F10000" t="str">
        <f>"001780"</f>
        <v>0</v>
      </c>
      <c r="G10000" t="s">
        <v>21</v>
      </c>
    </row>
    <row r="10001" spans="1:7">
      <c r="A10001">
        <v>10000</v>
      </c>
      <c r="B10001" t="str">
        <f>"025979"</f>
        <v>0</v>
      </c>
      <c r="C10001" t="s">
        <v>13845</v>
      </c>
      <c r="D10001" t="s">
        <v>15117</v>
      </c>
      <c r="E10001" t="str">
        <f>"3760500247208"</f>
        <v>0</v>
      </c>
      <c r="F10001" t="str">
        <f>"001780"</f>
        <v>0</v>
      </c>
      <c r="G10001" t="s">
        <v>21</v>
      </c>
    </row>
    <row r="10002" spans="1:7">
      <c r="A10002">
        <v>10001</v>
      </c>
      <c r="B10002" t="str">
        <f>"025980"</f>
        <v>0</v>
      </c>
      <c r="C10002" t="s">
        <v>15118</v>
      </c>
      <c r="D10002" t="s">
        <v>15119</v>
      </c>
      <c r="E10002" t="str">
        <f>"1509900423775"</f>
        <v>0</v>
      </c>
      <c r="F10002" t="str">
        <f>"001780"</f>
        <v>0</v>
      </c>
      <c r="G10002" t="s">
        <v>21</v>
      </c>
    </row>
    <row r="10003" spans="1:7">
      <c r="A10003">
        <v>10002</v>
      </c>
      <c r="B10003" t="str">
        <f>"026236"</f>
        <v>0</v>
      </c>
      <c r="C10003" t="s">
        <v>15120</v>
      </c>
      <c r="D10003" t="s">
        <v>15121</v>
      </c>
      <c r="E10003" t="str">
        <f>"1509900987008"</f>
        <v>0</v>
      </c>
      <c r="F10003" t="str">
        <f>"001780"</f>
        <v>0</v>
      </c>
      <c r="G10003" t="s">
        <v>21</v>
      </c>
    </row>
    <row r="10004" spans="1:7">
      <c r="A10004">
        <v>10003</v>
      </c>
      <c r="B10004" t="str">
        <f>"023472"</f>
        <v>0</v>
      </c>
      <c r="C10004" t="s">
        <v>15122</v>
      </c>
      <c r="D10004" t="s">
        <v>15123</v>
      </c>
      <c r="E10004" t="str">
        <f>"1529900029155"</f>
        <v>0</v>
      </c>
      <c r="F10004" t="str">
        <f>"001780"</f>
        <v>0</v>
      </c>
      <c r="G10004" t="s">
        <v>21</v>
      </c>
    </row>
    <row r="10005" spans="1:7">
      <c r="A10005">
        <v>10004</v>
      </c>
      <c r="B10005" t="str">
        <f>"025342"</f>
        <v>0</v>
      </c>
      <c r="C10005" t="s">
        <v>15124</v>
      </c>
      <c r="D10005" t="s">
        <v>15125</v>
      </c>
      <c r="E10005" t="str">
        <f>"1539900034809"</f>
        <v>0</v>
      </c>
      <c r="F10005" t="str">
        <f>"001780"</f>
        <v>0</v>
      </c>
      <c r="G10005" t="s">
        <v>21</v>
      </c>
    </row>
    <row r="10006" spans="1:7">
      <c r="A10006">
        <v>10005</v>
      </c>
      <c r="B10006" t="str">
        <f>"026923"</f>
        <v>0</v>
      </c>
      <c r="C10006" t="s">
        <v>15126</v>
      </c>
      <c r="D10006" t="s">
        <v>15127</v>
      </c>
      <c r="E10006" t="str">
        <f>"1529900197139"</f>
        <v>0</v>
      </c>
      <c r="F10006" t="str">
        <f>"001780"</f>
        <v>0</v>
      </c>
      <c r="G10006" t="s">
        <v>21</v>
      </c>
    </row>
    <row r="10007" spans="1:7">
      <c r="A10007">
        <v>10006</v>
      </c>
      <c r="B10007" t="str">
        <f>"027220"</f>
        <v>0</v>
      </c>
      <c r="C10007" t="s">
        <v>15128</v>
      </c>
      <c r="D10007" t="s">
        <v>15129</v>
      </c>
      <c r="E10007" t="str">
        <f>"1529900516064"</f>
        <v>0</v>
      </c>
      <c r="F10007" t="str">
        <f>"001780"</f>
        <v>0</v>
      </c>
      <c r="G10007" t="s">
        <v>21</v>
      </c>
    </row>
    <row r="10008" spans="1:7">
      <c r="A10008">
        <v>10007</v>
      </c>
      <c r="B10008" t="str">
        <f>"027226"</f>
        <v>0</v>
      </c>
      <c r="C10008" t="s">
        <v>15130</v>
      </c>
      <c r="D10008" t="s">
        <v>15131</v>
      </c>
      <c r="E10008" t="str">
        <f>"1529900352908"</f>
        <v>0</v>
      </c>
      <c r="F10008" t="str">
        <f>"001780"</f>
        <v>0</v>
      </c>
      <c r="G10008" t="s">
        <v>21</v>
      </c>
    </row>
    <row r="10009" spans="1:7">
      <c r="A10009">
        <v>10008</v>
      </c>
      <c r="B10009" t="str">
        <f>"023661"</f>
        <v>0</v>
      </c>
      <c r="C10009" t="s">
        <v>15132</v>
      </c>
      <c r="D10009" t="s">
        <v>15133</v>
      </c>
      <c r="E10009" t="str">
        <f>"1530700003812"</f>
        <v>0</v>
      </c>
      <c r="F10009" t="str">
        <f>"001780"</f>
        <v>0</v>
      </c>
      <c r="G10009" t="s">
        <v>21</v>
      </c>
    </row>
    <row r="10010" spans="1:7">
      <c r="A10010">
        <v>10009</v>
      </c>
      <c r="B10010" t="str">
        <f>"026926"</f>
        <v>0</v>
      </c>
      <c r="C10010" t="s">
        <v>15134</v>
      </c>
      <c r="D10010" t="s">
        <v>15135</v>
      </c>
      <c r="E10010" t="str">
        <f>"1539900419255"</f>
        <v>0</v>
      </c>
      <c r="F10010" t="str">
        <f>"001780"</f>
        <v>0</v>
      </c>
      <c r="G10010" t="s">
        <v>21</v>
      </c>
    </row>
    <row r="10011" spans="1:7">
      <c r="A10011">
        <v>10010</v>
      </c>
      <c r="B10011" t="str">
        <f>"018252"</f>
        <v>0</v>
      </c>
      <c r="C10011" t="s">
        <v>3674</v>
      </c>
      <c r="D10011" t="s">
        <v>15136</v>
      </c>
      <c r="E10011" t="str">
        <f>"3540400187531"</f>
        <v>0</v>
      </c>
      <c r="F10011" t="str">
        <f>"001780"</f>
        <v>0</v>
      </c>
      <c r="G10011" t="s">
        <v>21</v>
      </c>
    </row>
    <row r="10012" spans="1:7">
      <c r="A10012">
        <v>10011</v>
      </c>
      <c r="B10012" t="str">
        <f>"026925"</f>
        <v>0</v>
      </c>
      <c r="C10012" t="s">
        <v>15137</v>
      </c>
      <c r="D10012" t="s">
        <v>15138</v>
      </c>
      <c r="E10012" t="str">
        <f>"1540300009988"</f>
        <v>0</v>
      </c>
      <c r="F10012" t="str">
        <f>"001780"</f>
        <v>0</v>
      </c>
      <c r="G10012" t="s">
        <v>21</v>
      </c>
    </row>
    <row r="10013" spans="1:7">
      <c r="A10013">
        <v>10012</v>
      </c>
      <c r="B10013" t="str">
        <f>"026927"</f>
        <v>0</v>
      </c>
      <c r="C10013" t="s">
        <v>15139</v>
      </c>
      <c r="D10013" t="s">
        <v>15140</v>
      </c>
      <c r="E10013" t="str">
        <f>"1549900199701"</f>
        <v>0</v>
      </c>
      <c r="F10013" t="str">
        <f>"001780"</f>
        <v>0</v>
      </c>
      <c r="G10013" t="s">
        <v>21</v>
      </c>
    </row>
    <row r="10014" spans="1:7">
      <c r="A10014">
        <v>10013</v>
      </c>
      <c r="B10014" t="str">
        <f>"027218"</f>
        <v>0</v>
      </c>
      <c r="C10014" t="s">
        <v>15141</v>
      </c>
      <c r="D10014" t="s">
        <v>15142</v>
      </c>
      <c r="E10014" t="str">
        <f>"1540100060866"</f>
        <v>0</v>
      </c>
      <c r="F10014" t="str">
        <f>"001780"</f>
        <v>0</v>
      </c>
      <c r="G10014" t="s">
        <v>21</v>
      </c>
    </row>
    <row r="10015" spans="1:7">
      <c r="A10015">
        <v>10014</v>
      </c>
      <c r="B10015" t="str">
        <f>"027225"</f>
        <v>0</v>
      </c>
      <c r="C10015" t="s">
        <v>15143</v>
      </c>
      <c r="D10015" t="s">
        <v>15144</v>
      </c>
      <c r="E10015" t="str">
        <f>"1550900057371"</f>
        <v>0</v>
      </c>
      <c r="F10015" t="str">
        <f>"001780"</f>
        <v>0</v>
      </c>
      <c r="G10015" t="s">
        <v>21</v>
      </c>
    </row>
    <row r="10016" spans="1:7">
      <c r="A10016">
        <v>10015</v>
      </c>
      <c r="B10016" t="str">
        <f>"027224"</f>
        <v>0</v>
      </c>
      <c r="C10016" t="s">
        <v>15145</v>
      </c>
      <c r="D10016" t="s">
        <v>10439</v>
      </c>
      <c r="E10016" t="str">
        <f>"1560100371675"</f>
        <v>0</v>
      </c>
      <c r="F10016" t="str">
        <f>"001780"</f>
        <v>0</v>
      </c>
      <c r="G10016" t="s">
        <v>21</v>
      </c>
    </row>
    <row r="10017" spans="1:7">
      <c r="A10017">
        <v>10016</v>
      </c>
      <c r="B10017" t="str">
        <f>"027219"</f>
        <v>0</v>
      </c>
      <c r="C10017" t="s">
        <v>15146</v>
      </c>
      <c r="D10017" t="s">
        <v>15147</v>
      </c>
      <c r="E10017" t="str">
        <f>"1579900371163"</f>
        <v>0</v>
      </c>
      <c r="F10017" t="str">
        <f>"001780"</f>
        <v>0</v>
      </c>
      <c r="G10017" t="s">
        <v>21</v>
      </c>
    </row>
    <row r="10018" spans="1:7">
      <c r="A10018">
        <v>10017</v>
      </c>
      <c r="B10018" t="str">
        <f>"027221"</f>
        <v>0</v>
      </c>
      <c r="C10018" t="s">
        <v>1709</v>
      </c>
      <c r="D10018" t="s">
        <v>15148</v>
      </c>
      <c r="E10018" t="str">
        <f>"1600100531159"</f>
        <v>0</v>
      </c>
      <c r="F10018" t="str">
        <f>"001780"</f>
        <v>0</v>
      </c>
      <c r="G10018" t="s">
        <v>21</v>
      </c>
    </row>
    <row r="10019" spans="1:7">
      <c r="A10019">
        <v>10018</v>
      </c>
      <c r="B10019" t="str">
        <f>"027217"</f>
        <v>0</v>
      </c>
      <c r="C10019" t="s">
        <v>15149</v>
      </c>
      <c r="D10019" t="s">
        <v>15150</v>
      </c>
      <c r="E10019" t="str">
        <f>"1529900475953"</f>
        <v>0</v>
      </c>
      <c r="F10019" t="str">
        <f>"001780"</f>
        <v>0</v>
      </c>
      <c r="G10019" t="s">
        <v>21</v>
      </c>
    </row>
    <row r="10020" spans="1:7">
      <c r="A10020">
        <v>10019</v>
      </c>
      <c r="B10020" t="str">
        <f>"006264"</f>
        <v>0</v>
      </c>
      <c r="C10020" t="s">
        <v>4059</v>
      </c>
      <c r="D10020" t="s">
        <v>15151</v>
      </c>
      <c r="E10020" t="str">
        <f>"3640900451822"</f>
        <v>0</v>
      </c>
      <c r="F10020" t="str">
        <f>"001780"</f>
        <v>0</v>
      </c>
      <c r="G10020" t="s">
        <v>21</v>
      </c>
    </row>
    <row r="10021" spans="1:7">
      <c r="A10021">
        <v>10020</v>
      </c>
      <c r="B10021" t="str">
        <f>"008638"</f>
        <v>0</v>
      </c>
      <c r="C10021" t="s">
        <v>2024</v>
      </c>
      <c r="D10021" t="s">
        <v>15152</v>
      </c>
      <c r="E10021" t="str">
        <f>"3640400163461"</f>
        <v>0</v>
      </c>
      <c r="F10021" t="str">
        <f>"001780"</f>
        <v>0</v>
      </c>
      <c r="G10021" t="s">
        <v>21</v>
      </c>
    </row>
    <row r="10022" spans="1:7">
      <c r="A10022">
        <v>10021</v>
      </c>
      <c r="B10022" t="str">
        <f>"009638"</f>
        <v>0</v>
      </c>
      <c r="C10022" t="s">
        <v>11294</v>
      </c>
      <c r="D10022" t="s">
        <v>15152</v>
      </c>
      <c r="E10022" t="str">
        <f>"3660600331953"</f>
        <v>0</v>
      </c>
      <c r="F10022" t="str">
        <f>"001780"</f>
        <v>0</v>
      </c>
      <c r="G10022" t="s">
        <v>21</v>
      </c>
    </row>
    <row r="10023" spans="1:7">
      <c r="A10023">
        <v>10022</v>
      </c>
      <c r="B10023" t="str">
        <f>"010106"</f>
        <v>0</v>
      </c>
      <c r="C10023" t="s">
        <v>15153</v>
      </c>
      <c r="D10023" t="s">
        <v>15154</v>
      </c>
      <c r="E10023" t="str">
        <f>"3620100637034"</f>
        <v>0</v>
      </c>
      <c r="F10023" t="str">
        <f>"001780"</f>
        <v>0</v>
      </c>
      <c r="G10023" t="s">
        <v>21</v>
      </c>
    </row>
    <row r="10024" spans="1:7">
      <c r="A10024">
        <v>10023</v>
      </c>
      <c r="B10024" t="str">
        <f>"010107"</f>
        <v>0</v>
      </c>
      <c r="C10024" t="s">
        <v>5133</v>
      </c>
      <c r="D10024" t="s">
        <v>15155</v>
      </c>
      <c r="E10024" t="str">
        <f>"3620100637042"</f>
        <v>0</v>
      </c>
      <c r="F10024" t="str">
        <f>"001780"</f>
        <v>0</v>
      </c>
      <c r="G10024" t="s">
        <v>21</v>
      </c>
    </row>
    <row r="10025" spans="1:7">
      <c r="A10025">
        <v>10024</v>
      </c>
      <c r="B10025" t="str">
        <f>"010463"</f>
        <v>0</v>
      </c>
      <c r="C10025" t="s">
        <v>15156</v>
      </c>
      <c r="D10025" t="s">
        <v>15157</v>
      </c>
      <c r="E10025" t="str">
        <f>"3640900249802"</f>
        <v>0</v>
      </c>
      <c r="F10025" t="str">
        <f>"001780"</f>
        <v>0</v>
      </c>
      <c r="G10025" t="s">
        <v>21</v>
      </c>
    </row>
    <row r="10026" spans="1:7">
      <c r="A10026">
        <v>10025</v>
      </c>
      <c r="B10026" t="str">
        <f>"010693"</f>
        <v>0</v>
      </c>
      <c r="C10026" t="s">
        <v>587</v>
      </c>
      <c r="D10026" t="s">
        <v>15158</v>
      </c>
      <c r="E10026" t="str">
        <f>"3640500731372"</f>
        <v>0</v>
      </c>
      <c r="F10026" t="str">
        <f>"001780"</f>
        <v>0</v>
      </c>
      <c r="G10026" t="s">
        <v>21</v>
      </c>
    </row>
    <row r="10027" spans="1:7">
      <c r="A10027">
        <v>10026</v>
      </c>
      <c r="B10027" t="str">
        <f>"011762"</f>
        <v>0</v>
      </c>
      <c r="C10027" t="s">
        <v>4372</v>
      </c>
      <c r="D10027" t="s">
        <v>4053</v>
      </c>
      <c r="E10027" t="str">
        <f>"3640600038300"</f>
        <v>0</v>
      </c>
      <c r="F10027" t="str">
        <f>"001780"</f>
        <v>0</v>
      </c>
      <c r="G10027" t="s">
        <v>21</v>
      </c>
    </row>
    <row r="10028" spans="1:7">
      <c r="A10028">
        <v>10027</v>
      </c>
      <c r="B10028" t="str">
        <f>"011815"</f>
        <v>0</v>
      </c>
      <c r="C10028" t="s">
        <v>15159</v>
      </c>
      <c r="D10028" t="s">
        <v>15100</v>
      </c>
      <c r="E10028" t="str">
        <f>"3640900191553"</f>
        <v>0</v>
      </c>
      <c r="F10028" t="str">
        <f>"001780"</f>
        <v>0</v>
      </c>
      <c r="G10028" t="s">
        <v>21</v>
      </c>
    </row>
    <row r="10029" spans="1:7">
      <c r="A10029">
        <v>10028</v>
      </c>
      <c r="B10029" t="str">
        <f>"012019"</f>
        <v>0</v>
      </c>
      <c r="C10029" t="s">
        <v>778</v>
      </c>
      <c r="D10029" t="s">
        <v>15160</v>
      </c>
      <c r="E10029" t="str">
        <f>"3101201912494"</f>
        <v>0</v>
      </c>
      <c r="F10029" t="str">
        <f>"001780"</f>
        <v>0</v>
      </c>
      <c r="G10029" t="s">
        <v>21</v>
      </c>
    </row>
    <row r="10030" spans="1:7">
      <c r="A10030">
        <v>10029</v>
      </c>
      <c r="B10030" t="str">
        <f>"014182"</f>
        <v>0</v>
      </c>
      <c r="C10030" t="s">
        <v>4403</v>
      </c>
      <c r="D10030" t="s">
        <v>15161</v>
      </c>
      <c r="E10030" t="str">
        <f>"3640300244290"</f>
        <v>0</v>
      </c>
      <c r="F10030" t="str">
        <f>"001780"</f>
        <v>0</v>
      </c>
      <c r="G10030" t="s">
        <v>21</v>
      </c>
    </row>
    <row r="10031" spans="1:7">
      <c r="A10031">
        <v>10030</v>
      </c>
      <c r="B10031" t="str">
        <f>"014445"</f>
        <v>0</v>
      </c>
      <c r="C10031" t="s">
        <v>9057</v>
      </c>
      <c r="D10031" t="s">
        <v>15162</v>
      </c>
      <c r="E10031" t="str">
        <f>"3640900094591"</f>
        <v>0</v>
      </c>
      <c r="F10031" t="str">
        <f>"001780"</f>
        <v>0</v>
      </c>
      <c r="G10031" t="s">
        <v>21</v>
      </c>
    </row>
    <row r="10032" spans="1:7">
      <c r="A10032">
        <v>10031</v>
      </c>
      <c r="B10032" t="str">
        <f>"016096"</f>
        <v>0</v>
      </c>
      <c r="C10032" t="s">
        <v>887</v>
      </c>
      <c r="D10032" t="s">
        <v>15163</v>
      </c>
      <c r="E10032" t="str">
        <f>"3640600432890"</f>
        <v>0</v>
      </c>
      <c r="F10032" t="str">
        <f>"001780"</f>
        <v>0</v>
      </c>
      <c r="G10032" t="s">
        <v>21</v>
      </c>
    </row>
    <row r="10033" spans="1:7">
      <c r="A10033">
        <v>10032</v>
      </c>
      <c r="B10033" t="str">
        <f>"016260"</f>
        <v>0</v>
      </c>
      <c r="C10033" t="s">
        <v>326</v>
      </c>
      <c r="D10033" t="s">
        <v>14716</v>
      </c>
      <c r="E10033" t="str">
        <f>"3649900153366"</f>
        <v>0</v>
      </c>
      <c r="F10033" t="str">
        <f>"001780"</f>
        <v>0</v>
      </c>
      <c r="G10033" t="s">
        <v>21</v>
      </c>
    </row>
    <row r="10034" spans="1:7">
      <c r="A10034">
        <v>10033</v>
      </c>
      <c r="B10034" t="str">
        <f>"016398"</f>
        <v>0</v>
      </c>
      <c r="C10034" t="s">
        <v>832</v>
      </c>
      <c r="D10034" t="s">
        <v>15164</v>
      </c>
      <c r="E10034" t="str">
        <f>"3630100296903"</f>
        <v>0</v>
      </c>
      <c r="F10034" t="str">
        <f>"001780"</f>
        <v>0</v>
      </c>
      <c r="G10034" t="s">
        <v>21</v>
      </c>
    </row>
    <row r="10035" spans="1:7">
      <c r="A10035">
        <v>10034</v>
      </c>
      <c r="B10035" t="str">
        <f>"016716"</f>
        <v>0</v>
      </c>
      <c r="C10035" t="s">
        <v>4757</v>
      </c>
      <c r="D10035" t="s">
        <v>15165</v>
      </c>
      <c r="E10035" t="str">
        <f>"3640500017408"</f>
        <v>0</v>
      </c>
      <c r="F10035" t="str">
        <f>"001780"</f>
        <v>0</v>
      </c>
      <c r="G10035" t="s">
        <v>21</v>
      </c>
    </row>
    <row r="10036" spans="1:7">
      <c r="A10036">
        <v>10035</v>
      </c>
      <c r="B10036" t="str">
        <f>"017265"</f>
        <v>0</v>
      </c>
      <c r="C10036" t="s">
        <v>3799</v>
      </c>
      <c r="D10036" t="s">
        <v>12227</v>
      </c>
      <c r="E10036" t="str">
        <f>"3640700328431"</f>
        <v>0</v>
      </c>
      <c r="F10036" t="str">
        <f>"001780"</f>
        <v>0</v>
      </c>
      <c r="G10036" t="s">
        <v>21</v>
      </c>
    </row>
    <row r="10037" spans="1:7">
      <c r="A10037">
        <v>10036</v>
      </c>
      <c r="B10037" t="str">
        <f>"017534"</f>
        <v>0</v>
      </c>
      <c r="C10037" t="s">
        <v>2320</v>
      </c>
      <c r="D10037" t="s">
        <v>15166</v>
      </c>
      <c r="E10037" t="str">
        <f>"3501300172339"</f>
        <v>0</v>
      </c>
      <c r="F10037" t="str">
        <f>"001780"</f>
        <v>0</v>
      </c>
      <c r="G10037" t="s">
        <v>21</v>
      </c>
    </row>
    <row r="10038" spans="1:7">
      <c r="A10038">
        <v>10037</v>
      </c>
      <c r="B10038" t="str">
        <f>"017909"</f>
        <v>0</v>
      </c>
      <c r="C10038" t="s">
        <v>15167</v>
      </c>
      <c r="D10038" t="s">
        <v>1261</v>
      </c>
      <c r="E10038" t="str">
        <f>"3101600612702"</f>
        <v>0</v>
      </c>
      <c r="F10038" t="str">
        <f>"001780"</f>
        <v>0</v>
      </c>
      <c r="G10038" t="s">
        <v>21</v>
      </c>
    </row>
    <row r="10039" spans="1:7">
      <c r="A10039">
        <v>10038</v>
      </c>
      <c r="B10039" t="str">
        <f>"019005"</f>
        <v>0</v>
      </c>
      <c r="C10039" t="s">
        <v>7625</v>
      </c>
      <c r="D10039" t="s">
        <v>15168</v>
      </c>
      <c r="E10039" t="str">
        <f>"3649900150570"</f>
        <v>0</v>
      </c>
      <c r="F10039" t="str">
        <f>"001780"</f>
        <v>0</v>
      </c>
      <c r="G10039" t="s">
        <v>21</v>
      </c>
    </row>
    <row r="10040" spans="1:7">
      <c r="A10040">
        <v>10039</v>
      </c>
      <c r="B10040" t="str">
        <f>"020826"</f>
        <v>0</v>
      </c>
      <c r="C10040" t="s">
        <v>774</v>
      </c>
      <c r="D10040" t="s">
        <v>15169</v>
      </c>
      <c r="E10040" t="str">
        <f>"3640800023322"</f>
        <v>0</v>
      </c>
      <c r="F10040" t="str">
        <f>"001780"</f>
        <v>0</v>
      </c>
      <c r="G10040" t="s">
        <v>21</v>
      </c>
    </row>
    <row r="10041" spans="1:7">
      <c r="A10041">
        <v>10040</v>
      </c>
      <c r="B10041" t="str">
        <f>"020842"</f>
        <v>0</v>
      </c>
      <c r="C10041" t="s">
        <v>15170</v>
      </c>
      <c r="D10041" t="s">
        <v>15171</v>
      </c>
      <c r="E10041" t="str">
        <f>"3629900112228"</f>
        <v>0</v>
      </c>
      <c r="F10041" t="str">
        <f>"001780"</f>
        <v>0</v>
      </c>
      <c r="G10041" t="s">
        <v>21</v>
      </c>
    </row>
    <row r="10042" spans="1:7">
      <c r="A10042">
        <v>10041</v>
      </c>
      <c r="B10042" t="str">
        <f>"020986"</f>
        <v>0</v>
      </c>
      <c r="C10042" t="s">
        <v>11772</v>
      </c>
      <c r="D10042" t="s">
        <v>9007</v>
      </c>
      <c r="E10042" t="str">
        <f>"3640900337574"</f>
        <v>0</v>
      </c>
      <c r="F10042" t="str">
        <f>"001780"</f>
        <v>0</v>
      </c>
      <c r="G10042" t="s">
        <v>21</v>
      </c>
    </row>
    <row r="10043" spans="1:7">
      <c r="A10043">
        <v>10042</v>
      </c>
      <c r="B10043" t="str">
        <f>"021017"</f>
        <v>0</v>
      </c>
      <c r="C10043" t="s">
        <v>4205</v>
      </c>
      <c r="D10043" t="s">
        <v>15172</v>
      </c>
      <c r="E10043" t="str">
        <f>"3649900154338"</f>
        <v>0</v>
      </c>
      <c r="F10043" t="str">
        <f>"001780"</f>
        <v>0</v>
      </c>
      <c r="G10043" t="s">
        <v>21</v>
      </c>
    </row>
    <row r="10044" spans="1:7">
      <c r="A10044">
        <v>10043</v>
      </c>
      <c r="B10044" t="str">
        <f>"021071"</f>
        <v>0</v>
      </c>
      <c r="C10044" t="s">
        <v>15173</v>
      </c>
      <c r="D10044" t="s">
        <v>15174</v>
      </c>
      <c r="E10044" t="str">
        <f>"3649800120300"</f>
        <v>0</v>
      </c>
      <c r="F10044" t="str">
        <f>"001780"</f>
        <v>0</v>
      </c>
      <c r="G10044" t="s">
        <v>21</v>
      </c>
    </row>
    <row r="10045" spans="1:7">
      <c r="A10045">
        <v>10044</v>
      </c>
      <c r="B10045" t="str">
        <f>"021349"</f>
        <v>0</v>
      </c>
      <c r="C10045" t="s">
        <v>15175</v>
      </c>
      <c r="D10045" t="s">
        <v>15176</v>
      </c>
      <c r="E10045" t="str">
        <f>"3640300275098"</f>
        <v>0</v>
      </c>
      <c r="F10045" t="str">
        <f>"001780"</f>
        <v>0</v>
      </c>
      <c r="G10045" t="s">
        <v>21</v>
      </c>
    </row>
    <row r="10046" spans="1:7">
      <c r="A10046">
        <v>10045</v>
      </c>
      <c r="B10046" t="str">
        <f>"022096"</f>
        <v>0</v>
      </c>
      <c r="C10046" t="s">
        <v>15177</v>
      </c>
      <c r="D10046" t="s">
        <v>15178</v>
      </c>
      <c r="E10046" t="str">
        <f>"3640600304824"</f>
        <v>0</v>
      </c>
      <c r="F10046" t="str">
        <f>"001780"</f>
        <v>0</v>
      </c>
      <c r="G10046" t="s">
        <v>21</v>
      </c>
    </row>
    <row r="10047" spans="1:7">
      <c r="A10047">
        <v>10046</v>
      </c>
      <c r="B10047" t="str">
        <f>"022255"</f>
        <v>0</v>
      </c>
      <c r="C10047" t="s">
        <v>15179</v>
      </c>
      <c r="D10047" t="s">
        <v>15180</v>
      </c>
      <c r="E10047" t="str">
        <f>"3640500430674"</f>
        <v>0</v>
      </c>
      <c r="F10047" t="str">
        <f>"001780"</f>
        <v>0</v>
      </c>
      <c r="G10047" t="s">
        <v>21</v>
      </c>
    </row>
    <row r="10048" spans="1:7">
      <c r="A10048">
        <v>10047</v>
      </c>
      <c r="B10048" t="str">
        <f>"022256"</f>
        <v>0</v>
      </c>
      <c r="C10048" t="s">
        <v>15181</v>
      </c>
      <c r="D10048" t="s">
        <v>15182</v>
      </c>
      <c r="E10048" t="str">
        <f>"3649900052179"</f>
        <v>0</v>
      </c>
      <c r="F10048" t="str">
        <f>"001780"</f>
        <v>0</v>
      </c>
      <c r="G10048" t="s">
        <v>21</v>
      </c>
    </row>
    <row r="10049" spans="1:7">
      <c r="A10049">
        <v>10048</v>
      </c>
      <c r="B10049" t="str">
        <f>"023720"</f>
        <v>0</v>
      </c>
      <c r="C10049" t="s">
        <v>15183</v>
      </c>
      <c r="D10049" t="s">
        <v>13358</v>
      </c>
      <c r="E10049" t="str">
        <f>"1509900138396"</f>
        <v>0</v>
      </c>
      <c r="F10049" t="str">
        <f>"001780"</f>
        <v>0</v>
      </c>
      <c r="G10049" t="s">
        <v>21</v>
      </c>
    </row>
    <row r="10050" spans="1:7">
      <c r="A10050">
        <v>10049</v>
      </c>
      <c r="B10050" t="str">
        <f>"024513"</f>
        <v>0</v>
      </c>
      <c r="C10050" t="s">
        <v>4488</v>
      </c>
      <c r="D10050" t="s">
        <v>15184</v>
      </c>
      <c r="E10050" t="str">
        <f>"1640600116487"</f>
        <v>0</v>
      </c>
      <c r="F10050" t="str">
        <f>"001780"</f>
        <v>0</v>
      </c>
      <c r="G10050" t="s">
        <v>21</v>
      </c>
    </row>
    <row r="10051" spans="1:7">
      <c r="A10051">
        <v>10050</v>
      </c>
      <c r="B10051" t="str">
        <f>"024671"</f>
        <v>0</v>
      </c>
      <c r="C10051" t="s">
        <v>15185</v>
      </c>
      <c r="D10051" t="s">
        <v>15186</v>
      </c>
      <c r="E10051" t="str">
        <f>"3640200204644"</f>
        <v>0</v>
      </c>
      <c r="F10051" t="str">
        <f>"001780"</f>
        <v>0</v>
      </c>
      <c r="G10051" t="s">
        <v>21</v>
      </c>
    </row>
    <row r="10052" spans="1:7">
      <c r="A10052">
        <v>10051</v>
      </c>
      <c r="B10052" t="str">
        <f>"025001"</f>
        <v>0</v>
      </c>
      <c r="C10052" t="s">
        <v>15187</v>
      </c>
      <c r="D10052" t="s">
        <v>15188</v>
      </c>
      <c r="E10052" t="str">
        <f>"1640600119711"</f>
        <v>0</v>
      </c>
      <c r="F10052" t="str">
        <f>"001780"</f>
        <v>0</v>
      </c>
      <c r="G10052" t="s">
        <v>21</v>
      </c>
    </row>
    <row r="10053" spans="1:7">
      <c r="A10053">
        <v>10052</v>
      </c>
      <c r="B10053" t="str">
        <f>"026821"</f>
        <v>0</v>
      </c>
      <c r="C10053" t="s">
        <v>3615</v>
      </c>
      <c r="D10053" t="s">
        <v>15189</v>
      </c>
      <c r="E10053" t="str">
        <f>"1640400090662"</f>
        <v>0</v>
      </c>
      <c r="F10053" t="str">
        <f>"001780"</f>
        <v>0</v>
      </c>
      <c r="G10053" t="s">
        <v>21</v>
      </c>
    </row>
    <row r="10054" spans="1:7">
      <c r="A10054">
        <v>10053</v>
      </c>
      <c r="B10054" t="str">
        <f>"026822"</f>
        <v>0</v>
      </c>
      <c r="C10054" t="s">
        <v>3611</v>
      </c>
      <c r="D10054" t="s">
        <v>7463</v>
      </c>
      <c r="E10054" t="str">
        <f>"1640600106147"</f>
        <v>0</v>
      </c>
      <c r="F10054" t="str">
        <f>"001780"</f>
        <v>0</v>
      </c>
      <c r="G10054" t="s">
        <v>21</v>
      </c>
    </row>
    <row r="10055" spans="1:7">
      <c r="A10055">
        <v>10054</v>
      </c>
      <c r="B10055" t="str">
        <f>"015355"</f>
        <v>0</v>
      </c>
      <c r="C10055" t="s">
        <v>3620</v>
      </c>
      <c r="D10055" t="s">
        <v>15190</v>
      </c>
      <c r="E10055" t="str">
        <f>"3650600360236"</f>
        <v>0</v>
      </c>
      <c r="F10055" t="str">
        <f>"001780"</f>
        <v>0</v>
      </c>
      <c r="G10055" t="s">
        <v>21</v>
      </c>
    </row>
    <row r="10056" spans="1:7">
      <c r="A10056">
        <v>10055</v>
      </c>
      <c r="B10056" t="str">
        <f>"017615"</f>
        <v>0</v>
      </c>
      <c r="C10056" t="s">
        <v>8531</v>
      </c>
      <c r="D10056" t="s">
        <v>15191</v>
      </c>
      <c r="E10056" t="str">
        <f>"3550100338275"</f>
        <v>0</v>
      </c>
      <c r="F10056" t="str">
        <f>"001780"</f>
        <v>0</v>
      </c>
      <c r="G10056" t="s">
        <v>21</v>
      </c>
    </row>
    <row r="10057" spans="1:7">
      <c r="A10057">
        <v>10056</v>
      </c>
      <c r="B10057" t="str">
        <f>"017903"</f>
        <v>0</v>
      </c>
      <c r="C10057" t="s">
        <v>15192</v>
      </c>
      <c r="D10057" t="s">
        <v>10263</v>
      </c>
      <c r="E10057" t="str">
        <f>"3540200358294"</f>
        <v>0</v>
      </c>
      <c r="F10057" t="str">
        <f>"001780"</f>
        <v>0</v>
      </c>
      <c r="G10057" t="s">
        <v>21</v>
      </c>
    </row>
    <row r="10058" spans="1:7">
      <c r="A10058">
        <v>10057</v>
      </c>
      <c r="B10058" t="str">
        <f>"019888"</f>
        <v>0</v>
      </c>
      <c r="C10058" t="s">
        <v>15193</v>
      </c>
      <c r="D10058" t="s">
        <v>15194</v>
      </c>
      <c r="E10058" t="str">
        <f>"3650600207667"</f>
        <v>0</v>
      </c>
      <c r="F10058" t="str">
        <f>"001780"</f>
        <v>0</v>
      </c>
      <c r="G10058" t="s">
        <v>21</v>
      </c>
    </row>
    <row r="10059" spans="1:7">
      <c r="A10059">
        <v>10058</v>
      </c>
      <c r="B10059" t="str">
        <f>"021421"</f>
        <v>0</v>
      </c>
      <c r="C10059" t="s">
        <v>15195</v>
      </c>
      <c r="D10059" t="s">
        <v>15196</v>
      </c>
      <c r="E10059" t="str">
        <f>"3101800967016"</f>
        <v>0</v>
      </c>
      <c r="F10059" t="str">
        <f>"001780"</f>
        <v>0</v>
      </c>
      <c r="G10059" t="s">
        <v>21</v>
      </c>
    </row>
    <row r="10060" spans="1:7">
      <c r="A10060">
        <v>10059</v>
      </c>
      <c r="B10060" t="str">
        <f>"022257"</f>
        <v>0</v>
      </c>
      <c r="C10060" t="s">
        <v>15197</v>
      </c>
      <c r="D10060" t="s">
        <v>15198</v>
      </c>
      <c r="E10060" t="str">
        <f>"3600400574895"</f>
        <v>0</v>
      </c>
      <c r="F10060" t="str">
        <f>"001780"</f>
        <v>0</v>
      </c>
      <c r="G10060" t="s">
        <v>21</v>
      </c>
    </row>
    <row r="10061" spans="1:7">
      <c r="A10061">
        <v>10060</v>
      </c>
      <c r="B10061" t="str">
        <f>"025215"</f>
        <v>0</v>
      </c>
      <c r="C10061" t="s">
        <v>15199</v>
      </c>
      <c r="D10061" t="s">
        <v>15200</v>
      </c>
      <c r="E10061" t="str">
        <f>"1659900296918"</f>
        <v>0</v>
      </c>
      <c r="F10061" t="str">
        <f>"001780"</f>
        <v>0</v>
      </c>
      <c r="G10061" t="s">
        <v>21</v>
      </c>
    </row>
    <row r="10062" spans="1:7">
      <c r="A10062">
        <v>10061</v>
      </c>
      <c r="B10062" t="str">
        <f>"025976"</f>
        <v>0</v>
      </c>
      <c r="C10062" t="s">
        <v>5842</v>
      </c>
      <c r="D10062" t="s">
        <v>15201</v>
      </c>
      <c r="E10062" t="str">
        <f>"3660400609958"</f>
        <v>0</v>
      </c>
      <c r="F10062" t="str">
        <f>"001780"</f>
        <v>0</v>
      </c>
      <c r="G10062" t="s">
        <v>21</v>
      </c>
    </row>
    <row r="10063" spans="1:7">
      <c r="A10063">
        <v>10062</v>
      </c>
      <c r="B10063" t="str">
        <f>"025977"</f>
        <v>0</v>
      </c>
      <c r="C10063" t="s">
        <v>2202</v>
      </c>
      <c r="D10063" t="s">
        <v>15202</v>
      </c>
      <c r="E10063" t="str">
        <f>"1659900407426"</f>
        <v>0</v>
      </c>
      <c r="F10063" t="str">
        <f>"001780"</f>
        <v>0</v>
      </c>
      <c r="G10063" t="s">
        <v>21</v>
      </c>
    </row>
    <row r="10064" spans="1:7">
      <c r="A10064">
        <v>10063</v>
      </c>
      <c r="B10064" t="str">
        <f>"026422"</f>
        <v>0</v>
      </c>
      <c r="C10064" t="s">
        <v>15203</v>
      </c>
      <c r="D10064" t="s">
        <v>15204</v>
      </c>
      <c r="E10064" t="str">
        <f>"5470200006069"</f>
        <v>0</v>
      </c>
      <c r="F10064" t="str">
        <f>"001780"</f>
        <v>0</v>
      </c>
      <c r="G10064" t="s">
        <v>21</v>
      </c>
    </row>
    <row r="10065" spans="1:7">
      <c r="A10065">
        <v>10064</v>
      </c>
      <c r="B10065" t="str">
        <f>"027228"</f>
        <v>0</v>
      </c>
      <c r="C10065" t="s">
        <v>13070</v>
      </c>
      <c r="D10065" t="s">
        <v>15205</v>
      </c>
      <c r="E10065" t="str">
        <f>"1669700085786"</f>
        <v>0</v>
      </c>
      <c r="F10065" t="str">
        <f>"001780"</f>
        <v>0</v>
      </c>
      <c r="G10065" t="s">
        <v>21</v>
      </c>
    </row>
    <row r="10066" spans="1:7">
      <c r="A10066">
        <v>10065</v>
      </c>
      <c r="B10066" t="str">
        <f>"027230"</f>
        <v>0</v>
      </c>
      <c r="C10066" t="s">
        <v>15206</v>
      </c>
      <c r="D10066" t="s">
        <v>15207</v>
      </c>
      <c r="E10066" t="str">
        <f>"1730200120851"</f>
        <v>0</v>
      </c>
      <c r="F10066" t="str">
        <f>"001780"</f>
        <v>0</v>
      </c>
      <c r="G10066" t="s">
        <v>21</v>
      </c>
    </row>
    <row r="10067" spans="1:7">
      <c r="A10067">
        <v>10066</v>
      </c>
      <c r="B10067" t="str">
        <f>"027222"</f>
        <v>0</v>
      </c>
      <c r="C10067" t="s">
        <v>15208</v>
      </c>
      <c r="D10067" t="s">
        <v>15209</v>
      </c>
      <c r="E10067" t="str">
        <f>"1909800976345"</f>
        <v>0</v>
      </c>
      <c r="F10067" t="str">
        <f>"001780"</f>
        <v>0</v>
      </c>
      <c r="G10067" t="s">
        <v>21</v>
      </c>
    </row>
    <row r="10068" spans="1:7">
      <c r="A10068">
        <v>10067</v>
      </c>
      <c r="B10068" t="str">
        <f>"026420"</f>
        <v>0</v>
      </c>
      <c r="C10068" t="s">
        <v>2080</v>
      </c>
      <c r="D10068" t="s">
        <v>4117</v>
      </c>
      <c r="E10068" t="str">
        <f>"1939900171853"</f>
        <v>0</v>
      </c>
      <c r="F10068" t="str">
        <f>"001780"</f>
        <v>0</v>
      </c>
      <c r="G10068" t="s">
        <v>21</v>
      </c>
    </row>
    <row r="10069" spans="1:7">
      <c r="A10069">
        <v>10068</v>
      </c>
      <c r="B10069" t="str">
        <f>"000076"</f>
        <v>0</v>
      </c>
      <c r="C10069" t="s">
        <v>5224</v>
      </c>
      <c r="D10069" t="s">
        <v>15210</v>
      </c>
      <c r="E10069" t="str">
        <f>"3110300076952"</f>
        <v>0</v>
      </c>
      <c r="F10069" t="str">
        <f>"001800"</f>
        <v>0</v>
      </c>
      <c r="G10069" t="s">
        <v>21</v>
      </c>
    </row>
    <row r="10070" spans="1:7">
      <c r="A10070">
        <v>10069</v>
      </c>
      <c r="B10070" t="str">
        <f>"001937"</f>
        <v>0</v>
      </c>
      <c r="C10070" t="s">
        <v>15211</v>
      </c>
      <c r="D10070" t="s">
        <v>15212</v>
      </c>
      <c r="E10070" t="str">
        <f>"3720500059746"</f>
        <v>0</v>
      </c>
      <c r="F10070" t="str">
        <f>"001800"</f>
        <v>0</v>
      </c>
      <c r="G10070" t="s">
        <v>21</v>
      </c>
    </row>
    <row r="10071" spans="1:7">
      <c r="A10071">
        <v>10070</v>
      </c>
      <c r="B10071" t="str">
        <f>"002101"</f>
        <v>0</v>
      </c>
      <c r="C10071" t="s">
        <v>8928</v>
      </c>
      <c r="D10071" t="s">
        <v>15213</v>
      </c>
      <c r="E10071" t="str">
        <f>"3770600046328"</f>
        <v>0</v>
      </c>
      <c r="F10071" t="str">
        <f>"001800"</f>
        <v>0</v>
      </c>
      <c r="G10071" t="s">
        <v>21</v>
      </c>
    </row>
    <row r="10072" spans="1:7">
      <c r="A10072">
        <v>10071</v>
      </c>
      <c r="B10072" t="str">
        <f>"003020"</f>
        <v>0</v>
      </c>
      <c r="C10072" t="s">
        <v>2331</v>
      </c>
      <c r="D10072" t="s">
        <v>15214</v>
      </c>
      <c r="E10072" t="str">
        <f>"3720200136869"</f>
        <v>0</v>
      </c>
      <c r="F10072" t="str">
        <f>"001800"</f>
        <v>0</v>
      </c>
      <c r="G10072" t="s">
        <v>21</v>
      </c>
    </row>
    <row r="10073" spans="1:7">
      <c r="A10073">
        <v>10072</v>
      </c>
      <c r="B10073" t="str">
        <f>"003483"</f>
        <v>0</v>
      </c>
      <c r="C10073" t="s">
        <v>1972</v>
      </c>
      <c r="D10073" t="s">
        <v>15215</v>
      </c>
      <c r="E10073" t="str">
        <f>"3729900229141"</f>
        <v>0</v>
      </c>
      <c r="F10073" t="str">
        <f>"001800"</f>
        <v>0</v>
      </c>
      <c r="G10073" t="s">
        <v>21</v>
      </c>
    </row>
    <row r="10074" spans="1:7">
      <c r="A10074">
        <v>10073</v>
      </c>
      <c r="B10074" t="str">
        <f>"003484"</f>
        <v>0</v>
      </c>
      <c r="C10074" t="s">
        <v>2239</v>
      </c>
      <c r="D10074" t="s">
        <v>15216</v>
      </c>
      <c r="E10074" t="str">
        <f>"3720500003961"</f>
        <v>0</v>
      </c>
      <c r="F10074" t="str">
        <f>"001800"</f>
        <v>0</v>
      </c>
      <c r="G10074" t="s">
        <v>21</v>
      </c>
    </row>
    <row r="10075" spans="1:7">
      <c r="A10075">
        <v>10074</v>
      </c>
      <c r="B10075" t="str">
        <f>"003486"</f>
        <v>0</v>
      </c>
      <c r="C10075" t="s">
        <v>798</v>
      </c>
      <c r="D10075" t="s">
        <v>15217</v>
      </c>
      <c r="E10075" t="str">
        <f>"3720800395784"</f>
        <v>0</v>
      </c>
      <c r="F10075" t="str">
        <f>"001800"</f>
        <v>0</v>
      </c>
      <c r="G10075" t="s">
        <v>21</v>
      </c>
    </row>
    <row r="10076" spans="1:7">
      <c r="A10076">
        <v>10075</v>
      </c>
      <c r="B10076" t="str">
        <f>"003672"</f>
        <v>0</v>
      </c>
      <c r="C10076" t="s">
        <v>1880</v>
      </c>
      <c r="D10076" t="s">
        <v>15218</v>
      </c>
      <c r="E10076" t="str">
        <f>"3720800382909"</f>
        <v>0</v>
      </c>
      <c r="F10076" t="str">
        <f>"001800"</f>
        <v>0</v>
      </c>
      <c r="G10076" t="s">
        <v>21</v>
      </c>
    </row>
    <row r="10077" spans="1:7">
      <c r="A10077">
        <v>10076</v>
      </c>
      <c r="B10077" t="str">
        <f>"004006"</f>
        <v>0</v>
      </c>
      <c r="C10077" t="s">
        <v>15219</v>
      </c>
      <c r="D10077" t="s">
        <v>15220</v>
      </c>
      <c r="E10077" t="str">
        <f>"3720900929926"</f>
        <v>0</v>
      </c>
      <c r="F10077" t="str">
        <f>"001800"</f>
        <v>0</v>
      </c>
      <c r="G10077" t="s">
        <v>21</v>
      </c>
    </row>
    <row r="10078" spans="1:7">
      <c r="A10078">
        <v>10077</v>
      </c>
      <c r="B10078" t="str">
        <f>"004558"</f>
        <v>0</v>
      </c>
      <c r="C10078" t="s">
        <v>3799</v>
      </c>
      <c r="D10078" t="s">
        <v>15221</v>
      </c>
      <c r="E10078" t="str">
        <f>"3720500431581"</f>
        <v>0</v>
      </c>
      <c r="F10078" t="str">
        <f>"001800"</f>
        <v>0</v>
      </c>
      <c r="G10078" t="s">
        <v>21</v>
      </c>
    </row>
    <row r="10079" spans="1:7">
      <c r="A10079">
        <v>10078</v>
      </c>
      <c r="B10079" t="str">
        <f>"005004"</f>
        <v>0</v>
      </c>
      <c r="C10079" t="s">
        <v>4829</v>
      </c>
      <c r="D10079" t="s">
        <v>15222</v>
      </c>
      <c r="E10079" t="str">
        <f>"3720900661311"</f>
        <v>0</v>
      </c>
      <c r="F10079" t="str">
        <f>"001800"</f>
        <v>0</v>
      </c>
      <c r="G10079" t="s">
        <v>21</v>
      </c>
    </row>
    <row r="10080" spans="1:7">
      <c r="A10080">
        <v>10079</v>
      </c>
      <c r="B10080" t="str">
        <f>"005232"</f>
        <v>0</v>
      </c>
      <c r="C10080" t="s">
        <v>887</v>
      </c>
      <c r="D10080" t="s">
        <v>15223</v>
      </c>
      <c r="E10080" t="str">
        <f>"3720500484757"</f>
        <v>0</v>
      </c>
      <c r="F10080" t="str">
        <f>"001800"</f>
        <v>0</v>
      </c>
      <c r="G10080" t="s">
        <v>21</v>
      </c>
    </row>
    <row r="10081" spans="1:7">
      <c r="A10081">
        <v>10080</v>
      </c>
      <c r="B10081" t="str">
        <f>"005806"</f>
        <v>0</v>
      </c>
      <c r="C10081" t="s">
        <v>4605</v>
      </c>
      <c r="D10081" t="s">
        <v>15224</v>
      </c>
      <c r="E10081" t="str">
        <f>"3720900930002"</f>
        <v>0</v>
      </c>
      <c r="F10081" t="str">
        <f>"001800"</f>
        <v>0</v>
      </c>
      <c r="G10081" t="s">
        <v>21</v>
      </c>
    </row>
    <row r="10082" spans="1:7">
      <c r="A10082">
        <v>10081</v>
      </c>
      <c r="B10082" t="str">
        <f>"006061"</f>
        <v>0</v>
      </c>
      <c r="C10082" t="s">
        <v>5015</v>
      </c>
      <c r="D10082" t="s">
        <v>15225</v>
      </c>
      <c r="E10082" t="str">
        <f>"3720700062597"</f>
        <v>0</v>
      </c>
      <c r="F10082" t="str">
        <f>"001800"</f>
        <v>0</v>
      </c>
      <c r="G10082" t="s">
        <v>21</v>
      </c>
    </row>
    <row r="10083" spans="1:7">
      <c r="A10083">
        <v>10082</v>
      </c>
      <c r="B10083" t="str">
        <f>"006130"</f>
        <v>0</v>
      </c>
      <c r="C10083" t="s">
        <v>7846</v>
      </c>
      <c r="D10083" t="s">
        <v>15226</v>
      </c>
      <c r="E10083" t="str">
        <f>"3720500414520"</f>
        <v>0</v>
      </c>
      <c r="F10083" t="str">
        <f>"001800"</f>
        <v>0</v>
      </c>
      <c r="G10083" t="s">
        <v>21</v>
      </c>
    </row>
    <row r="10084" spans="1:7">
      <c r="A10084">
        <v>10083</v>
      </c>
      <c r="B10084" t="str">
        <f>"006201"</f>
        <v>0</v>
      </c>
      <c r="C10084" t="s">
        <v>15227</v>
      </c>
      <c r="D10084" t="s">
        <v>15228</v>
      </c>
      <c r="E10084" t="str">
        <f>"3730101002350"</f>
        <v>0</v>
      </c>
      <c r="F10084" t="str">
        <f>"001800"</f>
        <v>0</v>
      </c>
      <c r="G10084" t="s">
        <v>21</v>
      </c>
    </row>
    <row r="10085" spans="1:7">
      <c r="A10085">
        <v>10084</v>
      </c>
      <c r="B10085" t="str">
        <f>"006673"</f>
        <v>0</v>
      </c>
      <c r="C10085" t="s">
        <v>15229</v>
      </c>
      <c r="D10085" t="s">
        <v>12764</v>
      </c>
      <c r="E10085" t="str">
        <f>"3720500233517"</f>
        <v>0</v>
      </c>
      <c r="F10085" t="str">
        <f>"001800"</f>
        <v>0</v>
      </c>
      <c r="G10085" t="s">
        <v>21</v>
      </c>
    </row>
    <row r="10086" spans="1:7">
      <c r="A10086">
        <v>10085</v>
      </c>
      <c r="B10086" t="str">
        <f>"006953"</f>
        <v>0</v>
      </c>
      <c r="C10086" t="s">
        <v>15230</v>
      </c>
      <c r="D10086" t="s">
        <v>9670</v>
      </c>
      <c r="E10086" t="str">
        <f>"3720800019669"</f>
        <v>0</v>
      </c>
      <c r="F10086" t="str">
        <f>"001800"</f>
        <v>0</v>
      </c>
      <c r="G10086" t="s">
        <v>21</v>
      </c>
    </row>
    <row r="10087" spans="1:7">
      <c r="A10087">
        <v>10086</v>
      </c>
      <c r="B10087" t="str">
        <f>"006954"</f>
        <v>0</v>
      </c>
      <c r="C10087" t="s">
        <v>15231</v>
      </c>
      <c r="D10087" t="s">
        <v>15232</v>
      </c>
      <c r="E10087" t="str">
        <f>"3720800015205"</f>
        <v>0</v>
      </c>
      <c r="F10087" t="str">
        <f>"001800"</f>
        <v>0</v>
      </c>
      <c r="G10087" t="s">
        <v>21</v>
      </c>
    </row>
    <row r="10088" spans="1:7">
      <c r="A10088">
        <v>10087</v>
      </c>
      <c r="B10088" t="str">
        <f>"007442"</f>
        <v>0</v>
      </c>
      <c r="C10088" t="s">
        <v>10217</v>
      </c>
      <c r="D10088" t="s">
        <v>15233</v>
      </c>
      <c r="E10088" t="str">
        <f>"3720700056091"</f>
        <v>0</v>
      </c>
      <c r="F10088" t="str">
        <f>"001800"</f>
        <v>0</v>
      </c>
      <c r="G10088" t="s">
        <v>21</v>
      </c>
    </row>
    <row r="10089" spans="1:7">
      <c r="A10089">
        <v>10088</v>
      </c>
      <c r="B10089" t="str">
        <f>"007654"</f>
        <v>0</v>
      </c>
      <c r="C10089" t="s">
        <v>3812</v>
      </c>
      <c r="D10089" t="s">
        <v>15234</v>
      </c>
      <c r="E10089" t="str">
        <f>"3720901105714"</f>
        <v>0</v>
      </c>
      <c r="F10089" t="str">
        <f>"001800"</f>
        <v>0</v>
      </c>
      <c r="G10089" t="s">
        <v>21</v>
      </c>
    </row>
    <row r="10090" spans="1:7">
      <c r="A10090">
        <v>10089</v>
      </c>
      <c r="B10090" t="str">
        <f>"007656"</f>
        <v>0</v>
      </c>
      <c r="C10090" t="s">
        <v>4059</v>
      </c>
      <c r="D10090" t="s">
        <v>15235</v>
      </c>
      <c r="E10090" t="str">
        <f>"3720200087272"</f>
        <v>0</v>
      </c>
      <c r="F10090" t="str">
        <f>"001800"</f>
        <v>0</v>
      </c>
      <c r="G10090" t="s">
        <v>21</v>
      </c>
    </row>
    <row r="10091" spans="1:7">
      <c r="A10091">
        <v>10090</v>
      </c>
      <c r="B10091" t="str">
        <f>"007788"</f>
        <v>0</v>
      </c>
      <c r="C10091" t="s">
        <v>11383</v>
      </c>
      <c r="D10091" t="s">
        <v>15236</v>
      </c>
      <c r="E10091" t="str">
        <f>"3709900041508"</f>
        <v>0</v>
      </c>
      <c r="F10091" t="str">
        <f>"001800"</f>
        <v>0</v>
      </c>
      <c r="G10091" t="s">
        <v>21</v>
      </c>
    </row>
    <row r="10092" spans="1:7">
      <c r="A10092">
        <v>10091</v>
      </c>
      <c r="B10092" t="str">
        <f>"008158"</f>
        <v>0</v>
      </c>
      <c r="C10092" t="s">
        <v>9449</v>
      </c>
      <c r="D10092" t="s">
        <v>12434</v>
      </c>
      <c r="E10092" t="str">
        <f>"3310300766507"</f>
        <v>0</v>
      </c>
      <c r="F10092" t="str">
        <f>"001800"</f>
        <v>0</v>
      </c>
      <c r="G10092" t="s">
        <v>21</v>
      </c>
    </row>
    <row r="10093" spans="1:7">
      <c r="A10093">
        <v>10092</v>
      </c>
      <c r="B10093" t="str">
        <f>"008641"</f>
        <v>0</v>
      </c>
      <c r="C10093" t="s">
        <v>341</v>
      </c>
      <c r="D10093" t="s">
        <v>15237</v>
      </c>
      <c r="E10093" t="str">
        <f>"3700700849325"</f>
        <v>0</v>
      </c>
      <c r="F10093" t="str">
        <f>"001800"</f>
        <v>0</v>
      </c>
      <c r="G10093" t="s">
        <v>21</v>
      </c>
    </row>
    <row r="10094" spans="1:7">
      <c r="A10094">
        <v>10093</v>
      </c>
      <c r="B10094" t="str">
        <f>"008829"</f>
        <v>0</v>
      </c>
      <c r="C10094" t="s">
        <v>15093</v>
      </c>
      <c r="D10094" t="s">
        <v>5182</v>
      </c>
      <c r="E10094" t="str">
        <f>"3100400689867"</f>
        <v>0</v>
      </c>
      <c r="F10094" t="str">
        <f>"001800"</f>
        <v>0</v>
      </c>
      <c r="G10094" t="s">
        <v>21</v>
      </c>
    </row>
    <row r="10095" spans="1:7">
      <c r="A10095">
        <v>10094</v>
      </c>
      <c r="B10095" t="str">
        <f>"009063"</f>
        <v>0</v>
      </c>
      <c r="C10095" t="s">
        <v>1849</v>
      </c>
      <c r="D10095" t="s">
        <v>15238</v>
      </c>
      <c r="E10095" t="str">
        <f>"3720800416323"</f>
        <v>0</v>
      </c>
      <c r="F10095" t="str">
        <f>"001800"</f>
        <v>0</v>
      </c>
      <c r="G10095" t="s">
        <v>21</v>
      </c>
    </row>
    <row r="10096" spans="1:7">
      <c r="A10096">
        <v>10095</v>
      </c>
      <c r="B10096" t="str">
        <f>"009272"</f>
        <v>0</v>
      </c>
      <c r="C10096" t="s">
        <v>2216</v>
      </c>
      <c r="D10096" t="s">
        <v>8963</v>
      </c>
      <c r="E10096" t="str">
        <f>"3729800010406"</f>
        <v>0</v>
      </c>
      <c r="F10096" t="str">
        <f>"001800"</f>
        <v>0</v>
      </c>
      <c r="G10096" t="s">
        <v>21</v>
      </c>
    </row>
    <row r="10097" spans="1:7">
      <c r="A10097">
        <v>10096</v>
      </c>
      <c r="B10097" t="str">
        <f>"009362"</f>
        <v>0</v>
      </c>
      <c r="C10097" t="s">
        <v>15239</v>
      </c>
      <c r="D10097" t="s">
        <v>1010</v>
      </c>
      <c r="E10097" t="str">
        <f>"3810100326606"</f>
        <v>0</v>
      </c>
      <c r="F10097" t="str">
        <f>"001800"</f>
        <v>0</v>
      </c>
      <c r="G10097" t="s">
        <v>21</v>
      </c>
    </row>
    <row r="10098" spans="1:7">
      <c r="A10098">
        <v>10097</v>
      </c>
      <c r="B10098" t="str">
        <f>"009697"</f>
        <v>0</v>
      </c>
      <c r="C10098" t="s">
        <v>3765</v>
      </c>
      <c r="D10098" t="s">
        <v>15216</v>
      </c>
      <c r="E10098" t="str">
        <f>"3720101120328"</f>
        <v>0</v>
      </c>
      <c r="F10098" t="str">
        <f>"001800"</f>
        <v>0</v>
      </c>
      <c r="G10098" t="s">
        <v>21</v>
      </c>
    </row>
    <row r="10099" spans="1:7">
      <c r="A10099">
        <v>10098</v>
      </c>
      <c r="B10099" t="str">
        <f>"009699"</f>
        <v>0</v>
      </c>
      <c r="C10099" t="s">
        <v>15240</v>
      </c>
      <c r="D10099" t="s">
        <v>15241</v>
      </c>
      <c r="E10099" t="str">
        <f>"3411800098759"</f>
        <v>0</v>
      </c>
      <c r="F10099" t="str">
        <f>"001800"</f>
        <v>0</v>
      </c>
      <c r="G10099" t="s">
        <v>21</v>
      </c>
    </row>
    <row r="10100" spans="1:7">
      <c r="A10100">
        <v>10099</v>
      </c>
      <c r="B10100" t="str">
        <f>"010255"</f>
        <v>0</v>
      </c>
      <c r="C10100" t="s">
        <v>2733</v>
      </c>
      <c r="D10100" t="s">
        <v>15242</v>
      </c>
      <c r="E10100" t="str">
        <f>"3720900642767"</f>
        <v>0</v>
      </c>
      <c r="F10100" t="str">
        <f>"001800"</f>
        <v>0</v>
      </c>
      <c r="G10100" t="s">
        <v>21</v>
      </c>
    </row>
    <row r="10101" spans="1:7">
      <c r="A10101">
        <v>10100</v>
      </c>
      <c r="B10101" t="str">
        <f>"010584"</f>
        <v>0</v>
      </c>
      <c r="C10101" t="s">
        <v>470</v>
      </c>
      <c r="D10101" t="s">
        <v>15243</v>
      </c>
      <c r="E10101" t="str">
        <f>"3720500043751"</f>
        <v>0</v>
      </c>
      <c r="F10101" t="str">
        <f>"001800"</f>
        <v>0</v>
      </c>
      <c r="G10101" t="s">
        <v>21</v>
      </c>
    </row>
    <row r="10102" spans="1:7">
      <c r="A10102">
        <v>10101</v>
      </c>
      <c r="B10102" t="str">
        <f>"010658"</f>
        <v>0</v>
      </c>
      <c r="C10102" t="s">
        <v>311</v>
      </c>
      <c r="D10102" t="s">
        <v>15244</v>
      </c>
      <c r="E10102" t="str">
        <f>"3720400024894"</f>
        <v>0</v>
      </c>
      <c r="F10102" t="str">
        <f>"001800"</f>
        <v>0</v>
      </c>
      <c r="G10102" t="s">
        <v>21</v>
      </c>
    </row>
    <row r="10103" spans="1:7">
      <c r="A10103">
        <v>10102</v>
      </c>
      <c r="B10103" t="str">
        <f>"011023"</f>
        <v>0</v>
      </c>
      <c r="C10103" t="s">
        <v>4757</v>
      </c>
      <c r="D10103" t="s">
        <v>15245</v>
      </c>
      <c r="E10103" t="str">
        <f>"3720800280057"</f>
        <v>0</v>
      </c>
      <c r="F10103" t="str">
        <f>"001800"</f>
        <v>0</v>
      </c>
      <c r="G10103" t="s">
        <v>21</v>
      </c>
    </row>
    <row r="10104" spans="1:7">
      <c r="A10104">
        <v>10103</v>
      </c>
      <c r="B10104" t="str">
        <f>"011375"</f>
        <v>0</v>
      </c>
      <c r="C10104" t="s">
        <v>1553</v>
      </c>
      <c r="D10104" t="s">
        <v>9997</v>
      </c>
      <c r="E10104" t="str">
        <f>"3720100255386"</f>
        <v>0</v>
      </c>
      <c r="F10104" t="str">
        <f>"001800"</f>
        <v>0</v>
      </c>
      <c r="G10104" t="s">
        <v>21</v>
      </c>
    </row>
    <row r="10105" spans="1:7">
      <c r="A10105">
        <v>10104</v>
      </c>
      <c r="B10105" t="str">
        <f>"011510"</f>
        <v>0</v>
      </c>
      <c r="C10105" t="s">
        <v>5286</v>
      </c>
      <c r="D10105" t="s">
        <v>8168</v>
      </c>
      <c r="E10105" t="str">
        <f>"3101900768627"</f>
        <v>0</v>
      </c>
      <c r="F10105" t="str">
        <f>"001800"</f>
        <v>0</v>
      </c>
      <c r="G10105" t="s">
        <v>21</v>
      </c>
    </row>
    <row r="10106" spans="1:7">
      <c r="A10106">
        <v>10105</v>
      </c>
      <c r="B10106" t="str">
        <f>"012093"</f>
        <v>0</v>
      </c>
      <c r="C10106" t="s">
        <v>6170</v>
      </c>
      <c r="D10106" t="s">
        <v>15246</v>
      </c>
      <c r="E10106" t="str">
        <f>"3140400009505"</f>
        <v>0</v>
      </c>
      <c r="F10106" t="str">
        <f>"001800"</f>
        <v>0</v>
      </c>
      <c r="G10106" t="s">
        <v>21</v>
      </c>
    </row>
    <row r="10107" spans="1:7">
      <c r="A10107">
        <v>10106</v>
      </c>
      <c r="B10107" t="str">
        <f>"012137"</f>
        <v>0</v>
      </c>
      <c r="C10107" t="s">
        <v>3823</v>
      </c>
      <c r="D10107" t="s">
        <v>13290</v>
      </c>
      <c r="E10107" t="str">
        <f>"3720200067549"</f>
        <v>0</v>
      </c>
      <c r="F10107" t="str">
        <f>"001800"</f>
        <v>0</v>
      </c>
      <c r="G10107" t="s">
        <v>21</v>
      </c>
    </row>
    <row r="10108" spans="1:7">
      <c r="A10108">
        <v>10107</v>
      </c>
      <c r="B10108" t="str">
        <f>"012978"</f>
        <v>0</v>
      </c>
      <c r="C10108" t="s">
        <v>1880</v>
      </c>
      <c r="D10108" t="s">
        <v>14968</v>
      </c>
      <c r="E10108" t="str">
        <f>"3729900209603"</f>
        <v>0</v>
      </c>
      <c r="F10108" t="str">
        <f>"001800"</f>
        <v>0</v>
      </c>
      <c r="G10108" t="s">
        <v>21</v>
      </c>
    </row>
    <row r="10109" spans="1:7">
      <c r="A10109">
        <v>10108</v>
      </c>
      <c r="B10109" t="str">
        <f>"013076"</f>
        <v>0</v>
      </c>
      <c r="C10109" t="s">
        <v>32</v>
      </c>
      <c r="D10109" t="s">
        <v>12771</v>
      </c>
      <c r="E10109" t="str">
        <f>"3710500558793"</f>
        <v>0</v>
      </c>
      <c r="F10109" t="str">
        <f>"001800"</f>
        <v>0</v>
      </c>
      <c r="G10109" t="s">
        <v>21</v>
      </c>
    </row>
    <row r="10110" spans="1:7">
      <c r="A10110">
        <v>10109</v>
      </c>
      <c r="B10110" t="str">
        <f>"013170"</f>
        <v>0</v>
      </c>
      <c r="C10110" t="s">
        <v>1777</v>
      </c>
      <c r="D10110" t="s">
        <v>15247</v>
      </c>
      <c r="E10110" t="str">
        <f>"3720500170299"</f>
        <v>0</v>
      </c>
      <c r="F10110" t="str">
        <f>"001800"</f>
        <v>0</v>
      </c>
      <c r="G10110" t="s">
        <v>21</v>
      </c>
    </row>
    <row r="10111" spans="1:7">
      <c r="A10111">
        <v>10110</v>
      </c>
      <c r="B10111" t="str">
        <f>"014056"</f>
        <v>0</v>
      </c>
      <c r="C10111" t="s">
        <v>130</v>
      </c>
      <c r="D10111" t="s">
        <v>15248</v>
      </c>
      <c r="E10111" t="str">
        <f>"3720700092551"</f>
        <v>0</v>
      </c>
      <c r="F10111" t="str">
        <f>"001800"</f>
        <v>0</v>
      </c>
      <c r="G10111" t="s">
        <v>21</v>
      </c>
    </row>
    <row r="10112" spans="1:7">
      <c r="A10112">
        <v>10111</v>
      </c>
      <c r="B10112" t="str">
        <f>"014058"</f>
        <v>0</v>
      </c>
      <c r="C10112" t="s">
        <v>1819</v>
      </c>
      <c r="D10112" t="s">
        <v>15249</v>
      </c>
      <c r="E10112" t="str">
        <f>"3729900061801"</f>
        <v>0</v>
      </c>
      <c r="F10112" t="str">
        <f>"001800"</f>
        <v>0</v>
      </c>
      <c r="G10112" t="s">
        <v>21</v>
      </c>
    </row>
    <row r="10113" spans="1:7">
      <c r="A10113">
        <v>10112</v>
      </c>
      <c r="B10113" t="str">
        <f>"014104"</f>
        <v>0</v>
      </c>
      <c r="C10113" t="s">
        <v>6713</v>
      </c>
      <c r="D10113" t="s">
        <v>15250</v>
      </c>
      <c r="E10113" t="str">
        <f>"3720900949617"</f>
        <v>0</v>
      </c>
      <c r="F10113" t="str">
        <f>"001800"</f>
        <v>0</v>
      </c>
      <c r="G10113" t="s">
        <v>21</v>
      </c>
    </row>
    <row r="10114" spans="1:7">
      <c r="A10114">
        <v>10113</v>
      </c>
      <c r="B10114" t="str">
        <f>"014183"</f>
        <v>0</v>
      </c>
      <c r="C10114" t="s">
        <v>2815</v>
      </c>
      <c r="D10114" t="s">
        <v>777</v>
      </c>
      <c r="E10114" t="str">
        <f>"3829900049621"</f>
        <v>0</v>
      </c>
      <c r="F10114" t="str">
        <f>"001800"</f>
        <v>0</v>
      </c>
      <c r="G10114" t="s">
        <v>21</v>
      </c>
    </row>
    <row r="10115" spans="1:7">
      <c r="A10115">
        <v>10114</v>
      </c>
      <c r="B10115" t="str">
        <f>"015021"</f>
        <v>0</v>
      </c>
      <c r="C10115" t="s">
        <v>2785</v>
      </c>
      <c r="D10115" t="s">
        <v>15251</v>
      </c>
      <c r="E10115" t="str">
        <f>"3720700112209"</f>
        <v>0</v>
      </c>
      <c r="F10115" t="str">
        <f>"001800"</f>
        <v>0</v>
      </c>
      <c r="G10115" t="s">
        <v>21</v>
      </c>
    </row>
    <row r="10116" spans="1:7">
      <c r="A10116">
        <v>10115</v>
      </c>
      <c r="B10116" t="str">
        <f>"015920"</f>
        <v>0</v>
      </c>
      <c r="C10116" t="s">
        <v>4118</v>
      </c>
      <c r="D10116" t="s">
        <v>15232</v>
      </c>
      <c r="E10116" t="str">
        <f>"3720500111021"</f>
        <v>0</v>
      </c>
      <c r="F10116" t="str">
        <f>"001800"</f>
        <v>0</v>
      </c>
      <c r="G10116" t="s">
        <v>21</v>
      </c>
    </row>
    <row r="10117" spans="1:7">
      <c r="A10117">
        <v>10116</v>
      </c>
      <c r="B10117" t="str">
        <f>"016261"</f>
        <v>0</v>
      </c>
      <c r="C10117" t="s">
        <v>8512</v>
      </c>
      <c r="D10117" t="s">
        <v>15252</v>
      </c>
      <c r="E10117" t="str">
        <f>"3729900262741"</f>
        <v>0</v>
      </c>
      <c r="F10117" t="str">
        <f>"001800"</f>
        <v>0</v>
      </c>
      <c r="G10117" t="s">
        <v>21</v>
      </c>
    </row>
    <row r="10118" spans="1:7">
      <c r="A10118">
        <v>10117</v>
      </c>
      <c r="B10118" t="str">
        <f>"016858"</f>
        <v>0</v>
      </c>
      <c r="C10118" t="s">
        <v>15253</v>
      </c>
      <c r="D10118" t="s">
        <v>15254</v>
      </c>
      <c r="E10118" t="str">
        <f>"3170300254842"</f>
        <v>0</v>
      </c>
      <c r="F10118" t="str">
        <f>"001800"</f>
        <v>0</v>
      </c>
      <c r="G10118" t="s">
        <v>21</v>
      </c>
    </row>
    <row r="10119" spans="1:7">
      <c r="A10119">
        <v>10118</v>
      </c>
      <c r="B10119" t="str">
        <f>"017558"</f>
        <v>0</v>
      </c>
      <c r="C10119" t="s">
        <v>1634</v>
      </c>
      <c r="D10119" t="s">
        <v>9565</v>
      </c>
      <c r="E10119" t="str">
        <f>"3841500097761"</f>
        <v>0</v>
      </c>
      <c r="F10119" t="str">
        <f>"001800"</f>
        <v>0</v>
      </c>
      <c r="G10119" t="s">
        <v>21</v>
      </c>
    </row>
    <row r="10120" spans="1:7">
      <c r="A10120">
        <v>10119</v>
      </c>
      <c r="B10120" t="str">
        <f>"018092"</f>
        <v>0</v>
      </c>
      <c r="C10120" t="s">
        <v>837</v>
      </c>
      <c r="D10120" t="s">
        <v>15255</v>
      </c>
      <c r="E10120" t="str">
        <f>"3810400276183"</f>
        <v>0</v>
      </c>
      <c r="F10120" t="str">
        <f>"001800"</f>
        <v>0</v>
      </c>
      <c r="G10120" t="s">
        <v>21</v>
      </c>
    </row>
    <row r="10121" spans="1:7">
      <c r="A10121">
        <v>10120</v>
      </c>
      <c r="B10121" t="str">
        <f>"019797"</f>
        <v>0</v>
      </c>
      <c r="C10121" t="s">
        <v>6686</v>
      </c>
      <c r="D10121" t="s">
        <v>15256</v>
      </c>
      <c r="E10121" t="str">
        <f>"3779900037641"</f>
        <v>0</v>
      </c>
      <c r="F10121" t="str">
        <f>"001800"</f>
        <v>0</v>
      </c>
      <c r="G10121" t="s">
        <v>21</v>
      </c>
    </row>
    <row r="10122" spans="1:7">
      <c r="A10122">
        <v>10121</v>
      </c>
      <c r="B10122" t="str">
        <f>"024715"</f>
        <v>0</v>
      </c>
      <c r="C10122" t="s">
        <v>5803</v>
      </c>
      <c r="D10122" t="s">
        <v>15257</v>
      </c>
      <c r="E10122" t="str">
        <f>"3770200053378"</f>
        <v>0</v>
      </c>
      <c r="F10122" t="str">
        <f>"001800"</f>
        <v>0</v>
      </c>
      <c r="G10122" t="s">
        <v>21</v>
      </c>
    </row>
    <row r="10123" spans="1:7">
      <c r="A10123">
        <v>10122</v>
      </c>
      <c r="B10123" t="str">
        <f>"005807"</f>
        <v>0</v>
      </c>
      <c r="C10123" t="s">
        <v>7241</v>
      </c>
      <c r="D10123" t="s">
        <v>15258</v>
      </c>
      <c r="E10123" t="str">
        <f>"3101203675457"</f>
        <v>0</v>
      </c>
      <c r="F10123" t="str">
        <f>"001800"</f>
        <v>0</v>
      </c>
      <c r="G10123" t="s">
        <v>21</v>
      </c>
    </row>
    <row r="10124" spans="1:7">
      <c r="A10124">
        <v>10123</v>
      </c>
      <c r="B10124" t="str">
        <f>"007705"</f>
        <v>0</v>
      </c>
      <c r="C10124" t="s">
        <v>15259</v>
      </c>
      <c r="D10124" t="s">
        <v>6692</v>
      </c>
      <c r="E10124" t="str">
        <f>"3720800167731"</f>
        <v>0</v>
      </c>
      <c r="F10124" t="str">
        <f>"001800"</f>
        <v>0</v>
      </c>
      <c r="G10124" t="s">
        <v>21</v>
      </c>
    </row>
    <row r="10125" spans="1:7">
      <c r="A10125">
        <v>10124</v>
      </c>
      <c r="B10125" t="str">
        <f>"009910"</f>
        <v>0</v>
      </c>
      <c r="C10125" t="s">
        <v>3913</v>
      </c>
      <c r="D10125" t="s">
        <v>8909</v>
      </c>
      <c r="E10125" t="str">
        <f>"3729900247025"</f>
        <v>0</v>
      </c>
      <c r="F10125" t="str">
        <f>"001800"</f>
        <v>0</v>
      </c>
      <c r="G10125" t="s">
        <v>21</v>
      </c>
    </row>
    <row r="10126" spans="1:7">
      <c r="A10126">
        <v>10125</v>
      </c>
      <c r="B10126" t="str">
        <f>"010882"</f>
        <v>0</v>
      </c>
      <c r="C10126" t="s">
        <v>5427</v>
      </c>
      <c r="D10126" t="s">
        <v>15260</v>
      </c>
      <c r="E10126" t="str">
        <f>"3729900251014"</f>
        <v>0</v>
      </c>
      <c r="F10126" t="str">
        <f>"001800"</f>
        <v>0</v>
      </c>
      <c r="G10126" t="s">
        <v>21</v>
      </c>
    </row>
    <row r="10127" spans="1:7">
      <c r="A10127">
        <v>10126</v>
      </c>
      <c r="B10127" t="str">
        <f>"015957"</f>
        <v>0</v>
      </c>
      <c r="C10127" t="s">
        <v>15261</v>
      </c>
      <c r="D10127" t="s">
        <v>15262</v>
      </c>
      <c r="E10127" t="str">
        <f>"3720100717771"</f>
        <v>0</v>
      </c>
      <c r="F10127" t="str">
        <f>"001800"</f>
        <v>0</v>
      </c>
      <c r="G10127" t="s">
        <v>21</v>
      </c>
    </row>
    <row r="10128" spans="1:7">
      <c r="A10128">
        <v>10127</v>
      </c>
      <c r="B10128" t="str">
        <f>"016540"</f>
        <v>0</v>
      </c>
      <c r="C10128" t="s">
        <v>3638</v>
      </c>
      <c r="D10128" t="s">
        <v>15263</v>
      </c>
      <c r="E10128" t="str">
        <f>"3720600290083"</f>
        <v>0</v>
      </c>
      <c r="F10128" t="str">
        <f>"001800"</f>
        <v>0</v>
      </c>
      <c r="G10128" t="s">
        <v>21</v>
      </c>
    </row>
    <row r="10129" spans="1:7">
      <c r="A10129">
        <v>10128</v>
      </c>
      <c r="B10129" t="str">
        <f>"007055"</f>
        <v>0</v>
      </c>
      <c r="C10129" t="s">
        <v>15264</v>
      </c>
      <c r="D10129" t="s">
        <v>15265</v>
      </c>
      <c r="E10129" t="str">
        <f>"3720600329699"</f>
        <v>0</v>
      </c>
      <c r="F10129" t="str">
        <f>"001800"</f>
        <v>0</v>
      </c>
      <c r="G10129" t="s">
        <v>21</v>
      </c>
    </row>
    <row r="10130" spans="1:7">
      <c r="A10130">
        <v>10129</v>
      </c>
      <c r="B10130" t="str">
        <f>"014057"</f>
        <v>0</v>
      </c>
      <c r="C10130" t="s">
        <v>2331</v>
      </c>
      <c r="D10130" t="s">
        <v>15249</v>
      </c>
      <c r="E10130" t="str">
        <f>"3729900061771"</f>
        <v>0</v>
      </c>
      <c r="F10130" t="str">
        <f>"001800"</f>
        <v>0</v>
      </c>
      <c r="G10130" t="s">
        <v>21</v>
      </c>
    </row>
    <row r="10131" spans="1:7">
      <c r="A10131">
        <v>10130</v>
      </c>
      <c r="B10131" t="str">
        <f>"013229"</f>
        <v>0</v>
      </c>
      <c r="C10131" t="s">
        <v>3082</v>
      </c>
      <c r="D10131" t="s">
        <v>14440</v>
      </c>
      <c r="E10131" t="str">
        <f>"3900900402284"</f>
        <v>0</v>
      </c>
      <c r="F10131" t="str">
        <f>"001800"</f>
        <v>0</v>
      </c>
      <c r="G10131" t="s">
        <v>21</v>
      </c>
    </row>
    <row r="10132" spans="1:7">
      <c r="A10132">
        <v>10131</v>
      </c>
      <c r="B10132" t="str">
        <f>"022146"</f>
        <v>0</v>
      </c>
      <c r="C10132" t="s">
        <v>15266</v>
      </c>
      <c r="D10132" t="s">
        <v>15267</v>
      </c>
      <c r="E10132" t="str">
        <f>"3720500431084"</f>
        <v>0</v>
      </c>
      <c r="F10132" t="str">
        <f>"001800"</f>
        <v>0</v>
      </c>
      <c r="G10132" t="s">
        <v>21</v>
      </c>
    </row>
    <row r="10133" spans="1:7">
      <c r="A10133">
        <v>10132</v>
      </c>
      <c r="B10133" t="str">
        <f>"021111"</f>
        <v>0</v>
      </c>
      <c r="C10133" t="s">
        <v>2994</v>
      </c>
      <c r="D10133" t="s">
        <v>15268</v>
      </c>
      <c r="E10133" t="str">
        <f>"3102200808619"</f>
        <v>0</v>
      </c>
      <c r="F10133" t="str">
        <f>"001800"</f>
        <v>0</v>
      </c>
      <c r="G10133" t="s">
        <v>21</v>
      </c>
    </row>
    <row r="10134" spans="1:7">
      <c r="A10134">
        <v>10133</v>
      </c>
      <c r="B10134" t="str">
        <f>"026823"</f>
        <v>0</v>
      </c>
      <c r="C10134" t="s">
        <v>15269</v>
      </c>
      <c r="D10134" t="s">
        <v>15270</v>
      </c>
      <c r="E10134" t="str">
        <f>"1101401510237"</f>
        <v>0</v>
      </c>
      <c r="F10134" t="str">
        <f>"001800"</f>
        <v>0</v>
      </c>
      <c r="G10134" t="s">
        <v>21</v>
      </c>
    </row>
    <row r="10135" spans="1:7">
      <c r="A10135">
        <v>10134</v>
      </c>
      <c r="B10135" t="str">
        <f>"010346"</f>
        <v>0</v>
      </c>
      <c r="C10135" t="s">
        <v>15271</v>
      </c>
      <c r="D10135" t="s">
        <v>1587</v>
      </c>
      <c r="E10135" t="str">
        <f>"3720400503423"</f>
        <v>0</v>
      </c>
      <c r="F10135" t="str">
        <f>"001800"</f>
        <v>0</v>
      </c>
      <c r="G10135" t="s">
        <v>21</v>
      </c>
    </row>
    <row r="10136" spans="1:7">
      <c r="A10136">
        <v>10135</v>
      </c>
      <c r="B10136" t="str">
        <f>"023342"</f>
        <v>0</v>
      </c>
      <c r="C10136" t="s">
        <v>15272</v>
      </c>
      <c r="D10136" t="s">
        <v>15273</v>
      </c>
      <c r="E10136" t="str">
        <f>"3720100740535"</f>
        <v>0</v>
      </c>
      <c r="F10136" t="str">
        <f>"001800"</f>
        <v>0</v>
      </c>
      <c r="G10136" t="s">
        <v>21</v>
      </c>
    </row>
    <row r="10137" spans="1:7">
      <c r="A10137">
        <v>10136</v>
      </c>
      <c r="B10137" t="str">
        <f>"026240"</f>
        <v>0</v>
      </c>
      <c r="C10137" t="s">
        <v>15274</v>
      </c>
      <c r="D10137" t="s">
        <v>15275</v>
      </c>
      <c r="E10137" t="str">
        <f>"1100200432807"</f>
        <v>0</v>
      </c>
      <c r="F10137" t="str">
        <f>"001800"</f>
        <v>0</v>
      </c>
      <c r="G10137" t="s">
        <v>21</v>
      </c>
    </row>
    <row r="10138" spans="1:7">
      <c r="A10138">
        <v>10137</v>
      </c>
      <c r="B10138" t="str">
        <f>"026242"</f>
        <v>0</v>
      </c>
      <c r="C10138" t="s">
        <v>1903</v>
      </c>
      <c r="D10138" t="s">
        <v>15276</v>
      </c>
      <c r="E10138" t="str">
        <f>"1100500933348"</f>
        <v>0</v>
      </c>
      <c r="F10138" t="str">
        <f>"001800"</f>
        <v>0</v>
      </c>
      <c r="G10138" t="s">
        <v>21</v>
      </c>
    </row>
    <row r="10139" spans="1:7">
      <c r="A10139">
        <v>10138</v>
      </c>
      <c r="B10139" t="str">
        <f>"017851"</f>
        <v>0</v>
      </c>
      <c r="C10139" t="s">
        <v>1021</v>
      </c>
      <c r="D10139" t="s">
        <v>15277</v>
      </c>
      <c r="E10139" t="str">
        <f>"3140100012641"</f>
        <v>0</v>
      </c>
      <c r="F10139" t="str">
        <f>"001800"</f>
        <v>0</v>
      </c>
      <c r="G10139" t="s">
        <v>21</v>
      </c>
    </row>
    <row r="10140" spans="1:7">
      <c r="A10140">
        <v>10139</v>
      </c>
      <c r="B10140" t="str">
        <f>"019194"</f>
        <v>0</v>
      </c>
      <c r="C10140" t="s">
        <v>655</v>
      </c>
      <c r="D10140" t="s">
        <v>1760</v>
      </c>
      <c r="E10140" t="str">
        <f>"3140300050422"</f>
        <v>0</v>
      </c>
      <c r="F10140" t="str">
        <f>"001800"</f>
        <v>0</v>
      </c>
      <c r="G10140" t="s">
        <v>21</v>
      </c>
    </row>
    <row r="10141" spans="1:7">
      <c r="A10141">
        <v>10140</v>
      </c>
      <c r="B10141" t="str">
        <f>"021815"</f>
        <v>0</v>
      </c>
      <c r="C10141" t="s">
        <v>15278</v>
      </c>
      <c r="D10141" t="s">
        <v>15279</v>
      </c>
      <c r="E10141" t="str">
        <f>"3150100097263"</f>
        <v>0</v>
      </c>
      <c r="F10141" t="str">
        <f>"001800"</f>
        <v>0</v>
      </c>
      <c r="G10141" t="s">
        <v>21</v>
      </c>
    </row>
    <row r="10142" spans="1:7">
      <c r="A10142">
        <v>10141</v>
      </c>
      <c r="B10142" t="str">
        <f>"013897"</f>
        <v>0</v>
      </c>
      <c r="C10142" t="s">
        <v>46</v>
      </c>
      <c r="D10142" t="s">
        <v>15280</v>
      </c>
      <c r="E10142" t="str">
        <f>"5180699005515"</f>
        <v>0</v>
      </c>
      <c r="F10142" t="str">
        <f>"001800"</f>
        <v>0</v>
      </c>
      <c r="G10142" t="s">
        <v>21</v>
      </c>
    </row>
    <row r="10143" spans="1:7">
      <c r="A10143">
        <v>10142</v>
      </c>
      <c r="B10143" t="str">
        <f>"021563"</f>
        <v>0</v>
      </c>
      <c r="C10143" t="s">
        <v>15281</v>
      </c>
      <c r="D10143" t="s">
        <v>15282</v>
      </c>
      <c r="E10143" t="str">
        <f>"3341601303639"</f>
        <v>0</v>
      </c>
      <c r="F10143" t="str">
        <f>"001800"</f>
        <v>0</v>
      </c>
      <c r="G10143" t="s">
        <v>21</v>
      </c>
    </row>
    <row r="10144" spans="1:7">
      <c r="A10144">
        <v>10143</v>
      </c>
      <c r="B10144" t="str">
        <f>"019413"</f>
        <v>0</v>
      </c>
      <c r="C10144" t="s">
        <v>3913</v>
      </c>
      <c r="D10144" t="s">
        <v>15283</v>
      </c>
      <c r="E10144" t="str">
        <f>"3469900184239"</f>
        <v>0</v>
      </c>
      <c r="F10144" t="str">
        <f>"001800"</f>
        <v>0</v>
      </c>
      <c r="G10144" t="s">
        <v>21</v>
      </c>
    </row>
    <row r="10145" spans="1:7">
      <c r="A10145">
        <v>10144</v>
      </c>
      <c r="B10145" t="str">
        <f>"023148"</f>
        <v>0</v>
      </c>
      <c r="C10145" t="s">
        <v>15284</v>
      </c>
      <c r="D10145" t="s">
        <v>6482</v>
      </c>
      <c r="E10145" t="str">
        <f>"3580200082671"</f>
        <v>0</v>
      </c>
      <c r="F10145" t="str">
        <f>"001800"</f>
        <v>0</v>
      </c>
      <c r="G10145" t="s">
        <v>21</v>
      </c>
    </row>
    <row r="10146" spans="1:7">
      <c r="A10146">
        <v>10145</v>
      </c>
      <c r="B10146" t="str">
        <f>"027410"</f>
        <v>0</v>
      </c>
      <c r="C10146" t="s">
        <v>7096</v>
      </c>
      <c r="D10146" t="s">
        <v>9257</v>
      </c>
      <c r="E10146" t="str">
        <f>"3700101037323"</f>
        <v>0</v>
      </c>
      <c r="F10146" t="str">
        <f>"001800"</f>
        <v>0</v>
      </c>
      <c r="G10146" t="s">
        <v>21</v>
      </c>
    </row>
    <row r="10147" spans="1:7">
      <c r="A10147">
        <v>10146</v>
      </c>
      <c r="B10147" t="str">
        <f>"012326"</f>
        <v>0</v>
      </c>
      <c r="C10147" t="s">
        <v>3841</v>
      </c>
      <c r="D10147" t="s">
        <v>15285</v>
      </c>
      <c r="E10147" t="str">
        <f>"3160101808872"</f>
        <v>0</v>
      </c>
      <c r="F10147" t="str">
        <f>"001800"</f>
        <v>0</v>
      </c>
      <c r="G10147" t="s">
        <v>21</v>
      </c>
    </row>
    <row r="10148" spans="1:7">
      <c r="A10148">
        <v>10147</v>
      </c>
      <c r="B10148" t="str">
        <f>"023680"</f>
        <v>0</v>
      </c>
      <c r="C10148" t="s">
        <v>15286</v>
      </c>
      <c r="D10148" t="s">
        <v>11309</v>
      </c>
      <c r="E10148" t="str">
        <f>"1710900088372"</f>
        <v>0</v>
      </c>
      <c r="F10148" t="str">
        <f>"001800"</f>
        <v>0</v>
      </c>
      <c r="G10148" t="s">
        <v>21</v>
      </c>
    </row>
    <row r="10149" spans="1:7">
      <c r="A10149">
        <v>10148</v>
      </c>
      <c r="B10149" t="str">
        <f>"023823"</f>
        <v>0</v>
      </c>
      <c r="C10149" t="s">
        <v>15287</v>
      </c>
      <c r="D10149" t="s">
        <v>15288</v>
      </c>
      <c r="E10149" t="str">
        <f>"1719900136561"</f>
        <v>0</v>
      </c>
      <c r="F10149" t="str">
        <f>"001800"</f>
        <v>0</v>
      </c>
      <c r="G10149" t="s">
        <v>21</v>
      </c>
    </row>
    <row r="10150" spans="1:7">
      <c r="A10150">
        <v>10149</v>
      </c>
      <c r="B10150" t="str">
        <f>"024472"</f>
        <v>0</v>
      </c>
      <c r="C10150" t="s">
        <v>14071</v>
      </c>
      <c r="D10150" t="s">
        <v>6483</v>
      </c>
      <c r="E10150" t="str">
        <f>"5710100041951"</f>
        <v>0</v>
      </c>
      <c r="F10150" t="str">
        <f>"001800"</f>
        <v>0</v>
      </c>
      <c r="G10150" t="s">
        <v>21</v>
      </c>
    </row>
    <row r="10151" spans="1:7">
      <c r="A10151">
        <v>10150</v>
      </c>
      <c r="B10151" t="str">
        <f>"008230"</f>
        <v>0</v>
      </c>
      <c r="C10151" t="s">
        <v>4022</v>
      </c>
      <c r="D10151" t="s">
        <v>9997</v>
      </c>
      <c r="E10151" t="str">
        <f>"3720100255246"</f>
        <v>0</v>
      </c>
      <c r="F10151" t="str">
        <f>"001800"</f>
        <v>0</v>
      </c>
      <c r="G10151" t="s">
        <v>21</v>
      </c>
    </row>
    <row r="10152" spans="1:7">
      <c r="A10152">
        <v>10151</v>
      </c>
      <c r="B10152" t="str">
        <f>"008258"</f>
        <v>0</v>
      </c>
      <c r="C10152" t="s">
        <v>3992</v>
      </c>
      <c r="D10152" t="s">
        <v>15289</v>
      </c>
      <c r="E10152" t="str">
        <f>"3720200624570"</f>
        <v>0</v>
      </c>
      <c r="F10152" t="str">
        <f>"001800"</f>
        <v>0</v>
      </c>
      <c r="G10152" t="s">
        <v>21</v>
      </c>
    </row>
    <row r="10153" spans="1:7">
      <c r="A10153">
        <v>10152</v>
      </c>
      <c r="B10153" t="str">
        <f>"010547"</f>
        <v>0</v>
      </c>
      <c r="C10153" t="s">
        <v>15290</v>
      </c>
      <c r="D10153" t="s">
        <v>15291</v>
      </c>
      <c r="E10153" t="str">
        <f>"3720300065815"</f>
        <v>0</v>
      </c>
      <c r="F10153" t="str">
        <f>"001800"</f>
        <v>0</v>
      </c>
      <c r="G10153" t="s">
        <v>21</v>
      </c>
    </row>
    <row r="10154" spans="1:7">
      <c r="A10154">
        <v>10153</v>
      </c>
      <c r="B10154" t="str">
        <f>"011077"</f>
        <v>0</v>
      </c>
      <c r="C10154" t="s">
        <v>5960</v>
      </c>
      <c r="D10154" t="s">
        <v>15292</v>
      </c>
      <c r="E10154" t="str">
        <f>"3720100662445"</f>
        <v>0</v>
      </c>
      <c r="F10154" t="str">
        <f>"001800"</f>
        <v>0</v>
      </c>
      <c r="G10154" t="s">
        <v>21</v>
      </c>
    </row>
    <row r="10155" spans="1:7">
      <c r="A10155">
        <v>10154</v>
      </c>
      <c r="B10155" t="str">
        <f>"013231"</f>
        <v>0</v>
      </c>
      <c r="C10155" t="s">
        <v>239</v>
      </c>
      <c r="D10155" t="s">
        <v>15293</v>
      </c>
      <c r="E10155" t="str">
        <f>"3720800419934"</f>
        <v>0</v>
      </c>
      <c r="F10155" t="str">
        <f>"001800"</f>
        <v>0</v>
      </c>
      <c r="G10155" t="s">
        <v>21</v>
      </c>
    </row>
    <row r="10156" spans="1:7">
      <c r="A10156">
        <v>10155</v>
      </c>
      <c r="B10156" t="str">
        <f>"015391"</f>
        <v>0</v>
      </c>
      <c r="C10156" t="s">
        <v>15294</v>
      </c>
      <c r="D10156" t="s">
        <v>14968</v>
      </c>
      <c r="E10156" t="str">
        <f>"3759800036103"</f>
        <v>0</v>
      </c>
      <c r="F10156" t="str">
        <f>"001800"</f>
        <v>0</v>
      </c>
      <c r="G10156" t="s">
        <v>21</v>
      </c>
    </row>
    <row r="10157" spans="1:7">
      <c r="A10157">
        <v>10156</v>
      </c>
      <c r="B10157" t="str">
        <f>"015992"</f>
        <v>0</v>
      </c>
      <c r="C10157" t="s">
        <v>458</v>
      </c>
      <c r="D10157" t="s">
        <v>15295</v>
      </c>
      <c r="E10157" t="str">
        <f>"3320300106752"</f>
        <v>0</v>
      </c>
      <c r="F10157" t="str">
        <f>"001800"</f>
        <v>0</v>
      </c>
      <c r="G10157" t="s">
        <v>21</v>
      </c>
    </row>
    <row r="10158" spans="1:7">
      <c r="A10158">
        <v>10157</v>
      </c>
      <c r="B10158" t="str">
        <f>"015993"</f>
        <v>0</v>
      </c>
      <c r="C10158" t="s">
        <v>10876</v>
      </c>
      <c r="D10158" t="s">
        <v>6637</v>
      </c>
      <c r="E10158" t="str">
        <f>"3720900819403"</f>
        <v>0</v>
      </c>
      <c r="F10158" t="str">
        <f>"001800"</f>
        <v>0</v>
      </c>
      <c r="G10158" t="s">
        <v>21</v>
      </c>
    </row>
    <row r="10159" spans="1:7">
      <c r="A10159">
        <v>10158</v>
      </c>
      <c r="B10159" t="str">
        <f>"016063"</f>
        <v>0</v>
      </c>
      <c r="C10159" t="s">
        <v>15296</v>
      </c>
      <c r="D10159" t="s">
        <v>15297</v>
      </c>
      <c r="E10159" t="str">
        <f>"3729800086194"</f>
        <v>0</v>
      </c>
      <c r="F10159" t="str">
        <f>"001800"</f>
        <v>0</v>
      </c>
      <c r="G10159" t="s">
        <v>21</v>
      </c>
    </row>
    <row r="10160" spans="1:7">
      <c r="A10160">
        <v>10159</v>
      </c>
      <c r="B10160" t="str">
        <f>"016219"</f>
        <v>0</v>
      </c>
      <c r="C10160" t="s">
        <v>260</v>
      </c>
      <c r="D10160" t="s">
        <v>15298</v>
      </c>
      <c r="E10160" t="str">
        <f>"3140300021180"</f>
        <v>0</v>
      </c>
      <c r="F10160" t="str">
        <f>"001800"</f>
        <v>0</v>
      </c>
      <c r="G10160" t="s">
        <v>21</v>
      </c>
    </row>
    <row r="10161" spans="1:7">
      <c r="A10161">
        <v>10160</v>
      </c>
      <c r="B10161" t="str">
        <f>"016479"</f>
        <v>0</v>
      </c>
      <c r="C10161" t="s">
        <v>442</v>
      </c>
      <c r="D10161" t="s">
        <v>15298</v>
      </c>
      <c r="E10161" t="str">
        <f>"3720100901946"</f>
        <v>0</v>
      </c>
      <c r="F10161" t="str">
        <f>"001800"</f>
        <v>0</v>
      </c>
      <c r="G10161" t="s">
        <v>21</v>
      </c>
    </row>
    <row r="10162" spans="1:7">
      <c r="A10162">
        <v>10161</v>
      </c>
      <c r="B10162" t="str">
        <f>"016488"</f>
        <v>0</v>
      </c>
      <c r="C10162" t="s">
        <v>2333</v>
      </c>
      <c r="D10162" t="s">
        <v>15299</v>
      </c>
      <c r="E10162" t="str">
        <f>"3720900745469"</f>
        <v>0</v>
      </c>
      <c r="F10162" t="str">
        <f>"001800"</f>
        <v>0</v>
      </c>
      <c r="G10162" t="s">
        <v>21</v>
      </c>
    </row>
    <row r="10163" spans="1:7">
      <c r="A10163">
        <v>10162</v>
      </c>
      <c r="B10163" t="str">
        <f>"016668"</f>
        <v>0</v>
      </c>
      <c r="C10163" t="s">
        <v>250</v>
      </c>
      <c r="D10163" t="s">
        <v>15300</v>
      </c>
      <c r="E10163" t="str">
        <f>"3930400091484"</f>
        <v>0</v>
      </c>
      <c r="F10163" t="str">
        <f>"001800"</f>
        <v>0</v>
      </c>
      <c r="G10163" t="s">
        <v>21</v>
      </c>
    </row>
    <row r="10164" spans="1:7">
      <c r="A10164">
        <v>10163</v>
      </c>
      <c r="B10164" t="str">
        <f>"017047"</f>
        <v>0</v>
      </c>
      <c r="C10164" t="s">
        <v>15301</v>
      </c>
      <c r="D10164" t="s">
        <v>3779</v>
      </c>
      <c r="E10164" t="str">
        <f>"3720400479786"</f>
        <v>0</v>
      </c>
      <c r="F10164" t="str">
        <f>"001800"</f>
        <v>0</v>
      </c>
      <c r="G10164" t="s">
        <v>21</v>
      </c>
    </row>
    <row r="10165" spans="1:7">
      <c r="A10165">
        <v>10164</v>
      </c>
      <c r="B10165" t="str">
        <f>"017220"</f>
        <v>0</v>
      </c>
      <c r="C10165" t="s">
        <v>15302</v>
      </c>
      <c r="D10165" t="s">
        <v>1932</v>
      </c>
      <c r="E10165" t="str">
        <f>"3769900082352"</f>
        <v>0</v>
      </c>
      <c r="F10165" t="str">
        <f>"001800"</f>
        <v>0</v>
      </c>
      <c r="G10165" t="s">
        <v>21</v>
      </c>
    </row>
    <row r="10166" spans="1:7">
      <c r="A10166">
        <v>10165</v>
      </c>
      <c r="B10166" t="str">
        <f>"017672"</f>
        <v>0</v>
      </c>
      <c r="C10166" t="s">
        <v>433</v>
      </c>
      <c r="D10166" t="s">
        <v>15303</v>
      </c>
      <c r="E10166" t="str">
        <f>"3180500611592"</f>
        <v>0</v>
      </c>
      <c r="F10166" t="str">
        <f>"001800"</f>
        <v>0</v>
      </c>
      <c r="G10166" t="s">
        <v>21</v>
      </c>
    </row>
    <row r="10167" spans="1:7">
      <c r="A10167">
        <v>10166</v>
      </c>
      <c r="B10167" t="str">
        <f>"018906"</f>
        <v>0</v>
      </c>
      <c r="C10167" t="s">
        <v>2239</v>
      </c>
      <c r="D10167" t="s">
        <v>15304</v>
      </c>
      <c r="E10167" t="str">
        <f>"3720200528376"</f>
        <v>0</v>
      </c>
      <c r="F10167" t="str">
        <f>"001800"</f>
        <v>0</v>
      </c>
      <c r="G10167" t="s">
        <v>21</v>
      </c>
    </row>
    <row r="10168" spans="1:7">
      <c r="A10168">
        <v>10167</v>
      </c>
      <c r="B10168" t="str">
        <f>"018975"</f>
        <v>0</v>
      </c>
      <c r="C10168" t="s">
        <v>8482</v>
      </c>
      <c r="D10168" t="s">
        <v>1739</v>
      </c>
      <c r="E10168" t="str">
        <f>"3720100050032"</f>
        <v>0</v>
      </c>
      <c r="F10168" t="str">
        <f>"001800"</f>
        <v>0</v>
      </c>
      <c r="G10168" t="s">
        <v>21</v>
      </c>
    </row>
    <row r="10169" spans="1:7">
      <c r="A10169">
        <v>10168</v>
      </c>
      <c r="B10169" t="str">
        <f>"019087"</f>
        <v>0</v>
      </c>
      <c r="C10169" t="s">
        <v>15305</v>
      </c>
      <c r="D10169" t="s">
        <v>15306</v>
      </c>
      <c r="E10169" t="str">
        <f>"3720800094270"</f>
        <v>0</v>
      </c>
      <c r="F10169" t="str">
        <f>"001800"</f>
        <v>0</v>
      </c>
      <c r="G10169" t="s">
        <v>21</v>
      </c>
    </row>
    <row r="10170" spans="1:7">
      <c r="A10170">
        <v>10169</v>
      </c>
      <c r="B10170" t="str">
        <f>"019522"</f>
        <v>0</v>
      </c>
      <c r="C10170" t="s">
        <v>7140</v>
      </c>
      <c r="D10170" t="s">
        <v>15307</v>
      </c>
      <c r="E10170" t="str">
        <f>"3510200092910"</f>
        <v>0</v>
      </c>
      <c r="F10170" t="str">
        <f>"001800"</f>
        <v>0</v>
      </c>
      <c r="G10170" t="s">
        <v>21</v>
      </c>
    </row>
    <row r="10171" spans="1:7">
      <c r="A10171">
        <v>10170</v>
      </c>
      <c r="B10171" t="str">
        <f>"020517"</f>
        <v>0</v>
      </c>
      <c r="C10171" t="s">
        <v>5633</v>
      </c>
      <c r="D10171" t="s">
        <v>15308</v>
      </c>
      <c r="E10171" t="str">
        <f>"3720400622201"</f>
        <v>0</v>
      </c>
      <c r="F10171" t="str">
        <f>"001800"</f>
        <v>0</v>
      </c>
      <c r="G10171" t="s">
        <v>21</v>
      </c>
    </row>
    <row r="10172" spans="1:7">
      <c r="A10172">
        <v>10171</v>
      </c>
      <c r="B10172" t="str">
        <f>"020520"</f>
        <v>0</v>
      </c>
      <c r="C10172" t="s">
        <v>3799</v>
      </c>
      <c r="D10172" t="s">
        <v>15309</v>
      </c>
      <c r="E10172" t="str">
        <f>"3720900971833"</f>
        <v>0</v>
      </c>
      <c r="F10172" t="str">
        <f>"001800"</f>
        <v>0</v>
      </c>
      <c r="G10172" t="s">
        <v>21</v>
      </c>
    </row>
    <row r="10173" spans="1:7">
      <c r="A10173">
        <v>10172</v>
      </c>
      <c r="B10173" t="str">
        <f>"021311"</f>
        <v>0</v>
      </c>
      <c r="C10173" t="s">
        <v>15310</v>
      </c>
      <c r="D10173" t="s">
        <v>15311</v>
      </c>
      <c r="E10173" t="str">
        <f>"3720300316184"</f>
        <v>0</v>
      </c>
      <c r="F10173" t="str">
        <f>"001800"</f>
        <v>0</v>
      </c>
      <c r="G10173" t="s">
        <v>21</v>
      </c>
    </row>
    <row r="10174" spans="1:7">
      <c r="A10174">
        <v>10173</v>
      </c>
      <c r="B10174" t="str">
        <f>"022580"</f>
        <v>0</v>
      </c>
      <c r="C10174" t="s">
        <v>15312</v>
      </c>
      <c r="D10174" t="s">
        <v>15313</v>
      </c>
      <c r="E10174" t="str">
        <f>"3720500353008"</f>
        <v>0</v>
      </c>
      <c r="F10174" t="str">
        <f>"001800"</f>
        <v>0</v>
      </c>
      <c r="G10174" t="s">
        <v>21</v>
      </c>
    </row>
    <row r="10175" spans="1:7">
      <c r="A10175">
        <v>10174</v>
      </c>
      <c r="B10175" t="str">
        <f>"022588"</f>
        <v>0</v>
      </c>
      <c r="C10175" t="s">
        <v>2149</v>
      </c>
      <c r="D10175" t="s">
        <v>15314</v>
      </c>
      <c r="E10175" t="str">
        <f>"3720700078639"</f>
        <v>0</v>
      </c>
      <c r="F10175" t="str">
        <f>"001800"</f>
        <v>0</v>
      </c>
      <c r="G10175" t="s">
        <v>21</v>
      </c>
    </row>
    <row r="10176" spans="1:7">
      <c r="A10176">
        <v>10175</v>
      </c>
      <c r="B10176" t="str">
        <f>"022607"</f>
        <v>0</v>
      </c>
      <c r="C10176" t="s">
        <v>14327</v>
      </c>
      <c r="D10176" t="s">
        <v>15315</v>
      </c>
      <c r="E10176" t="str">
        <f>"3720600130540"</f>
        <v>0</v>
      </c>
      <c r="F10176" t="str">
        <f>"001800"</f>
        <v>0</v>
      </c>
      <c r="G10176" t="s">
        <v>21</v>
      </c>
    </row>
    <row r="10177" spans="1:7">
      <c r="A10177">
        <v>10176</v>
      </c>
      <c r="B10177" t="str">
        <f>"022814"</f>
        <v>0</v>
      </c>
      <c r="C10177" t="s">
        <v>15316</v>
      </c>
      <c r="D10177" t="s">
        <v>15317</v>
      </c>
      <c r="E10177" t="str">
        <f>"3720600062137"</f>
        <v>0</v>
      </c>
      <c r="F10177" t="str">
        <f>"001800"</f>
        <v>0</v>
      </c>
      <c r="G10177" t="s">
        <v>21</v>
      </c>
    </row>
    <row r="10178" spans="1:7">
      <c r="A10178">
        <v>10177</v>
      </c>
      <c r="B10178" t="str">
        <f>"022909"</f>
        <v>0</v>
      </c>
      <c r="C10178" t="s">
        <v>15318</v>
      </c>
      <c r="D10178" t="s">
        <v>15319</v>
      </c>
      <c r="E10178" t="str">
        <f>"3850300087672"</f>
        <v>0</v>
      </c>
      <c r="F10178" t="str">
        <f>"001800"</f>
        <v>0</v>
      </c>
      <c r="G10178" t="s">
        <v>21</v>
      </c>
    </row>
    <row r="10179" spans="1:7">
      <c r="A10179">
        <v>10178</v>
      </c>
      <c r="B10179" t="str">
        <f>"023473"</f>
        <v>0</v>
      </c>
      <c r="C10179" t="s">
        <v>15320</v>
      </c>
      <c r="D10179" t="s">
        <v>14855</v>
      </c>
      <c r="E10179" t="str">
        <f>"3720800299947"</f>
        <v>0</v>
      </c>
      <c r="F10179" t="str">
        <f>"001800"</f>
        <v>0</v>
      </c>
      <c r="G10179" t="s">
        <v>21</v>
      </c>
    </row>
    <row r="10180" spans="1:7">
      <c r="A10180">
        <v>10179</v>
      </c>
      <c r="B10180" t="str">
        <f>"023538"</f>
        <v>0</v>
      </c>
      <c r="C10180" t="s">
        <v>15321</v>
      </c>
      <c r="D10180" t="s">
        <v>15322</v>
      </c>
      <c r="E10180" t="str">
        <f>"3110100768796"</f>
        <v>0</v>
      </c>
      <c r="F10180" t="str">
        <f>"001800"</f>
        <v>0</v>
      </c>
      <c r="G10180" t="s">
        <v>21</v>
      </c>
    </row>
    <row r="10181" spans="1:7">
      <c r="A10181">
        <v>10180</v>
      </c>
      <c r="B10181" t="str">
        <f>"023764"</f>
        <v>0</v>
      </c>
      <c r="C10181" t="s">
        <v>1097</v>
      </c>
      <c r="D10181" t="s">
        <v>5747</v>
      </c>
      <c r="E10181" t="str">
        <f>"3721000134367"</f>
        <v>0</v>
      </c>
      <c r="F10181" t="str">
        <f>"001800"</f>
        <v>0</v>
      </c>
      <c r="G10181" t="s">
        <v>21</v>
      </c>
    </row>
    <row r="10182" spans="1:7">
      <c r="A10182">
        <v>10181</v>
      </c>
      <c r="B10182" t="str">
        <f>"023807"</f>
        <v>0</v>
      </c>
      <c r="C10182" t="s">
        <v>3404</v>
      </c>
      <c r="D10182" t="s">
        <v>15323</v>
      </c>
      <c r="E10182" t="str">
        <f>"5720600055102"</f>
        <v>0</v>
      </c>
      <c r="F10182" t="str">
        <f>"001800"</f>
        <v>0</v>
      </c>
      <c r="G10182" t="s">
        <v>21</v>
      </c>
    </row>
    <row r="10183" spans="1:7">
      <c r="A10183">
        <v>10182</v>
      </c>
      <c r="B10183" t="str">
        <f>"023910"</f>
        <v>0</v>
      </c>
      <c r="C10183" t="s">
        <v>15324</v>
      </c>
      <c r="D10183" t="s">
        <v>15325</v>
      </c>
      <c r="E10183" t="str">
        <f>"3720100885291"</f>
        <v>0</v>
      </c>
      <c r="F10183" t="str">
        <f>"001800"</f>
        <v>0</v>
      </c>
      <c r="G10183" t="s">
        <v>21</v>
      </c>
    </row>
    <row r="10184" spans="1:7">
      <c r="A10184">
        <v>10183</v>
      </c>
      <c r="B10184" t="str">
        <f>"024149"</f>
        <v>0</v>
      </c>
      <c r="C10184" t="s">
        <v>15326</v>
      </c>
      <c r="D10184" t="s">
        <v>15327</v>
      </c>
      <c r="E10184" t="str">
        <f>"3720200395074"</f>
        <v>0</v>
      </c>
      <c r="F10184" t="str">
        <f>"001800"</f>
        <v>0</v>
      </c>
      <c r="G10184" t="s">
        <v>21</v>
      </c>
    </row>
    <row r="10185" spans="1:7">
      <c r="A10185">
        <v>10184</v>
      </c>
      <c r="B10185" t="str">
        <f>"024415"</f>
        <v>0</v>
      </c>
      <c r="C10185" t="s">
        <v>15328</v>
      </c>
      <c r="D10185" t="s">
        <v>9307</v>
      </c>
      <c r="E10185" t="str">
        <f>"1729900153296"</f>
        <v>0</v>
      </c>
      <c r="F10185" t="str">
        <f>"001800"</f>
        <v>0</v>
      </c>
      <c r="G10185" t="s">
        <v>21</v>
      </c>
    </row>
    <row r="10186" spans="1:7">
      <c r="A10186">
        <v>10185</v>
      </c>
      <c r="B10186" t="str">
        <f>"024882"</f>
        <v>0</v>
      </c>
      <c r="C10186" t="s">
        <v>11806</v>
      </c>
      <c r="D10186" t="s">
        <v>15329</v>
      </c>
      <c r="E10186" t="str">
        <f>"3721000280398"</f>
        <v>0</v>
      </c>
      <c r="F10186" t="str">
        <f>"001800"</f>
        <v>0</v>
      </c>
      <c r="G10186" t="s">
        <v>21</v>
      </c>
    </row>
    <row r="10187" spans="1:7">
      <c r="A10187">
        <v>10186</v>
      </c>
      <c r="B10187" t="str">
        <f>"025168"</f>
        <v>0</v>
      </c>
      <c r="C10187" t="s">
        <v>4003</v>
      </c>
      <c r="D10187" t="s">
        <v>15330</v>
      </c>
      <c r="E10187" t="str">
        <f>"3720900204522"</f>
        <v>0</v>
      </c>
      <c r="F10187" t="str">
        <f>"001800"</f>
        <v>0</v>
      </c>
      <c r="G10187" t="s">
        <v>21</v>
      </c>
    </row>
    <row r="10188" spans="1:7">
      <c r="A10188">
        <v>10187</v>
      </c>
      <c r="B10188" t="str">
        <f>"025345"</f>
        <v>0</v>
      </c>
      <c r="C10188" t="s">
        <v>15331</v>
      </c>
      <c r="D10188" t="s">
        <v>14393</v>
      </c>
      <c r="E10188" t="str">
        <f>"1729900030691"</f>
        <v>0</v>
      </c>
      <c r="F10188" t="str">
        <f>"001800"</f>
        <v>0</v>
      </c>
      <c r="G10188" t="s">
        <v>21</v>
      </c>
    </row>
    <row r="10189" spans="1:7">
      <c r="A10189">
        <v>10188</v>
      </c>
      <c r="B10189" t="str">
        <f>"026129"</f>
        <v>0</v>
      </c>
      <c r="C10189" t="s">
        <v>15332</v>
      </c>
      <c r="D10189" t="s">
        <v>15333</v>
      </c>
      <c r="E10189" t="str">
        <f>"1720300079976"</f>
        <v>0</v>
      </c>
      <c r="F10189" t="str">
        <f>"001800"</f>
        <v>0</v>
      </c>
      <c r="G10189" t="s">
        <v>21</v>
      </c>
    </row>
    <row r="10190" spans="1:7">
      <c r="A10190">
        <v>10189</v>
      </c>
      <c r="B10190" t="str">
        <f>"027056"</f>
        <v>0</v>
      </c>
      <c r="C10190" t="s">
        <v>3417</v>
      </c>
      <c r="D10190" t="s">
        <v>15334</v>
      </c>
      <c r="E10190" t="str">
        <f>"1720900143772"</f>
        <v>0</v>
      </c>
      <c r="F10190" t="str">
        <f>"001800"</f>
        <v>0</v>
      </c>
      <c r="G10190" t="s">
        <v>21</v>
      </c>
    </row>
    <row r="10191" spans="1:7">
      <c r="A10191">
        <v>10190</v>
      </c>
      <c r="B10191" t="str">
        <f>"027409"</f>
        <v>0</v>
      </c>
      <c r="C10191" t="s">
        <v>15335</v>
      </c>
      <c r="D10191" t="s">
        <v>15336</v>
      </c>
      <c r="E10191" t="str">
        <f>"1729900077662"</f>
        <v>0</v>
      </c>
      <c r="F10191" t="str">
        <f>"001800"</f>
        <v>0</v>
      </c>
      <c r="G10191" t="s">
        <v>21</v>
      </c>
    </row>
    <row r="10192" spans="1:7">
      <c r="A10192">
        <v>10191</v>
      </c>
      <c r="B10192" t="str">
        <f>"027412"</f>
        <v>0</v>
      </c>
      <c r="C10192" t="s">
        <v>5633</v>
      </c>
      <c r="D10192" t="s">
        <v>15337</v>
      </c>
      <c r="E10192" t="str">
        <f>"1729900365668"</f>
        <v>0</v>
      </c>
      <c r="F10192" t="str">
        <f>"001800"</f>
        <v>0</v>
      </c>
      <c r="G10192" t="s">
        <v>21</v>
      </c>
    </row>
    <row r="10193" spans="1:7">
      <c r="A10193">
        <v>10192</v>
      </c>
      <c r="B10193" t="str">
        <f>"022586"</f>
        <v>0</v>
      </c>
      <c r="C10193" t="s">
        <v>15338</v>
      </c>
      <c r="D10193" t="s">
        <v>15339</v>
      </c>
      <c r="E10193" t="str">
        <f>"3730200611028"</f>
        <v>0</v>
      </c>
      <c r="F10193" t="str">
        <f>"001800"</f>
        <v>0</v>
      </c>
      <c r="G10193" t="s">
        <v>21</v>
      </c>
    </row>
    <row r="10194" spans="1:7">
      <c r="A10194">
        <v>10193</v>
      </c>
      <c r="B10194" t="str">
        <f>"019386"</f>
        <v>0</v>
      </c>
      <c r="C10194" t="s">
        <v>4403</v>
      </c>
      <c r="D10194" t="s">
        <v>7679</v>
      </c>
      <c r="E10194" t="str">
        <f>"3120101052395"</f>
        <v>0</v>
      </c>
      <c r="F10194" t="str">
        <f>"001800"</f>
        <v>0</v>
      </c>
      <c r="G10194" t="s">
        <v>21</v>
      </c>
    </row>
    <row r="10195" spans="1:7">
      <c r="A10195">
        <v>10194</v>
      </c>
      <c r="B10195" t="str">
        <f>"023132"</f>
        <v>0</v>
      </c>
      <c r="C10195" t="s">
        <v>15340</v>
      </c>
      <c r="D10195" t="s">
        <v>15341</v>
      </c>
      <c r="E10195" t="str">
        <f>"1719900035153"</f>
        <v>0</v>
      </c>
      <c r="F10195" t="str">
        <f>"001800"</f>
        <v>0</v>
      </c>
      <c r="G10195" t="s">
        <v>21</v>
      </c>
    </row>
    <row r="10196" spans="1:7">
      <c r="A10196">
        <v>10195</v>
      </c>
      <c r="B10196" t="str">
        <f>"014946"</f>
        <v>0</v>
      </c>
      <c r="C10196" t="s">
        <v>15342</v>
      </c>
      <c r="D10196" t="s">
        <v>3738</v>
      </c>
      <c r="E10196" t="str">
        <f>"3770600172447"</f>
        <v>0</v>
      </c>
      <c r="F10196" t="str">
        <f>"001800"</f>
        <v>0</v>
      </c>
      <c r="G10196" t="s">
        <v>21</v>
      </c>
    </row>
    <row r="10197" spans="1:7">
      <c r="A10197">
        <v>10196</v>
      </c>
      <c r="B10197" t="str">
        <f>"016951"</f>
        <v>0</v>
      </c>
      <c r="C10197" t="s">
        <v>4435</v>
      </c>
      <c r="D10197" t="s">
        <v>15343</v>
      </c>
      <c r="E10197" t="str">
        <f>"3600900602812"</f>
        <v>0</v>
      </c>
      <c r="F10197" t="str">
        <f>"001800"</f>
        <v>0</v>
      </c>
      <c r="G10197" t="s">
        <v>21</v>
      </c>
    </row>
    <row r="10198" spans="1:7">
      <c r="A10198">
        <v>10197</v>
      </c>
      <c r="B10198" t="str">
        <f>"021389"</f>
        <v>0</v>
      </c>
      <c r="C10198" t="s">
        <v>3795</v>
      </c>
      <c r="D10198" t="s">
        <v>15344</v>
      </c>
      <c r="E10198" t="str">
        <f>"4100600032975"</f>
        <v>0</v>
      </c>
      <c r="F10198" t="str">
        <f>"001800"</f>
        <v>0</v>
      </c>
      <c r="G10198" t="s">
        <v>21</v>
      </c>
    </row>
    <row r="10199" spans="1:7">
      <c r="A10199">
        <v>10198</v>
      </c>
      <c r="B10199" t="str">
        <f>"022063"</f>
        <v>0</v>
      </c>
      <c r="C10199" t="s">
        <v>15345</v>
      </c>
      <c r="D10199" t="s">
        <v>15346</v>
      </c>
      <c r="E10199" t="str">
        <f>"5720100057556"</f>
        <v>0</v>
      </c>
      <c r="F10199" t="str">
        <f>"001800"</f>
        <v>0</v>
      </c>
      <c r="G10199" t="s">
        <v>21</v>
      </c>
    </row>
    <row r="10200" spans="1:7">
      <c r="A10200">
        <v>10199</v>
      </c>
      <c r="B10200" t="str">
        <f>"026824"</f>
        <v>0</v>
      </c>
      <c r="C10200" t="s">
        <v>15347</v>
      </c>
      <c r="D10200" t="s">
        <v>15348</v>
      </c>
      <c r="E10200" t="str">
        <f>"3540100206646"</f>
        <v>0</v>
      </c>
      <c r="F10200" t="str">
        <f>"001800"</f>
        <v>0</v>
      </c>
      <c r="G10200" t="s">
        <v>21</v>
      </c>
    </row>
    <row r="10201" spans="1:7">
      <c r="A10201">
        <v>10200</v>
      </c>
      <c r="B10201" t="str">
        <f>"025004"</f>
        <v>0</v>
      </c>
      <c r="C10201" t="s">
        <v>15349</v>
      </c>
      <c r="D10201" t="s">
        <v>15350</v>
      </c>
      <c r="E10201" t="str">
        <f>"3610600546895"</f>
        <v>0</v>
      </c>
      <c r="F10201" t="str">
        <f>"001800"</f>
        <v>0</v>
      </c>
      <c r="G10201" t="s">
        <v>21</v>
      </c>
    </row>
    <row r="10202" spans="1:7">
      <c r="A10202">
        <v>10201</v>
      </c>
      <c r="B10202" t="str">
        <f>"015045"</f>
        <v>0</v>
      </c>
      <c r="C10202" t="s">
        <v>767</v>
      </c>
      <c r="D10202" t="s">
        <v>15351</v>
      </c>
      <c r="E10202" t="str">
        <f>"3800900052381"</f>
        <v>0</v>
      </c>
      <c r="F10202" t="str">
        <f>"001800"</f>
        <v>0</v>
      </c>
      <c r="G10202" t="s">
        <v>21</v>
      </c>
    </row>
    <row r="10203" spans="1:7">
      <c r="A10203">
        <v>10202</v>
      </c>
      <c r="B10203" t="str">
        <f>"011576"</f>
        <v>0</v>
      </c>
      <c r="C10203" t="s">
        <v>3890</v>
      </c>
      <c r="D10203" t="s">
        <v>15352</v>
      </c>
      <c r="E10203" t="str">
        <f>"3720700968430"</f>
        <v>0</v>
      </c>
      <c r="F10203" t="str">
        <f>"001800"</f>
        <v>0</v>
      </c>
      <c r="G10203" t="s">
        <v>21</v>
      </c>
    </row>
    <row r="10204" spans="1:7">
      <c r="A10204">
        <v>10203</v>
      </c>
      <c r="B10204" t="str">
        <f>"017695"</f>
        <v>0</v>
      </c>
      <c r="C10204" t="s">
        <v>445</v>
      </c>
      <c r="D10204" t="s">
        <v>15353</v>
      </c>
      <c r="E10204" t="str">
        <f>"3720700179303"</f>
        <v>0</v>
      </c>
      <c r="F10204" t="str">
        <f>"001800"</f>
        <v>0</v>
      </c>
      <c r="G10204" t="s">
        <v>21</v>
      </c>
    </row>
    <row r="10205" spans="1:7">
      <c r="A10205">
        <v>10204</v>
      </c>
      <c r="B10205" t="str">
        <f>"022798"</f>
        <v>0</v>
      </c>
      <c r="C10205" t="s">
        <v>12680</v>
      </c>
      <c r="D10205" t="s">
        <v>15354</v>
      </c>
      <c r="E10205" t="str">
        <f>"3770100274445"</f>
        <v>0</v>
      </c>
      <c r="F10205" t="str">
        <f>"001800"</f>
        <v>0</v>
      </c>
      <c r="G10205" t="s">
        <v>21</v>
      </c>
    </row>
    <row r="10206" spans="1:7">
      <c r="A10206">
        <v>10205</v>
      </c>
      <c r="B10206" t="str">
        <f>"023986"</f>
        <v>0</v>
      </c>
      <c r="C10206" t="s">
        <v>15355</v>
      </c>
      <c r="D10206" t="s">
        <v>15356</v>
      </c>
      <c r="E10206" t="str">
        <f>"1729900052520"</f>
        <v>0</v>
      </c>
      <c r="F10206" t="str">
        <f>"001800"</f>
        <v>0</v>
      </c>
      <c r="G10206" t="s">
        <v>21</v>
      </c>
    </row>
    <row r="10207" spans="1:7">
      <c r="A10207">
        <v>10206</v>
      </c>
      <c r="B10207" t="str">
        <f>"025129"</f>
        <v>0</v>
      </c>
      <c r="C10207" t="s">
        <v>7999</v>
      </c>
      <c r="D10207" t="s">
        <v>15357</v>
      </c>
      <c r="E10207" t="str">
        <f>"1720900099714"</f>
        <v>0</v>
      </c>
      <c r="F10207" t="str">
        <f>"001800"</f>
        <v>0</v>
      </c>
      <c r="G10207" t="s">
        <v>21</v>
      </c>
    </row>
    <row r="10208" spans="1:7">
      <c r="A10208">
        <v>10207</v>
      </c>
      <c r="B10208" t="str">
        <f>"000731"</f>
        <v>0</v>
      </c>
      <c r="C10208" t="s">
        <v>678</v>
      </c>
      <c r="D10208" t="s">
        <v>15358</v>
      </c>
      <c r="E10208" t="str">
        <f>"3841000008085"</f>
        <v>0</v>
      </c>
      <c r="F10208" t="str">
        <f>"001820"</f>
        <v>0</v>
      </c>
      <c r="G10208" t="s">
        <v>21</v>
      </c>
    </row>
    <row r="10209" spans="1:7">
      <c r="A10209">
        <v>10208</v>
      </c>
      <c r="B10209" t="str">
        <f>"001241"</f>
        <v>0</v>
      </c>
      <c r="C10209" t="s">
        <v>427</v>
      </c>
      <c r="D10209" t="s">
        <v>15359</v>
      </c>
      <c r="E10209" t="str">
        <f>"3840100366594"</f>
        <v>0</v>
      </c>
      <c r="F10209" t="str">
        <f>"001820"</f>
        <v>0</v>
      </c>
      <c r="G10209" t="s">
        <v>21</v>
      </c>
    </row>
    <row r="10210" spans="1:7">
      <c r="A10210">
        <v>10209</v>
      </c>
      <c r="B10210" t="str">
        <f>"001607"</f>
        <v>0</v>
      </c>
      <c r="C10210" t="s">
        <v>15360</v>
      </c>
      <c r="D10210" t="s">
        <v>7354</v>
      </c>
      <c r="E10210" t="str">
        <f>"3840200671534"</f>
        <v>0</v>
      </c>
      <c r="F10210" t="str">
        <f>"001820"</f>
        <v>0</v>
      </c>
      <c r="G10210" t="s">
        <v>21</v>
      </c>
    </row>
    <row r="10211" spans="1:7">
      <c r="A10211">
        <v>10210</v>
      </c>
      <c r="B10211" t="str">
        <f>"001769"</f>
        <v>0</v>
      </c>
      <c r="C10211" t="s">
        <v>15361</v>
      </c>
      <c r="D10211" t="s">
        <v>15362</v>
      </c>
      <c r="E10211" t="str">
        <f>"3550900133295"</f>
        <v>0</v>
      </c>
      <c r="F10211" t="str">
        <f>"001820"</f>
        <v>0</v>
      </c>
      <c r="G10211" t="s">
        <v>21</v>
      </c>
    </row>
    <row r="10212" spans="1:7">
      <c r="A10212">
        <v>10211</v>
      </c>
      <c r="B10212" t="str">
        <f>"002102"</f>
        <v>0</v>
      </c>
      <c r="C10212" t="s">
        <v>6446</v>
      </c>
      <c r="D10212" t="s">
        <v>7436</v>
      </c>
      <c r="E10212" t="str">
        <f>"3840200653293"</f>
        <v>0</v>
      </c>
      <c r="F10212" t="str">
        <f>"001820"</f>
        <v>0</v>
      </c>
      <c r="G10212" t="s">
        <v>21</v>
      </c>
    </row>
    <row r="10213" spans="1:7">
      <c r="A10213">
        <v>10212</v>
      </c>
      <c r="B10213" t="str">
        <f>"002168"</f>
        <v>0</v>
      </c>
      <c r="C10213" t="s">
        <v>508</v>
      </c>
      <c r="D10213" t="s">
        <v>14436</v>
      </c>
      <c r="E10213" t="str">
        <f>"3841700365654"</f>
        <v>0</v>
      </c>
      <c r="F10213" t="str">
        <f>"001820"</f>
        <v>0</v>
      </c>
      <c r="G10213" t="s">
        <v>21</v>
      </c>
    </row>
    <row r="10214" spans="1:7">
      <c r="A10214">
        <v>10213</v>
      </c>
      <c r="B10214" t="str">
        <f>"002411"</f>
        <v>0</v>
      </c>
      <c r="C10214" t="s">
        <v>403</v>
      </c>
      <c r="D10214" t="s">
        <v>15363</v>
      </c>
      <c r="E10214" t="str">
        <f>"3840600238056"</f>
        <v>0</v>
      </c>
      <c r="F10214" t="str">
        <f>"001820"</f>
        <v>0</v>
      </c>
      <c r="G10214" t="s">
        <v>21</v>
      </c>
    </row>
    <row r="10215" spans="1:7">
      <c r="A10215">
        <v>10214</v>
      </c>
      <c r="B10215" t="str">
        <f>"002459"</f>
        <v>0</v>
      </c>
      <c r="C10215" t="s">
        <v>4305</v>
      </c>
      <c r="D10215" t="s">
        <v>5004</v>
      </c>
      <c r="E10215" t="str">
        <f>"3840600010390"</f>
        <v>0</v>
      </c>
      <c r="F10215" t="str">
        <f>"001820"</f>
        <v>0</v>
      </c>
      <c r="G10215" t="s">
        <v>21</v>
      </c>
    </row>
    <row r="10216" spans="1:7">
      <c r="A10216">
        <v>10215</v>
      </c>
      <c r="B10216" t="str">
        <f>"002947"</f>
        <v>0</v>
      </c>
      <c r="C10216" t="s">
        <v>15364</v>
      </c>
      <c r="D10216" t="s">
        <v>15365</v>
      </c>
      <c r="E10216" t="str">
        <f>"3860100763046"</f>
        <v>0</v>
      </c>
      <c r="F10216" t="str">
        <f>"001820"</f>
        <v>0</v>
      </c>
      <c r="G10216" t="s">
        <v>21</v>
      </c>
    </row>
    <row r="10217" spans="1:7">
      <c r="A10217">
        <v>10216</v>
      </c>
      <c r="B10217" t="str">
        <f>"003046"</f>
        <v>0</v>
      </c>
      <c r="C10217" t="s">
        <v>5712</v>
      </c>
      <c r="D10217" t="s">
        <v>7607</v>
      </c>
      <c r="E10217" t="str">
        <f>"3840200307671"</f>
        <v>0</v>
      </c>
      <c r="F10217" t="str">
        <f>"001820"</f>
        <v>0</v>
      </c>
      <c r="G10217" t="s">
        <v>21</v>
      </c>
    </row>
    <row r="10218" spans="1:7">
      <c r="A10218">
        <v>10217</v>
      </c>
      <c r="B10218" t="str">
        <f>"003329"</f>
        <v>0</v>
      </c>
      <c r="C10218" t="s">
        <v>2596</v>
      </c>
      <c r="D10218" t="s">
        <v>15366</v>
      </c>
      <c r="E10218" t="str">
        <f>"3800100016453"</f>
        <v>0</v>
      </c>
      <c r="F10218" t="str">
        <f>"001820"</f>
        <v>0</v>
      </c>
      <c r="G10218" t="s">
        <v>21</v>
      </c>
    </row>
    <row r="10219" spans="1:7">
      <c r="A10219">
        <v>10218</v>
      </c>
      <c r="B10219" t="str">
        <f>"003675"</f>
        <v>0</v>
      </c>
      <c r="C10219" t="s">
        <v>15367</v>
      </c>
      <c r="D10219" t="s">
        <v>15363</v>
      </c>
      <c r="E10219" t="str">
        <f>"3840600318777"</f>
        <v>0</v>
      </c>
      <c r="F10219" t="str">
        <f>"001820"</f>
        <v>0</v>
      </c>
      <c r="G10219" t="s">
        <v>21</v>
      </c>
    </row>
    <row r="10220" spans="1:7">
      <c r="A10220">
        <v>10219</v>
      </c>
      <c r="B10220" t="str">
        <f>"003886"</f>
        <v>0</v>
      </c>
      <c r="C10220" t="s">
        <v>2320</v>
      </c>
      <c r="D10220" t="s">
        <v>14436</v>
      </c>
      <c r="E10220" t="str">
        <f>"3940300202853"</f>
        <v>0</v>
      </c>
      <c r="F10220" t="str">
        <f>"001820"</f>
        <v>0</v>
      </c>
      <c r="G10220" t="s">
        <v>21</v>
      </c>
    </row>
    <row r="10221" spans="1:7">
      <c r="A10221">
        <v>10220</v>
      </c>
      <c r="B10221" t="str">
        <f>"004268"</f>
        <v>0</v>
      </c>
      <c r="C10221" t="s">
        <v>9085</v>
      </c>
      <c r="D10221" t="s">
        <v>15368</v>
      </c>
      <c r="E10221" t="str">
        <f>"3841700386236"</f>
        <v>0</v>
      </c>
      <c r="F10221" t="str">
        <f>"001820"</f>
        <v>0</v>
      </c>
      <c r="G10221" t="s">
        <v>21</v>
      </c>
    </row>
    <row r="10222" spans="1:7">
      <c r="A10222">
        <v>10221</v>
      </c>
      <c r="B10222" t="str">
        <f>"004953"</f>
        <v>0</v>
      </c>
      <c r="C10222" t="s">
        <v>15369</v>
      </c>
      <c r="D10222" t="s">
        <v>15370</v>
      </c>
      <c r="E10222" t="str">
        <f>"3860700111171"</f>
        <v>0</v>
      </c>
      <c r="F10222" t="str">
        <f>"001820"</f>
        <v>0</v>
      </c>
      <c r="G10222" t="s">
        <v>21</v>
      </c>
    </row>
    <row r="10223" spans="1:7">
      <c r="A10223">
        <v>10222</v>
      </c>
      <c r="B10223" t="str">
        <f>"004992"</f>
        <v>0</v>
      </c>
      <c r="C10223" t="s">
        <v>2608</v>
      </c>
      <c r="D10223" t="s">
        <v>15371</v>
      </c>
      <c r="E10223" t="str">
        <f>"3840500011033"</f>
        <v>0</v>
      </c>
      <c r="F10223" t="str">
        <f>"001820"</f>
        <v>0</v>
      </c>
      <c r="G10223" t="s">
        <v>21</v>
      </c>
    </row>
    <row r="10224" spans="1:7">
      <c r="A10224">
        <v>10223</v>
      </c>
      <c r="B10224" t="str">
        <f>"004994"</f>
        <v>0</v>
      </c>
      <c r="C10224" t="s">
        <v>15372</v>
      </c>
      <c r="D10224" t="s">
        <v>15373</v>
      </c>
      <c r="E10224" t="str">
        <f>"3849800017647"</f>
        <v>0</v>
      </c>
      <c r="F10224" t="str">
        <f>"001820"</f>
        <v>0</v>
      </c>
      <c r="G10224" t="s">
        <v>21</v>
      </c>
    </row>
    <row r="10225" spans="1:7">
      <c r="A10225">
        <v>10224</v>
      </c>
      <c r="B10225" t="str">
        <f>"004997"</f>
        <v>0</v>
      </c>
      <c r="C10225" t="s">
        <v>15374</v>
      </c>
      <c r="D10225" t="s">
        <v>15375</v>
      </c>
      <c r="E10225" t="str">
        <f>"3841700562344"</f>
        <v>0</v>
      </c>
      <c r="F10225" t="str">
        <f>"001820"</f>
        <v>0</v>
      </c>
      <c r="G10225" t="s">
        <v>21</v>
      </c>
    </row>
    <row r="10226" spans="1:7">
      <c r="A10226">
        <v>10225</v>
      </c>
      <c r="B10226" t="str">
        <f>"005517"</f>
        <v>0</v>
      </c>
      <c r="C10226" t="s">
        <v>314</v>
      </c>
      <c r="D10226" t="s">
        <v>15376</v>
      </c>
      <c r="E10226" t="str">
        <f>"3840200406504"</f>
        <v>0</v>
      </c>
      <c r="F10226" t="str">
        <f>"001820"</f>
        <v>0</v>
      </c>
      <c r="G10226" t="s">
        <v>21</v>
      </c>
    </row>
    <row r="10227" spans="1:7">
      <c r="A10227">
        <v>10226</v>
      </c>
      <c r="B10227" t="str">
        <f>"005717"</f>
        <v>0</v>
      </c>
      <c r="C10227" t="s">
        <v>15377</v>
      </c>
      <c r="D10227" t="s">
        <v>15378</v>
      </c>
      <c r="E10227" t="str">
        <f>"5840190000558"</f>
        <v>0</v>
      </c>
      <c r="F10227" t="str">
        <f>"001820"</f>
        <v>0</v>
      </c>
      <c r="G10227" t="s">
        <v>21</v>
      </c>
    </row>
    <row r="10228" spans="1:7">
      <c r="A10228">
        <v>10227</v>
      </c>
      <c r="B10228" t="str">
        <f>"005718"</f>
        <v>0</v>
      </c>
      <c r="C10228" t="s">
        <v>15379</v>
      </c>
      <c r="D10228" t="s">
        <v>15380</v>
      </c>
      <c r="E10228" t="str">
        <f>"3840400021657"</f>
        <v>0</v>
      </c>
      <c r="F10228" t="str">
        <f>"001820"</f>
        <v>0</v>
      </c>
      <c r="G10228" t="s">
        <v>21</v>
      </c>
    </row>
    <row r="10229" spans="1:7">
      <c r="A10229">
        <v>10228</v>
      </c>
      <c r="B10229" t="str">
        <f>"005853"</f>
        <v>0</v>
      </c>
      <c r="C10229" t="s">
        <v>15381</v>
      </c>
      <c r="D10229" t="s">
        <v>15382</v>
      </c>
      <c r="E10229" t="str">
        <f>"5841190009203"</f>
        <v>0</v>
      </c>
      <c r="F10229" t="str">
        <f>"001820"</f>
        <v>0</v>
      </c>
      <c r="G10229" t="s">
        <v>21</v>
      </c>
    </row>
    <row r="10230" spans="1:7">
      <c r="A10230">
        <v>10229</v>
      </c>
      <c r="B10230" t="str">
        <f>"005854"</f>
        <v>0</v>
      </c>
      <c r="C10230" t="s">
        <v>1949</v>
      </c>
      <c r="D10230" t="s">
        <v>15383</v>
      </c>
      <c r="E10230" t="str">
        <f>"3820500245581"</f>
        <v>0</v>
      </c>
      <c r="F10230" t="str">
        <f>"001820"</f>
        <v>0</v>
      </c>
      <c r="G10230" t="s">
        <v>21</v>
      </c>
    </row>
    <row r="10231" spans="1:7">
      <c r="A10231">
        <v>10230</v>
      </c>
      <c r="B10231" t="str">
        <f>"006012"</f>
        <v>0</v>
      </c>
      <c r="C10231" t="s">
        <v>15384</v>
      </c>
      <c r="D10231" t="s">
        <v>15385</v>
      </c>
      <c r="E10231" t="str">
        <f>"3841600006041"</f>
        <v>0</v>
      </c>
      <c r="F10231" t="str">
        <f>"001820"</f>
        <v>0</v>
      </c>
      <c r="G10231" t="s">
        <v>21</v>
      </c>
    </row>
    <row r="10232" spans="1:7">
      <c r="A10232">
        <v>10231</v>
      </c>
      <c r="B10232" t="str">
        <f>"006013"</f>
        <v>0</v>
      </c>
      <c r="C10232" t="s">
        <v>8297</v>
      </c>
      <c r="D10232" t="s">
        <v>15386</v>
      </c>
      <c r="E10232" t="str">
        <f>"3849900287646"</f>
        <v>0</v>
      </c>
      <c r="F10232" t="str">
        <f>"001820"</f>
        <v>0</v>
      </c>
      <c r="G10232" t="s">
        <v>21</v>
      </c>
    </row>
    <row r="10233" spans="1:7">
      <c r="A10233">
        <v>10232</v>
      </c>
      <c r="B10233" t="str">
        <f>"006260"</f>
        <v>0</v>
      </c>
      <c r="C10233" t="s">
        <v>14430</v>
      </c>
      <c r="D10233" t="s">
        <v>15387</v>
      </c>
      <c r="E10233" t="str">
        <f>"4849900001210"</f>
        <v>0</v>
      </c>
      <c r="F10233" t="str">
        <f>"001820"</f>
        <v>0</v>
      </c>
      <c r="G10233" t="s">
        <v>21</v>
      </c>
    </row>
    <row r="10234" spans="1:7">
      <c r="A10234">
        <v>10233</v>
      </c>
      <c r="B10234" t="str">
        <f>"006273"</f>
        <v>0</v>
      </c>
      <c r="C10234" t="s">
        <v>15388</v>
      </c>
      <c r="D10234" t="s">
        <v>15389</v>
      </c>
      <c r="E10234" t="str">
        <f>"3841300120620"</f>
        <v>0</v>
      </c>
      <c r="F10234" t="str">
        <f>"001820"</f>
        <v>0</v>
      </c>
      <c r="G10234" t="s">
        <v>21</v>
      </c>
    </row>
    <row r="10235" spans="1:7">
      <c r="A10235">
        <v>10234</v>
      </c>
      <c r="B10235" t="str">
        <f>"006418"</f>
        <v>0</v>
      </c>
      <c r="C10235" t="s">
        <v>15390</v>
      </c>
      <c r="D10235" t="s">
        <v>15391</v>
      </c>
      <c r="E10235" t="str">
        <f>"3929900094855"</f>
        <v>0</v>
      </c>
      <c r="F10235" t="str">
        <f>"001820"</f>
        <v>0</v>
      </c>
      <c r="G10235" t="s">
        <v>21</v>
      </c>
    </row>
    <row r="10236" spans="1:7">
      <c r="A10236">
        <v>10235</v>
      </c>
      <c r="B10236" t="str">
        <f>"006674"</f>
        <v>0</v>
      </c>
      <c r="C10236" t="s">
        <v>352</v>
      </c>
      <c r="D10236" t="s">
        <v>15392</v>
      </c>
      <c r="E10236" t="str">
        <f>"3800700669911"</f>
        <v>0</v>
      </c>
      <c r="F10236" t="str">
        <f>"001820"</f>
        <v>0</v>
      </c>
      <c r="G10236" t="s">
        <v>21</v>
      </c>
    </row>
    <row r="10237" spans="1:7">
      <c r="A10237">
        <v>10236</v>
      </c>
      <c r="B10237" t="str">
        <f>"007061"</f>
        <v>0</v>
      </c>
      <c r="C10237" t="s">
        <v>154</v>
      </c>
      <c r="D10237" t="s">
        <v>15393</v>
      </c>
      <c r="E10237" t="str">
        <f>"3849900217761"</f>
        <v>0</v>
      </c>
      <c r="F10237" t="str">
        <f>"001820"</f>
        <v>0</v>
      </c>
      <c r="G10237" t="s">
        <v>21</v>
      </c>
    </row>
    <row r="10238" spans="1:7">
      <c r="A10238">
        <v>10237</v>
      </c>
      <c r="B10238" t="str">
        <f>"007063"</f>
        <v>0</v>
      </c>
      <c r="C10238" t="s">
        <v>5942</v>
      </c>
      <c r="D10238" t="s">
        <v>15394</v>
      </c>
      <c r="E10238" t="str">
        <f>"3841700794601"</f>
        <v>0</v>
      </c>
      <c r="F10238" t="str">
        <f>"001820"</f>
        <v>0</v>
      </c>
      <c r="G10238" t="s">
        <v>21</v>
      </c>
    </row>
    <row r="10239" spans="1:7">
      <c r="A10239">
        <v>10238</v>
      </c>
      <c r="B10239" t="str">
        <f>"007151"</f>
        <v>0</v>
      </c>
      <c r="C10239" t="s">
        <v>514</v>
      </c>
      <c r="D10239" t="s">
        <v>15395</v>
      </c>
      <c r="E10239" t="str">
        <f>"3869900071741"</f>
        <v>0</v>
      </c>
      <c r="F10239" t="str">
        <f>"001820"</f>
        <v>0</v>
      </c>
      <c r="G10239" t="s">
        <v>21</v>
      </c>
    </row>
    <row r="10240" spans="1:7">
      <c r="A10240">
        <v>10239</v>
      </c>
      <c r="B10240" t="str">
        <f>"007187"</f>
        <v>0</v>
      </c>
      <c r="C10240" t="s">
        <v>3740</v>
      </c>
      <c r="D10240" t="s">
        <v>15396</v>
      </c>
      <c r="E10240" t="str">
        <f>"3520604302029"</f>
        <v>0</v>
      </c>
      <c r="F10240" t="str">
        <f>"001820"</f>
        <v>0</v>
      </c>
      <c r="G10240" t="s">
        <v>21</v>
      </c>
    </row>
    <row r="10241" spans="1:7">
      <c r="A10241">
        <v>10240</v>
      </c>
      <c r="B10241" t="str">
        <f>"007235"</f>
        <v>0</v>
      </c>
      <c r="C10241" t="s">
        <v>15397</v>
      </c>
      <c r="D10241" t="s">
        <v>15398</v>
      </c>
      <c r="E10241" t="str">
        <f>"3841100208892"</f>
        <v>0</v>
      </c>
      <c r="F10241" t="str">
        <f>"001820"</f>
        <v>0</v>
      </c>
      <c r="G10241" t="s">
        <v>21</v>
      </c>
    </row>
    <row r="10242" spans="1:7">
      <c r="A10242">
        <v>10241</v>
      </c>
      <c r="B10242" t="str">
        <f>"007444"</f>
        <v>0</v>
      </c>
      <c r="C10242" t="s">
        <v>15399</v>
      </c>
      <c r="D10242" t="s">
        <v>15400</v>
      </c>
      <c r="E10242" t="str">
        <f>"3849900309534"</f>
        <v>0</v>
      </c>
      <c r="F10242" t="str">
        <f>"001820"</f>
        <v>0</v>
      </c>
      <c r="G10242" t="s">
        <v>21</v>
      </c>
    </row>
    <row r="10243" spans="1:7">
      <c r="A10243">
        <v>10242</v>
      </c>
      <c r="B10243" t="str">
        <f>"007804"</f>
        <v>0</v>
      </c>
      <c r="C10243" t="s">
        <v>1827</v>
      </c>
      <c r="D10243" t="s">
        <v>15401</v>
      </c>
      <c r="E10243" t="str">
        <f>"3841300011952"</f>
        <v>0</v>
      </c>
      <c r="F10243" t="str">
        <f>"001820"</f>
        <v>0</v>
      </c>
      <c r="G10243" t="s">
        <v>21</v>
      </c>
    </row>
    <row r="10244" spans="1:7">
      <c r="A10244">
        <v>10243</v>
      </c>
      <c r="B10244" t="str">
        <f>"008055"</f>
        <v>0</v>
      </c>
      <c r="C10244" t="s">
        <v>5960</v>
      </c>
      <c r="D10244" t="s">
        <v>5779</v>
      </c>
      <c r="E10244" t="str">
        <f>"3841700142469"</f>
        <v>0</v>
      </c>
      <c r="F10244" t="str">
        <f>"001820"</f>
        <v>0</v>
      </c>
      <c r="G10244" t="s">
        <v>21</v>
      </c>
    </row>
    <row r="10245" spans="1:7">
      <c r="A10245">
        <v>10244</v>
      </c>
      <c r="B10245" t="str">
        <f>"008057"</f>
        <v>0</v>
      </c>
      <c r="C10245" t="s">
        <v>389</v>
      </c>
      <c r="D10245" t="s">
        <v>15402</v>
      </c>
      <c r="E10245" t="str">
        <f>"5841600004311"</f>
        <v>0</v>
      </c>
      <c r="F10245" t="str">
        <f>"001820"</f>
        <v>0</v>
      </c>
      <c r="G10245" t="s">
        <v>21</v>
      </c>
    </row>
    <row r="10246" spans="1:7">
      <c r="A10246">
        <v>10245</v>
      </c>
      <c r="B10246" t="str">
        <f>"008366"</f>
        <v>0</v>
      </c>
      <c r="C10246" t="s">
        <v>352</v>
      </c>
      <c r="D10246" t="s">
        <v>15403</v>
      </c>
      <c r="E10246" t="str">
        <f>"3800101623400"</f>
        <v>0</v>
      </c>
      <c r="F10246" t="str">
        <f>"001820"</f>
        <v>0</v>
      </c>
      <c r="G10246" t="s">
        <v>21</v>
      </c>
    </row>
    <row r="10247" spans="1:7">
      <c r="A10247">
        <v>10246</v>
      </c>
      <c r="B10247" t="str">
        <f>"008803"</f>
        <v>0</v>
      </c>
      <c r="C10247" t="s">
        <v>1027</v>
      </c>
      <c r="D10247" t="s">
        <v>15404</v>
      </c>
      <c r="E10247" t="str">
        <f>"3960200331350"</f>
        <v>0</v>
      </c>
      <c r="F10247" t="str">
        <f>"001820"</f>
        <v>0</v>
      </c>
      <c r="G10247" t="s">
        <v>21</v>
      </c>
    </row>
    <row r="10248" spans="1:7">
      <c r="A10248">
        <v>10247</v>
      </c>
      <c r="B10248" t="str">
        <f>"008890"</f>
        <v>0</v>
      </c>
      <c r="C10248" t="s">
        <v>878</v>
      </c>
      <c r="D10248" t="s">
        <v>15405</v>
      </c>
      <c r="E10248" t="str">
        <f>"3470600107826"</f>
        <v>0</v>
      </c>
      <c r="F10248" t="str">
        <f>"001820"</f>
        <v>0</v>
      </c>
      <c r="G10248" t="s">
        <v>21</v>
      </c>
    </row>
    <row r="10249" spans="1:7">
      <c r="A10249">
        <v>10248</v>
      </c>
      <c r="B10249" t="str">
        <f>"009054"</f>
        <v>0</v>
      </c>
      <c r="C10249" t="s">
        <v>15406</v>
      </c>
      <c r="D10249" t="s">
        <v>15407</v>
      </c>
      <c r="E10249" t="str">
        <f>"3801200866794"</f>
        <v>0</v>
      </c>
      <c r="F10249" t="str">
        <f>"001820"</f>
        <v>0</v>
      </c>
      <c r="G10249" t="s">
        <v>21</v>
      </c>
    </row>
    <row r="10250" spans="1:7">
      <c r="A10250">
        <v>10249</v>
      </c>
      <c r="B10250" t="str">
        <f>"009159"</f>
        <v>0</v>
      </c>
      <c r="C10250" t="s">
        <v>3566</v>
      </c>
      <c r="D10250" t="s">
        <v>15408</v>
      </c>
      <c r="E10250" t="str">
        <f>"3960600278804"</f>
        <v>0</v>
      </c>
      <c r="F10250" t="str">
        <f>"001820"</f>
        <v>0</v>
      </c>
      <c r="G10250" t="s">
        <v>21</v>
      </c>
    </row>
    <row r="10251" spans="1:7">
      <c r="A10251">
        <v>10250</v>
      </c>
      <c r="B10251" t="str">
        <f>"009481"</f>
        <v>0</v>
      </c>
      <c r="C10251" t="s">
        <v>15409</v>
      </c>
      <c r="D10251" t="s">
        <v>15410</v>
      </c>
      <c r="E10251" t="str">
        <f>"3200300134323"</f>
        <v>0</v>
      </c>
      <c r="F10251" t="str">
        <f>"001820"</f>
        <v>0</v>
      </c>
      <c r="G10251" t="s">
        <v>21</v>
      </c>
    </row>
    <row r="10252" spans="1:7">
      <c r="A10252">
        <v>10251</v>
      </c>
      <c r="B10252" t="str">
        <f>"010586"</f>
        <v>0</v>
      </c>
      <c r="C10252" t="s">
        <v>2417</v>
      </c>
      <c r="D10252" t="s">
        <v>15411</v>
      </c>
      <c r="E10252" t="str">
        <f>"3841000097410"</f>
        <v>0</v>
      </c>
      <c r="F10252" t="str">
        <f>"001820"</f>
        <v>0</v>
      </c>
      <c r="G10252" t="s">
        <v>21</v>
      </c>
    </row>
    <row r="10253" spans="1:7">
      <c r="A10253">
        <v>10252</v>
      </c>
      <c r="B10253" t="str">
        <f>"010784"</f>
        <v>0</v>
      </c>
      <c r="C10253" t="s">
        <v>5745</v>
      </c>
      <c r="D10253" t="s">
        <v>15412</v>
      </c>
      <c r="E10253" t="str">
        <f>"3840800322085"</f>
        <v>0</v>
      </c>
      <c r="F10253" t="str">
        <f>"001820"</f>
        <v>0</v>
      </c>
      <c r="G10253" t="s">
        <v>21</v>
      </c>
    </row>
    <row r="10254" spans="1:7">
      <c r="A10254">
        <v>10253</v>
      </c>
      <c r="B10254" t="str">
        <f>"010881"</f>
        <v>0</v>
      </c>
      <c r="C10254" t="s">
        <v>15413</v>
      </c>
      <c r="D10254" t="s">
        <v>15414</v>
      </c>
      <c r="E10254" t="str">
        <f>"3909900035743"</f>
        <v>0</v>
      </c>
      <c r="F10254" t="str">
        <f>"001820"</f>
        <v>0</v>
      </c>
      <c r="G10254" t="s">
        <v>21</v>
      </c>
    </row>
    <row r="10255" spans="1:7">
      <c r="A10255">
        <v>10254</v>
      </c>
      <c r="B10255" t="str">
        <f>"011384"</f>
        <v>0</v>
      </c>
      <c r="C10255" t="s">
        <v>10053</v>
      </c>
      <c r="D10255" t="s">
        <v>15408</v>
      </c>
      <c r="E10255" t="str">
        <f>"3300500139832"</f>
        <v>0</v>
      </c>
      <c r="F10255" t="str">
        <f>"001820"</f>
        <v>0</v>
      </c>
      <c r="G10255" t="s">
        <v>21</v>
      </c>
    </row>
    <row r="10256" spans="1:7">
      <c r="A10256">
        <v>10255</v>
      </c>
      <c r="B10256" t="str">
        <f>"011436"</f>
        <v>0</v>
      </c>
      <c r="C10256" t="s">
        <v>15415</v>
      </c>
      <c r="D10256" t="s">
        <v>9549</v>
      </c>
      <c r="E10256" t="str">
        <f>"3800600456908"</f>
        <v>0</v>
      </c>
      <c r="F10256" t="str">
        <f>"001820"</f>
        <v>0</v>
      </c>
      <c r="G10256" t="s">
        <v>21</v>
      </c>
    </row>
    <row r="10257" spans="1:7">
      <c r="A10257">
        <v>10256</v>
      </c>
      <c r="B10257" t="str">
        <f>"011442"</f>
        <v>0</v>
      </c>
      <c r="C10257" t="s">
        <v>2994</v>
      </c>
      <c r="D10257" t="s">
        <v>15416</v>
      </c>
      <c r="E10257" t="str">
        <f>"3840700219894"</f>
        <v>0</v>
      </c>
      <c r="F10257" t="str">
        <f>"001820"</f>
        <v>0</v>
      </c>
      <c r="G10257" t="s">
        <v>21</v>
      </c>
    </row>
    <row r="10258" spans="1:7">
      <c r="A10258">
        <v>10257</v>
      </c>
      <c r="B10258" t="str">
        <f>"011838"</f>
        <v>0</v>
      </c>
      <c r="C10258" t="s">
        <v>15417</v>
      </c>
      <c r="D10258" t="s">
        <v>15418</v>
      </c>
      <c r="E10258" t="str">
        <f>"3841000028906"</f>
        <v>0</v>
      </c>
      <c r="F10258" t="str">
        <f>"001820"</f>
        <v>0</v>
      </c>
      <c r="G10258" t="s">
        <v>21</v>
      </c>
    </row>
    <row r="10259" spans="1:7">
      <c r="A10259">
        <v>10258</v>
      </c>
      <c r="B10259" t="str">
        <f>"012363"</f>
        <v>0</v>
      </c>
      <c r="C10259" t="s">
        <v>4136</v>
      </c>
      <c r="D10259" t="s">
        <v>15419</v>
      </c>
      <c r="E10259" t="str">
        <f>"3840100248451"</f>
        <v>0</v>
      </c>
      <c r="F10259" t="str">
        <f>"001820"</f>
        <v>0</v>
      </c>
      <c r="G10259" t="s">
        <v>21</v>
      </c>
    </row>
    <row r="10260" spans="1:7">
      <c r="A10260">
        <v>10259</v>
      </c>
      <c r="B10260" t="str">
        <f>"012697"</f>
        <v>0</v>
      </c>
      <c r="C10260" t="s">
        <v>1718</v>
      </c>
      <c r="D10260" t="s">
        <v>15420</v>
      </c>
      <c r="E10260" t="str">
        <f>"3840700203785"</f>
        <v>0</v>
      </c>
      <c r="F10260" t="str">
        <f>"001820"</f>
        <v>0</v>
      </c>
      <c r="G10260" t="s">
        <v>21</v>
      </c>
    </row>
    <row r="10261" spans="1:7">
      <c r="A10261">
        <v>10260</v>
      </c>
      <c r="B10261" t="str">
        <f>"012728"</f>
        <v>0</v>
      </c>
      <c r="C10261" t="s">
        <v>8902</v>
      </c>
      <c r="D10261" t="s">
        <v>15387</v>
      </c>
      <c r="E10261" t="str">
        <f>"3102002775510"</f>
        <v>0</v>
      </c>
      <c r="F10261" t="str">
        <f>"001820"</f>
        <v>0</v>
      </c>
      <c r="G10261" t="s">
        <v>21</v>
      </c>
    </row>
    <row r="10262" spans="1:7">
      <c r="A10262">
        <v>10261</v>
      </c>
      <c r="B10262" t="str">
        <f>"012729"</f>
        <v>0</v>
      </c>
      <c r="C10262" t="s">
        <v>7818</v>
      </c>
      <c r="D10262" t="s">
        <v>5973</v>
      </c>
      <c r="E10262" t="str">
        <f>"3841200368743"</f>
        <v>0</v>
      </c>
      <c r="F10262" t="str">
        <f>"001820"</f>
        <v>0</v>
      </c>
      <c r="G10262" t="s">
        <v>21</v>
      </c>
    </row>
    <row r="10263" spans="1:7">
      <c r="A10263">
        <v>10262</v>
      </c>
      <c r="B10263" t="str">
        <f>"012730"</f>
        <v>0</v>
      </c>
      <c r="C10263" t="s">
        <v>11233</v>
      </c>
      <c r="D10263" t="s">
        <v>11513</v>
      </c>
      <c r="E10263" t="str">
        <f>"3810100091749"</f>
        <v>0</v>
      </c>
      <c r="F10263" t="str">
        <f>"001820"</f>
        <v>0</v>
      </c>
      <c r="G10263" t="s">
        <v>21</v>
      </c>
    </row>
    <row r="10264" spans="1:7">
      <c r="A10264">
        <v>10263</v>
      </c>
      <c r="B10264" t="str">
        <f>"013548"</f>
        <v>0</v>
      </c>
      <c r="C10264" t="s">
        <v>15421</v>
      </c>
      <c r="D10264" t="s">
        <v>15422</v>
      </c>
      <c r="E10264" t="str">
        <f>"3939900256324"</f>
        <v>0</v>
      </c>
      <c r="F10264" t="str">
        <f>"001820"</f>
        <v>0</v>
      </c>
      <c r="G10264" t="s">
        <v>21</v>
      </c>
    </row>
    <row r="10265" spans="1:7">
      <c r="A10265">
        <v>10264</v>
      </c>
      <c r="B10265" t="str">
        <f>"013811"</f>
        <v>0</v>
      </c>
      <c r="C10265" t="s">
        <v>12815</v>
      </c>
      <c r="D10265" t="s">
        <v>105</v>
      </c>
      <c r="E10265" t="str">
        <f>"3841100008150"</f>
        <v>0</v>
      </c>
      <c r="F10265" t="str">
        <f>"001820"</f>
        <v>0</v>
      </c>
      <c r="G10265" t="s">
        <v>21</v>
      </c>
    </row>
    <row r="10266" spans="1:7">
      <c r="A10266">
        <v>10265</v>
      </c>
      <c r="B10266" t="str">
        <f>"015157"</f>
        <v>0</v>
      </c>
      <c r="C10266" t="s">
        <v>389</v>
      </c>
      <c r="D10266" t="s">
        <v>15423</v>
      </c>
      <c r="E10266" t="str">
        <f>"4740300004571"</f>
        <v>0</v>
      </c>
      <c r="F10266" t="str">
        <f>"001820"</f>
        <v>0</v>
      </c>
      <c r="G10266" t="s">
        <v>21</v>
      </c>
    </row>
    <row r="10267" spans="1:7">
      <c r="A10267">
        <v>10266</v>
      </c>
      <c r="B10267" t="str">
        <f>"015523"</f>
        <v>0</v>
      </c>
      <c r="C10267" t="s">
        <v>15424</v>
      </c>
      <c r="D10267" t="s">
        <v>15425</v>
      </c>
      <c r="E10267" t="str">
        <f>"4840100001489"</f>
        <v>0</v>
      </c>
      <c r="F10267" t="str">
        <f>"001820"</f>
        <v>0</v>
      </c>
      <c r="G10267" t="s">
        <v>21</v>
      </c>
    </row>
    <row r="10268" spans="1:7">
      <c r="A10268">
        <v>10267</v>
      </c>
      <c r="B10268" t="str">
        <f>"015557"</f>
        <v>0</v>
      </c>
      <c r="C10268" t="s">
        <v>2634</v>
      </c>
      <c r="D10268" t="s">
        <v>15423</v>
      </c>
      <c r="E10268" t="str">
        <f>"3740300363212"</f>
        <v>0</v>
      </c>
      <c r="F10268" t="str">
        <f>"001820"</f>
        <v>0</v>
      </c>
      <c r="G10268" t="s">
        <v>21</v>
      </c>
    </row>
    <row r="10269" spans="1:7">
      <c r="A10269">
        <v>10268</v>
      </c>
      <c r="B10269" t="str">
        <f>"015733"</f>
        <v>0</v>
      </c>
      <c r="C10269" t="s">
        <v>15426</v>
      </c>
      <c r="D10269" t="s">
        <v>15427</v>
      </c>
      <c r="E10269" t="str">
        <f>"3100603187971"</f>
        <v>0</v>
      </c>
      <c r="F10269" t="str">
        <f>"001820"</f>
        <v>0</v>
      </c>
      <c r="G10269" t="s">
        <v>21</v>
      </c>
    </row>
    <row r="10270" spans="1:7">
      <c r="A10270">
        <v>10269</v>
      </c>
      <c r="B10270" t="str">
        <f>"017291"</f>
        <v>0</v>
      </c>
      <c r="C10270" t="s">
        <v>15428</v>
      </c>
      <c r="D10270" t="s">
        <v>15429</v>
      </c>
      <c r="E10270" t="str">
        <f>"3841700676935"</f>
        <v>0</v>
      </c>
      <c r="F10270" t="str">
        <f>"001820"</f>
        <v>0</v>
      </c>
      <c r="G10270" t="s">
        <v>21</v>
      </c>
    </row>
    <row r="10271" spans="1:7">
      <c r="A10271">
        <v>10270</v>
      </c>
      <c r="B10271" t="str">
        <f>"017506"</f>
        <v>0</v>
      </c>
      <c r="C10271" t="s">
        <v>15430</v>
      </c>
      <c r="D10271" t="s">
        <v>15431</v>
      </c>
      <c r="E10271" t="str">
        <f>"5841700001314"</f>
        <v>0</v>
      </c>
      <c r="F10271" t="str">
        <f>"001820"</f>
        <v>0</v>
      </c>
      <c r="G10271" t="s">
        <v>21</v>
      </c>
    </row>
    <row r="10272" spans="1:7">
      <c r="A10272">
        <v>10271</v>
      </c>
      <c r="B10272" t="str">
        <f>"017641"</f>
        <v>0</v>
      </c>
      <c r="C10272" t="s">
        <v>15432</v>
      </c>
      <c r="D10272" t="s">
        <v>15433</v>
      </c>
      <c r="E10272" t="str">
        <f>"3320500778886"</f>
        <v>0</v>
      </c>
      <c r="F10272" t="str">
        <f>"001820"</f>
        <v>0</v>
      </c>
      <c r="G10272" t="s">
        <v>21</v>
      </c>
    </row>
    <row r="10273" spans="1:7">
      <c r="A10273">
        <v>10272</v>
      </c>
      <c r="B10273" t="str">
        <f>"018130"</f>
        <v>0</v>
      </c>
      <c r="C10273" t="s">
        <v>15434</v>
      </c>
      <c r="D10273" t="s">
        <v>5004</v>
      </c>
      <c r="E10273" t="str">
        <f>"3102001502234"</f>
        <v>0</v>
      </c>
      <c r="F10273" t="str">
        <f>"001820"</f>
        <v>0</v>
      </c>
      <c r="G10273" t="s">
        <v>21</v>
      </c>
    </row>
    <row r="10274" spans="1:7">
      <c r="A10274">
        <v>10273</v>
      </c>
      <c r="B10274" t="str">
        <f>"019244"</f>
        <v>0</v>
      </c>
      <c r="C10274" t="s">
        <v>3823</v>
      </c>
      <c r="D10274" t="s">
        <v>2590</v>
      </c>
      <c r="E10274" t="str">
        <f>"3841700102025"</f>
        <v>0</v>
      </c>
      <c r="F10274" t="str">
        <f>"001820"</f>
        <v>0</v>
      </c>
      <c r="G10274" t="s">
        <v>21</v>
      </c>
    </row>
    <row r="10275" spans="1:7">
      <c r="A10275">
        <v>10274</v>
      </c>
      <c r="B10275" t="str">
        <f>"020865"</f>
        <v>0</v>
      </c>
      <c r="C10275" t="s">
        <v>694</v>
      </c>
      <c r="D10275" t="s">
        <v>15435</v>
      </c>
      <c r="E10275" t="str">
        <f>"3840900059556"</f>
        <v>0</v>
      </c>
      <c r="F10275" t="str">
        <f>"001820"</f>
        <v>0</v>
      </c>
      <c r="G10275" t="s">
        <v>21</v>
      </c>
    </row>
    <row r="10276" spans="1:7">
      <c r="A10276">
        <v>10275</v>
      </c>
      <c r="B10276" t="str">
        <f>"023211"</f>
        <v>0</v>
      </c>
      <c r="C10276" t="s">
        <v>1908</v>
      </c>
      <c r="D10276" t="s">
        <v>15436</v>
      </c>
      <c r="E10276" t="str">
        <f>"3909900234312"</f>
        <v>0</v>
      </c>
      <c r="F10276" t="str">
        <f>"001820"</f>
        <v>0</v>
      </c>
      <c r="G10276" t="s">
        <v>21</v>
      </c>
    </row>
    <row r="10277" spans="1:7">
      <c r="A10277">
        <v>10276</v>
      </c>
      <c r="B10277" t="str">
        <f>"025823"</f>
        <v>0</v>
      </c>
      <c r="C10277" t="s">
        <v>15437</v>
      </c>
      <c r="D10277" t="s">
        <v>15378</v>
      </c>
      <c r="E10277" t="str">
        <f>"3840900091671"</f>
        <v>0</v>
      </c>
      <c r="F10277" t="str">
        <f>"001820"</f>
        <v>0</v>
      </c>
      <c r="G10277" t="s">
        <v>21</v>
      </c>
    </row>
    <row r="10278" spans="1:7">
      <c r="A10278">
        <v>10277</v>
      </c>
      <c r="B10278" t="str">
        <f>"027021"</f>
        <v>0</v>
      </c>
      <c r="C10278" t="s">
        <v>2186</v>
      </c>
      <c r="D10278" t="s">
        <v>15438</v>
      </c>
      <c r="E10278" t="str">
        <f>"3840100215197"</f>
        <v>0</v>
      </c>
      <c r="F10278" t="str">
        <f>"001820"</f>
        <v>0</v>
      </c>
      <c r="G10278" t="s">
        <v>21</v>
      </c>
    </row>
    <row r="10279" spans="1:7">
      <c r="A10279">
        <v>10278</v>
      </c>
      <c r="B10279" t="str">
        <f>"005200"</f>
        <v>0</v>
      </c>
      <c r="C10279" t="s">
        <v>15439</v>
      </c>
      <c r="D10279" t="s">
        <v>15440</v>
      </c>
      <c r="E10279" t="str">
        <f>"3840100312681"</f>
        <v>0</v>
      </c>
      <c r="F10279" t="str">
        <f>"001820"</f>
        <v>0</v>
      </c>
      <c r="G10279" t="s">
        <v>21</v>
      </c>
    </row>
    <row r="10280" spans="1:7">
      <c r="A10280">
        <v>10279</v>
      </c>
      <c r="B10280" t="str">
        <f>"006283"</f>
        <v>0</v>
      </c>
      <c r="C10280" t="s">
        <v>4781</v>
      </c>
      <c r="D10280" t="s">
        <v>15441</v>
      </c>
      <c r="E10280" t="str">
        <f>"3841700086909"</f>
        <v>0</v>
      </c>
      <c r="F10280" t="str">
        <f>"001820"</f>
        <v>0</v>
      </c>
      <c r="G10280" t="s">
        <v>21</v>
      </c>
    </row>
    <row r="10281" spans="1:7">
      <c r="A10281">
        <v>10280</v>
      </c>
      <c r="B10281" t="str">
        <f>"007337"</f>
        <v>0</v>
      </c>
      <c r="C10281" t="s">
        <v>15442</v>
      </c>
      <c r="D10281" t="s">
        <v>15443</v>
      </c>
      <c r="E10281" t="str">
        <f>"3809900053831"</f>
        <v>0</v>
      </c>
      <c r="F10281" t="str">
        <f>"001820"</f>
        <v>0</v>
      </c>
      <c r="G10281" t="s">
        <v>21</v>
      </c>
    </row>
    <row r="10282" spans="1:7">
      <c r="A10282">
        <v>10281</v>
      </c>
      <c r="B10282" t="str">
        <f>"018497"</f>
        <v>0</v>
      </c>
      <c r="C10282" t="s">
        <v>3783</v>
      </c>
      <c r="D10282" t="s">
        <v>11787</v>
      </c>
      <c r="E10282" t="str">
        <f>"4849900007901"</f>
        <v>0</v>
      </c>
      <c r="F10282" t="str">
        <f>"001820"</f>
        <v>0</v>
      </c>
      <c r="G10282" t="s">
        <v>21</v>
      </c>
    </row>
    <row r="10283" spans="1:7">
      <c r="A10283">
        <v>10282</v>
      </c>
      <c r="B10283" t="str">
        <f>"019269"</f>
        <v>0</v>
      </c>
      <c r="C10283" t="s">
        <v>15444</v>
      </c>
      <c r="D10283" t="s">
        <v>15445</v>
      </c>
      <c r="E10283" t="str">
        <f>"3840100209103"</f>
        <v>0</v>
      </c>
      <c r="F10283" t="str">
        <f>"001820"</f>
        <v>0</v>
      </c>
      <c r="G10283" t="s">
        <v>21</v>
      </c>
    </row>
    <row r="10284" spans="1:7">
      <c r="A10284">
        <v>10283</v>
      </c>
      <c r="B10284" t="str">
        <f>"020174"</f>
        <v>0</v>
      </c>
      <c r="C10284" t="s">
        <v>5070</v>
      </c>
      <c r="D10284" t="s">
        <v>15446</v>
      </c>
      <c r="E10284" t="str">
        <f>"3849900231632"</f>
        <v>0</v>
      </c>
      <c r="F10284" t="str">
        <f>"001820"</f>
        <v>0</v>
      </c>
      <c r="G10284" t="s">
        <v>21</v>
      </c>
    </row>
    <row r="10285" spans="1:7">
      <c r="A10285">
        <v>10284</v>
      </c>
      <c r="B10285" t="str">
        <f>"001768"</f>
        <v>0</v>
      </c>
      <c r="C10285" t="s">
        <v>725</v>
      </c>
      <c r="D10285" t="s">
        <v>15447</v>
      </c>
      <c r="E10285" t="str">
        <f>"3840100364338"</f>
        <v>0</v>
      </c>
      <c r="F10285" t="str">
        <f>"001820"</f>
        <v>0</v>
      </c>
      <c r="G10285" t="s">
        <v>21</v>
      </c>
    </row>
    <row r="10286" spans="1:7">
      <c r="A10286">
        <v>10285</v>
      </c>
      <c r="B10286" t="str">
        <f>"027418"</f>
        <v>0</v>
      </c>
      <c r="C10286" t="s">
        <v>3457</v>
      </c>
      <c r="D10286" t="s">
        <v>9808</v>
      </c>
      <c r="E10286" t="str">
        <f>"3900900213317"</f>
        <v>0</v>
      </c>
      <c r="F10286" t="str">
        <f>"001820"</f>
        <v>0</v>
      </c>
      <c r="G10286" t="s">
        <v>21</v>
      </c>
    </row>
    <row r="10287" spans="1:7">
      <c r="A10287">
        <v>10286</v>
      </c>
      <c r="B10287" t="str">
        <f>"025046"</f>
        <v>0</v>
      </c>
      <c r="C10287" t="s">
        <v>4990</v>
      </c>
      <c r="D10287" t="s">
        <v>9309</v>
      </c>
      <c r="E10287" t="str">
        <f>"1809900052286"</f>
        <v>0</v>
      </c>
      <c r="F10287" t="str">
        <f>"001820"</f>
        <v>0</v>
      </c>
      <c r="G10287" t="s">
        <v>21</v>
      </c>
    </row>
    <row r="10288" spans="1:7">
      <c r="A10288">
        <v>10287</v>
      </c>
      <c r="B10288" t="str">
        <f>"020567"</f>
        <v>0</v>
      </c>
      <c r="C10288" t="s">
        <v>15448</v>
      </c>
      <c r="D10288" t="s">
        <v>15449</v>
      </c>
      <c r="E10288" t="str">
        <f>"3840100009805"</f>
        <v>0</v>
      </c>
      <c r="F10288" t="str">
        <f>"001820"</f>
        <v>0</v>
      </c>
      <c r="G10288" t="s">
        <v>21</v>
      </c>
    </row>
    <row r="10289" spans="1:7">
      <c r="A10289">
        <v>10288</v>
      </c>
      <c r="B10289" t="str">
        <f>"014082"</f>
        <v>0</v>
      </c>
      <c r="C10289" t="s">
        <v>15450</v>
      </c>
      <c r="D10289" t="s">
        <v>15451</v>
      </c>
      <c r="E10289" t="str">
        <f>"3800100371130"</f>
        <v>0</v>
      </c>
      <c r="F10289" t="str">
        <f>"001820"</f>
        <v>0</v>
      </c>
      <c r="G10289" t="s">
        <v>21</v>
      </c>
    </row>
    <row r="10290" spans="1:7">
      <c r="A10290">
        <v>10289</v>
      </c>
      <c r="B10290" t="str">
        <f>"025481"</f>
        <v>0</v>
      </c>
      <c r="C10290" t="s">
        <v>15452</v>
      </c>
      <c r="D10290" t="s">
        <v>15453</v>
      </c>
      <c r="E10290" t="str">
        <f>"1349900238678"</f>
        <v>0</v>
      </c>
      <c r="F10290" t="str">
        <f>"001820"</f>
        <v>0</v>
      </c>
      <c r="G10290" t="s">
        <v>21</v>
      </c>
    </row>
    <row r="10291" spans="1:7">
      <c r="A10291">
        <v>10290</v>
      </c>
      <c r="B10291" t="str">
        <f>"025484"</f>
        <v>0</v>
      </c>
      <c r="C10291" t="s">
        <v>15454</v>
      </c>
      <c r="D10291" t="s">
        <v>15455</v>
      </c>
      <c r="E10291" t="str">
        <f>"1341900015736"</f>
        <v>0</v>
      </c>
      <c r="F10291" t="str">
        <f>"001820"</f>
        <v>0</v>
      </c>
      <c r="G10291" t="s">
        <v>21</v>
      </c>
    </row>
    <row r="10292" spans="1:7">
      <c r="A10292">
        <v>10291</v>
      </c>
      <c r="B10292" t="str">
        <f>"020502"</f>
        <v>0</v>
      </c>
      <c r="C10292" t="s">
        <v>1433</v>
      </c>
      <c r="D10292" t="s">
        <v>14816</v>
      </c>
      <c r="E10292" t="str">
        <f>"3800500129506"</f>
        <v>0</v>
      </c>
      <c r="F10292" t="str">
        <f>"001820"</f>
        <v>0</v>
      </c>
      <c r="G10292" t="s">
        <v>21</v>
      </c>
    </row>
    <row r="10293" spans="1:7">
      <c r="A10293">
        <v>10292</v>
      </c>
      <c r="B10293" t="str">
        <f>"021609"</f>
        <v>0</v>
      </c>
      <c r="C10293" t="s">
        <v>15456</v>
      </c>
      <c r="D10293" t="s">
        <v>15457</v>
      </c>
      <c r="E10293" t="str">
        <f>"3800400815971"</f>
        <v>0</v>
      </c>
      <c r="F10293" t="str">
        <f>"001820"</f>
        <v>0</v>
      </c>
      <c r="G10293" t="s">
        <v>21</v>
      </c>
    </row>
    <row r="10294" spans="1:7">
      <c r="A10294">
        <v>10293</v>
      </c>
      <c r="B10294" t="str">
        <f>"021685"</f>
        <v>0</v>
      </c>
      <c r="C10294" t="s">
        <v>1978</v>
      </c>
      <c r="D10294" t="s">
        <v>15458</v>
      </c>
      <c r="E10294" t="str">
        <f>"3841500019817"</f>
        <v>0</v>
      </c>
      <c r="F10294" t="str">
        <f>"001820"</f>
        <v>0</v>
      </c>
      <c r="G10294" t="s">
        <v>21</v>
      </c>
    </row>
    <row r="10295" spans="1:7">
      <c r="A10295">
        <v>10294</v>
      </c>
      <c r="B10295" t="str">
        <f>"025036"</f>
        <v>0</v>
      </c>
      <c r="C10295" t="s">
        <v>15459</v>
      </c>
      <c r="D10295" t="s">
        <v>15460</v>
      </c>
      <c r="E10295" t="str">
        <f>"1809900164211"</f>
        <v>0</v>
      </c>
      <c r="F10295" t="str">
        <f>"001820"</f>
        <v>0</v>
      </c>
      <c r="G10295" t="s">
        <v>21</v>
      </c>
    </row>
    <row r="10296" spans="1:7">
      <c r="A10296">
        <v>10295</v>
      </c>
      <c r="B10296" t="str">
        <f>"026539"</f>
        <v>0</v>
      </c>
      <c r="C10296" t="s">
        <v>15461</v>
      </c>
      <c r="D10296" t="s">
        <v>15462</v>
      </c>
      <c r="E10296" t="str">
        <f>"1801600091998"</f>
        <v>0</v>
      </c>
      <c r="F10296" t="str">
        <f>"001820"</f>
        <v>0</v>
      </c>
      <c r="G10296" t="s">
        <v>21</v>
      </c>
    </row>
    <row r="10297" spans="1:7">
      <c r="A10297">
        <v>10296</v>
      </c>
      <c r="B10297" t="str">
        <f>"026827"</f>
        <v>0</v>
      </c>
      <c r="C10297" t="s">
        <v>15463</v>
      </c>
      <c r="D10297" t="s">
        <v>15464</v>
      </c>
      <c r="E10297" t="str">
        <f>"1800700117556"</f>
        <v>0</v>
      </c>
      <c r="F10297" t="str">
        <f>"001820"</f>
        <v>0</v>
      </c>
      <c r="G10297" t="s">
        <v>21</v>
      </c>
    </row>
    <row r="10298" spans="1:7">
      <c r="A10298">
        <v>10297</v>
      </c>
      <c r="B10298" t="str">
        <f>"026928"</f>
        <v>0</v>
      </c>
      <c r="C10298" t="s">
        <v>15465</v>
      </c>
      <c r="D10298" t="s">
        <v>15466</v>
      </c>
      <c r="E10298" t="str">
        <f>"1801400136513"</f>
        <v>0</v>
      </c>
      <c r="F10298" t="str">
        <f>"001820"</f>
        <v>0</v>
      </c>
      <c r="G10298" t="s">
        <v>21</v>
      </c>
    </row>
    <row r="10299" spans="1:7">
      <c r="A10299">
        <v>10298</v>
      </c>
      <c r="B10299" t="str">
        <f>"027234"</f>
        <v>0</v>
      </c>
      <c r="C10299" t="s">
        <v>15467</v>
      </c>
      <c r="D10299" t="s">
        <v>11513</v>
      </c>
      <c r="E10299" t="str">
        <f>"1801600150838"</f>
        <v>0</v>
      </c>
      <c r="F10299" t="str">
        <f>"001820"</f>
        <v>0</v>
      </c>
      <c r="G10299" t="s">
        <v>21</v>
      </c>
    </row>
    <row r="10300" spans="1:7">
      <c r="A10300">
        <v>10299</v>
      </c>
      <c r="B10300" t="str">
        <f>"027417"</f>
        <v>0</v>
      </c>
      <c r="C10300" t="s">
        <v>15468</v>
      </c>
      <c r="D10300" t="s">
        <v>15469</v>
      </c>
      <c r="E10300" t="str">
        <f>"1810100109447"</f>
        <v>0</v>
      </c>
      <c r="F10300" t="str">
        <f>"001820"</f>
        <v>0</v>
      </c>
      <c r="G10300" t="s">
        <v>21</v>
      </c>
    </row>
    <row r="10301" spans="1:7">
      <c r="A10301">
        <v>10300</v>
      </c>
      <c r="B10301" t="str">
        <f>"011100"</f>
        <v>0</v>
      </c>
      <c r="C10301" t="s">
        <v>15470</v>
      </c>
      <c r="D10301" t="s">
        <v>9357</v>
      </c>
      <c r="E10301" t="str">
        <f>"3210500428100"</f>
        <v>0</v>
      </c>
      <c r="F10301" t="str">
        <f>"001820"</f>
        <v>0</v>
      </c>
      <c r="G10301" t="s">
        <v>21</v>
      </c>
    </row>
    <row r="10302" spans="1:7">
      <c r="A10302">
        <v>10301</v>
      </c>
      <c r="B10302" t="str">
        <f>"026429"</f>
        <v>0</v>
      </c>
      <c r="C10302" t="s">
        <v>15471</v>
      </c>
      <c r="D10302" t="s">
        <v>15472</v>
      </c>
      <c r="E10302" t="str">
        <f>"1801100105281"</f>
        <v>0</v>
      </c>
      <c r="F10302" t="str">
        <f>"001820"</f>
        <v>0</v>
      </c>
      <c r="G10302" t="s">
        <v>21</v>
      </c>
    </row>
    <row r="10303" spans="1:7">
      <c r="A10303">
        <v>10302</v>
      </c>
      <c r="B10303" t="str">
        <f>"007658"</f>
        <v>0</v>
      </c>
      <c r="C10303" t="s">
        <v>4967</v>
      </c>
      <c r="D10303" t="s">
        <v>15473</v>
      </c>
      <c r="E10303" t="str">
        <f>"3800300364501"</f>
        <v>0</v>
      </c>
      <c r="F10303" t="str">
        <f>"001820"</f>
        <v>0</v>
      </c>
      <c r="G10303" t="s">
        <v>21</v>
      </c>
    </row>
    <row r="10304" spans="1:7">
      <c r="A10304">
        <v>10303</v>
      </c>
      <c r="B10304" t="str">
        <f>"008820"</f>
        <v>0</v>
      </c>
      <c r="C10304" t="s">
        <v>15474</v>
      </c>
      <c r="D10304" t="s">
        <v>15475</v>
      </c>
      <c r="E10304" t="str">
        <f>"3930100077869"</f>
        <v>0</v>
      </c>
      <c r="F10304" t="str">
        <f>"001820"</f>
        <v>0</v>
      </c>
      <c r="G10304" t="s">
        <v>21</v>
      </c>
    </row>
    <row r="10305" spans="1:7">
      <c r="A10305">
        <v>10304</v>
      </c>
      <c r="B10305" t="str">
        <f>"010232"</f>
        <v>0</v>
      </c>
      <c r="C10305" t="s">
        <v>15476</v>
      </c>
      <c r="D10305" t="s">
        <v>15477</v>
      </c>
      <c r="E10305" t="str">
        <f>"3840600281768"</f>
        <v>0</v>
      </c>
      <c r="F10305" t="str">
        <f>"001820"</f>
        <v>0</v>
      </c>
      <c r="G10305" t="s">
        <v>21</v>
      </c>
    </row>
    <row r="10306" spans="1:7">
      <c r="A10306">
        <v>10305</v>
      </c>
      <c r="B10306" t="str">
        <f>"012177"</f>
        <v>0</v>
      </c>
      <c r="C10306" t="s">
        <v>78</v>
      </c>
      <c r="D10306" t="s">
        <v>4719</v>
      </c>
      <c r="E10306" t="str">
        <f>"3909900095631"</f>
        <v>0</v>
      </c>
      <c r="F10306" t="str">
        <f>"001820"</f>
        <v>0</v>
      </c>
      <c r="G10306" t="s">
        <v>21</v>
      </c>
    </row>
    <row r="10307" spans="1:7">
      <c r="A10307">
        <v>10306</v>
      </c>
      <c r="B10307" t="str">
        <f>"012851"</f>
        <v>0</v>
      </c>
      <c r="C10307" t="s">
        <v>15478</v>
      </c>
      <c r="D10307" t="s">
        <v>15479</v>
      </c>
      <c r="E10307" t="str">
        <f>"3540200178202"</f>
        <v>0</v>
      </c>
      <c r="F10307" t="str">
        <f>"001820"</f>
        <v>0</v>
      </c>
      <c r="G10307" t="s">
        <v>21</v>
      </c>
    </row>
    <row r="10308" spans="1:7">
      <c r="A10308">
        <v>10307</v>
      </c>
      <c r="B10308" t="str">
        <f>"013114"</f>
        <v>0</v>
      </c>
      <c r="C10308" t="s">
        <v>15480</v>
      </c>
      <c r="D10308" t="s">
        <v>15481</v>
      </c>
      <c r="E10308" t="str">
        <f>"3841600144192"</f>
        <v>0</v>
      </c>
      <c r="F10308" t="str">
        <f>"001820"</f>
        <v>0</v>
      </c>
      <c r="G10308" t="s">
        <v>21</v>
      </c>
    </row>
    <row r="10309" spans="1:7">
      <c r="A10309">
        <v>10308</v>
      </c>
      <c r="B10309" t="str">
        <f>"014257"</f>
        <v>0</v>
      </c>
      <c r="C10309" t="s">
        <v>178</v>
      </c>
      <c r="D10309" t="s">
        <v>15482</v>
      </c>
      <c r="E10309" t="str">
        <f>"3840600308259"</f>
        <v>0</v>
      </c>
      <c r="F10309" t="str">
        <f>"001820"</f>
        <v>0</v>
      </c>
      <c r="G10309" t="s">
        <v>21</v>
      </c>
    </row>
    <row r="10310" spans="1:7">
      <c r="A10310">
        <v>10309</v>
      </c>
      <c r="B10310" t="str">
        <f>"014516"</f>
        <v>0</v>
      </c>
      <c r="C10310" t="s">
        <v>3894</v>
      </c>
      <c r="D10310" t="s">
        <v>9935</v>
      </c>
      <c r="E10310" t="str">
        <f>"3909800926239"</f>
        <v>0</v>
      </c>
      <c r="F10310" t="str">
        <f>"001820"</f>
        <v>0</v>
      </c>
      <c r="G10310" t="s">
        <v>21</v>
      </c>
    </row>
    <row r="10311" spans="1:7">
      <c r="A10311">
        <v>10310</v>
      </c>
      <c r="B10311" t="str">
        <f>"014883"</f>
        <v>0</v>
      </c>
      <c r="C10311" t="s">
        <v>15483</v>
      </c>
      <c r="D10311" t="s">
        <v>7328</v>
      </c>
      <c r="E10311" t="str">
        <f>"5840190029548"</f>
        <v>0</v>
      </c>
      <c r="F10311" t="str">
        <f>"001820"</f>
        <v>0</v>
      </c>
      <c r="G10311" t="s">
        <v>21</v>
      </c>
    </row>
    <row r="10312" spans="1:7">
      <c r="A10312">
        <v>10311</v>
      </c>
      <c r="B10312" t="str">
        <f>"015995"</f>
        <v>0</v>
      </c>
      <c r="C10312" t="s">
        <v>5367</v>
      </c>
      <c r="D10312" t="s">
        <v>15484</v>
      </c>
      <c r="E10312" t="str">
        <f>"3900900233504"</f>
        <v>0</v>
      </c>
      <c r="F10312" t="str">
        <f>"001820"</f>
        <v>0</v>
      </c>
      <c r="G10312" t="s">
        <v>21</v>
      </c>
    </row>
    <row r="10313" spans="1:7">
      <c r="A10313">
        <v>10312</v>
      </c>
      <c r="B10313" t="str">
        <f>"016294"</f>
        <v>0</v>
      </c>
      <c r="C10313" t="s">
        <v>15485</v>
      </c>
      <c r="D10313" t="s">
        <v>15486</v>
      </c>
      <c r="E10313" t="str">
        <f>"3800900651773"</f>
        <v>0</v>
      </c>
      <c r="F10313" t="str">
        <f>"001820"</f>
        <v>0</v>
      </c>
      <c r="G10313" t="s">
        <v>21</v>
      </c>
    </row>
    <row r="10314" spans="1:7">
      <c r="A10314">
        <v>10313</v>
      </c>
      <c r="B10314" t="str">
        <f>"017012"</f>
        <v>0</v>
      </c>
      <c r="C10314" t="s">
        <v>15487</v>
      </c>
      <c r="D10314" t="s">
        <v>15488</v>
      </c>
      <c r="E10314" t="str">
        <f>"3841600105685"</f>
        <v>0</v>
      </c>
      <c r="F10314" t="str">
        <f>"001820"</f>
        <v>0</v>
      </c>
      <c r="G10314" t="s">
        <v>21</v>
      </c>
    </row>
    <row r="10315" spans="1:7">
      <c r="A10315">
        <v>10314</v>
      </c>
      <c r="B10315" t="str">
        <f>"017226"</f>
        <v>0</v>
      </c>
      <c r="C10315" t="s">
        <v>7256</v>
      </c>
      <c r="D10315" t="s">
        <v>7086</v>
      </c>
      <c r="E10315" t="str">
        <f>"3801400104006"</f>
        <v>0</v>
      </c>
      <c r="F10315" t="str">
        <f>"001820"</f>
        <v>0</v>
      </c>
      <c r="G10315" t="s">
        <v>21</v>
      </c>
    </row>
    <row r="10316" spans="1:7">
      <c r="A10316">
        <v>10315</v>
      </c>
      <c r="B10316" t="str">
        <f>"017376"</f>
        <v>0</v>
      </c>
      <c r="C10316" t="s">
        <v>15489</v>
      </c>
      <c r="D10316" t="s">
        <v>15490</v>
      </c>
      <c r="E10316" t="str">
        <f>"3840700102393"</f>
        <v>0</v>
      </c>
      <c r="F10316" t="str">
        <f>"001820"</f>
        <v>0</v>
      </c>
      <c r="G10316" t="s">
        <v>21</v>
      </c>
    </row>
    <row r="10317" spans="1:7">
      <c r="A10317">
        <v>10316</v>
      </c>
      <c r="B10317" t="str">
        <f>"017977"</f>
        <v>0</v>
      </c>
      <c r="C10317" t="s">
        <v>15491</v>
      </c>
      <c r="D10317" t="s">
        <v>15492</v>
      </c>
      <c r="E10317" t="str">
        <f>"3840500009951"</f>
        <v>0</v>
      </c>
      <c r="F10317" t="str">
        <f>"001820"</f>
        <v>0</v>
      </c>
      <c r="G10317" t="s">
        <v>21</v>
      </c>
    </row>
    <row r="10318" spans="1:7">
      <c r="A10318">
        <v>10317</v>
      </c>
      <c r="B10318" t="str">
        <f>"018216"</f>
        <v>0</v>
      </c>
      <c r="C10318" t="s">
        <v>3783</v>
      </c>
      <c r="D10318" t="s">
        <v>2982</v>
      </c>
      <c r="E10318" t="str">
        <f>"3930100400473"</f>
        <v>0</v>
      </c>
      <c r="F10318" t="str">
        <f>"001820"</f>
        <v>0</v>
      </c>
      <c r="G10318" t="s">
        <v>21</v>
      </c>
    </row>
    <row r="10319" spans="1:7">
      <c r="A10319">
        <v>10318</v>
      </c>
      <c r="B10319" t="str">
        <f>"018217"</f>
        <v>0</v>
      </c>
      <c r="C10319" t="s">
        <v>2331</v>
      </c>
      <c r="D10319" t="s">
        <v>15493</v>
      </c>
      <c r="E10319" t="str">
        <f>"3841100178462"</f>
        <v>0</v>
      </c>
      <c r="F10319" t="str">
        <f>"001820"</f>
        <v>0</v>
      </c>
      <c r="G10319" t="s">
        <v>21</v>
      </c>
    </row>
    <row r="10320" spans="1:7">
      <c r="A10320">
        <v>10319</v>
      </c>
      <c r="B10320" t="str">
        <f>"018621"</f>
        <v>0</v>
      </c>
      <c r="C10320" t="s">
        <v>15494</v>
      </c>
      <c r="D10320" t="s">
        <v>7318</v>
      </c>
      <c r="E10320" t="str">
        <f>"3800900573381"</f>
        <v>0</v>
      </c>
      <c r="F10320" t="str">
        <f>"001820"</f>
        <v>0</v>
      </c>
      <c r="G10320" t="s">
        <v>21</v>
      </c>
    </row>
    <row r="10321" spans="1:7">
      <c r="A10321">
        <v>10320</v>
      </c>
      <c r="B10321" t="str">
        <f>"018662"</f>
        <v>0</v>
      </c>
      <c r="C10321" t="s">
        <v>563</v>
      </c>
      <c r="D10321" t="s">
        <v>9300</v>
      </c>
      <c r="E10321" t="str">
        <f>"3801400500076"</f>
        <v>0</v>
      </c>
      <c r="F10321" t="str">
        <f>"001820"</f>
        <v>0</v>
      </c>
      <c r="G10321" t="s">
        <v>21</v>
      </c>
    </row>
    <row r="10322" spans="1:7">
      <c r="A10322">
        <v>10321</v>
      </c>
      <c r="B10322" t="str">
        <f>"019210"</f>
        <v>0</v>
      </c>
      <c r="C10322" t="s">
        <v>15495</v>
      </c>
      <c r="D10322" t="s">
        <v>15496</v>
      </c>
      <c r="E10322" t="str">
        <f>"3801400560036"</f>
        <v>0</v>
      </c>
      <c r="F10322" t="str">
        <f>"001820"</f>
        <v>0</v>
      </c>
      <c r="G10322" t="s">
        <v>21</v>
      </c>
    </row>
    <row r="10323" spans="1:7">
      <c r="A10323">
        <v>10322</v>
      </c>
      <c r="B10323" t="str">
        <f>"019217"</f>
        <v>0</v>
      </c>
      <c r="C10323" t="s">
        <v>15497</v>
      </c>
      <c r="D10323" t="s">
        <v>340</v>
      </c>
      <c r="E10323" t="str">
        <f>"3800100031525"</f>
        <v>0</v>
      </c>
      <c r="F10323" t="str">
        <f>"001820"</f>
        <v>0</v>
      </c>
      <c r="G10323" t="s">
        <v>21</v>
      </c>
    </row>
    <row r="10324" spans="1:7">
      <c r="A10324">
        <v>10323</v>
      </c>
      <c r="B10324" t="str">
        <f>"019272"</f>
        <v>0</v>
      </c>
      <c r="C10324" t="s">
        <v>15498</v>
      </c>
      <c r="D10324" t="s">
        <v>15499</v>
      </c>
      <c r="E10324" t="str">
        <f>"3841700760456"</f>
        <v>0</v>
      </c>
      <c r="F10324" t="str">
        <f>"001820"</f>
        <v>0</v>
      </c>
      <c r="G10324" t="s">
        <v>21</v>
      </c>
    </row>
    <row r="10325" spans="1:7">
      <c r="A10325">
        <v>10324</v>
      </c>
      <c r="B10325" t="str">
        <f>"019502"</f>
        <v>0</v>
      </c>
      <c r="C10325" t="s">
        <v>3634</v>
      </c>
      <c r="D10325" t="s">
        <v>15500</v>
      </c>
      <c r="E10325" t="str">
        <f>"5840800019401"</f>
        <v>0</v>
      </c>
      <c r="F10325" t="str">
        <f>"001820"</f>
        <v>0</v>
      </c>
      <c r="G10325" t="s">
        <v>21</v>
      </c>
    </row>
    <row r="10326" spans="1:7">
      <c r="A10326">
        <v>10325</v>
      </c>
      <c r="B10326" t="str">
        <f>"019750"</f>
        <v>0</v>
      </c>
      <c r="C10326" t="s">
        <v>15501</v>
      </c>
      <c r="D10326" t="s">
        <v>15502</v>
      </c>
      <c r="E10326" t="str">
        <f>"5841700029251"</f>
        <v>0</v>
      </c>
      <c r="F10326" t="str">
        <f>"001820"</f>
        <v>0</v>
      </c>
      <c r="G10326" t="s">
        <v>21</v>
      </c>
    </row>
    <row r="10327" spans="1:7">
      <c r="A10327">
        <v>10326</v>
      </c>
      <c r="B10327" t="str">
        <f>"020049"</f>
        <v>0</v>
      </c>
      <c r="C10327" t="s">
        <v>15503</v>
      </c>
      <c r="D10327" t="s">
        <v>15504</v>
      </c>
      <c r="E10327" t="str">
        <f>"3669800107605"</f>
        <v>0</v>
      </c>
      <c r="F10327" t="str">
        <f>"001820"</f>
        <v>0</v>
      </c>
      <c r="G10327" t="s">
        <v>21</v>
      </c>
    </row>
    <row r="10328" spans="1:7">
      <c r="A10328">
        <v>10327</v>
      </c>
      <c r="B10328" t="str">
        <f>"020218"</f>
        <v>0</v>
      </c>
      <c r="C10328" t="s">
        <v>311</v>
      </c>
      <c r="D10328" t="s">
        <v>15505</v>
      </c>
      <c r="E10328" t="str">
        <f>"3841400040954"</f>
        <v>0</v>
      </c>
      <c r="F10328" t="str">
        <f>"001820"</f>
        <v>0</v>
      </c>
      <c r="G10328" t="s">
        <v>21</v>
      </c>
    </row>
    <row r="10329" spans="1:7">
      <c r="A10329">
        <v>10328</v>
      </c>
      <c r="B10329" t="str">
        <f>"020310"</f>
        <v>0</v>
      </c>
      <c r="C10329" t="s">
        <v>15506</v>
      </c>
      <c r="D10329" t="s">
        <v>7753</v>
      </c>
      <c r="E10329" t="str">
        <f>"3800800059023"</f>
        <v>0</v>
      </c>
      <c r="F10329" t="str">
        <f>"001820"</f>
        <v>0</v>
      </c>
      <c r="G10329" t="s">
        <v>21</v>
      </c>
    </row>
    <row r="10330" spans="1:7">
      <c r="A10330">
        <v>10329</v>
      </c>
      <c r="B10330" t="str">
        <f>"020433"</f>
        <v>0</v>
      </c>
      <c r="C10330" t="s">
        <v>15507</v>
      </c>
      <c r="D10330" t="s">
        <v>15508</v>
      </c>
      <c r="E10330" t="str">
        <f>"3960100277329"</f>
        <v>0</v>
      </c>
      <c r="F10330" t="str">
        <f>"001820"</f>
        <v>0</v>
      </c>
      <c r="G10330" t="s">
        <v>21</v>
      </c>
    </row>
    <row r="10331" spans="1:7">
      <c r="A10331">
        <v>10330</v>
      </c>
      <c r="B10331" t="str">
        <f>"020454"</f>
        <v>0</v>
      </c>
      <c r="C10331" t="s">
        <v>2225</v>
      </c>
      <c r="D10331" t="s">
        <v>5973</v>
      </c>
      <c r="E10331" t="str">
        <f>"3841600009767"</f>
        <v>0</v>
      </c>
      <c r="F10331" t="str">
        <f>"001820"</f>
        <v>0</v>
      </c>
      <c r="G10331" t="s">
        <v>21</v>
      </c>
    </row>
    <row r="10332" spans="1:7">
      <c r="A10332">
        <v>10331</v>
      </c>
      <c r="B10332" t="str">
        <f>"020518"</f>
        <v>0</v>
      </c>
      <c r="C10332" t="s">
        <v>15509</v>
      </c>
      <c r="D10332" t="s">
        <v>15510</v>
      </c>
      <c r="E10332" t="str">
        <f>"3460100295356"</f>
        <v>0</v>
      </c>
      <c r="F10332" t="str">
        <f>"001820"</f>
        <v>0</v>
      </c>
      <c r="G10332" t="s">
        <v>21</v>
      </c>
    </row>
    <row r="10333" spans="1:7">
      <c r="A10333">
        <v>10332</v>
      </c>
      <c r="B10333" t="str">
        <f>"020718"</f>
        <v>0</v>
      </c>
      <c r="C10333" t="s">
        <v>2193</v>
      </c>
      <c r="D10333" t="s">
        <v>15511</v>
      </c>
      <c r="E10333" t="str">
        <f>"3841100173762"</f>
        <v>0</v>
      </c>
      <c r="F10333" t="str">
        <f>"001820"</f>
        <v>0</v>
      </c>
      <c r="G10333" t="s">
        <v>21</v>
      </c>
    </row>
    <row r="10334" spans="1:7">
      <c r="A10334">
        <v>10333</v>
      </c>
      <c r="B10334" t="str">
        <f>"020720"</f>
        <v>0</v>
      </c>
      <c r="C10334" t="s">
        <v>1697</v>
      </c>
      <c r="D10334" t="s">
        <v>15512</v>
      </c>
      <c r="E10334" t="str">
        <f>"3801400107692"</f>
        <v>0</v>
      </c>
      <c r="F10334" t="str">
        <f>"001820"</f>
        <v>0</v>
      </c>
      <c r="G10334" t="s">
        <v>21</v>
      </c>
    </row>
    <row r="10335" spans="1:7">
      <c r="A10335">
        <v>10334</v>
      </c>
      <c r="B10335" t="str">
        <f>"020738"</f>
        <v>0</v>
      </c>
      <c r="C10335" t="s">
        <v>15513</v>
      </c>
      <c r="D10335" t="s">
        <v>15514</v>
      </c>
      <c r="E10335" t="str">
        <f>"3930100068355"</f>
        <v>0</v>
      </c>
      <c r="F10335" t="str">
        <f>"001820"</f>
        <v>0</v>
      </c>
      <c r="G10335" t="s">
        <v>21</v>
      </c>
    </row>
    <row r="10336" spans="1:7">
      <c r="A10336">
        <v>10335</v>
      </c>
      <c r="B10336" t="str">
        <f>"020899"</f>
        <v>0</v>
      </c>
      <c r="C10336" t="s">
        <v>15515</v>
      </c>
      <c r="D10336" t="s">
        <v>15516</v>
      </c>
      <c r="E10336" t="str">
        <f>"3801490000060"</f>
        <v>0</v>
      </c>
      <c r="F10336" t="str">
        <f>"001820"</f>
        <v>0</v>
      </c>
      <c r="G10336" t="s">
        <v>21</v>
      </c>
    </row>
    <row r="10337" spans="1:7">
      <c r="A10337">
        <v>10336</v>
      </c>
      <c r="B10337" t="str">
        <f>"021012"</f>
        <v>0</v>
      </c>
      <c r="C10337" t="s">
        <v>5024</v>
      </c>
      <c r="D10337" t="s">
        <v>15517</v>
      </c>
      <c r="E10337" t="str">
        <f>"3801400515871"</f>
        <v>0</v>
      </c>
      <c r="F10337" t="str">
        <f>"001820"</f>
        <v>0</v>
      </c>
      <c r="G10337" t="s">
        <v>21</v>
      </c>
    </row>
    <row r="10338" spans="1:7">
      <c r="A10338">
        <v>10337</v>
      </c>
      <c r="B10338" t="str">
        <f>"021411"</f>
        <v>0</v>
      </c>
      <c r="C10338" t="s">
        <v>15518</v>
      </c>
      <c r="D10338" t="s">
        <v>3923</v>
      </c>
      <c r="E10338" t="str">
        <f>"3841700013260"</f>
        <v>0</v>
      </c>
      <c r="F10338" t="str">
        <f>"001820"</f>
        <v>0</v>
      </c>
      <c r="G10338" t="s">
        <v>21</v>
      </c>
    </row>
    <row r="10339" spans="1:7">
      <c r="A10339">
        <v>10338</v>
      </c>
      <c r="B10339" t="str">
        <f>"021615"</f>
        <v>0</v>
      </c>
      <c r="C10339" t="s">
        <v>15519</v>
      </c>
      <c r="D10339" t="s">
        <v>15520</v>
      </c>
      <c r="E10339" t="str">
        <f>"1840100037462"</f>
        <v>0</v>
      </c>
      <c r="F10339" t="str">
        <f>"001820"</f>
        <v>0</v>
      </c>
      <c r="G10339" t="s">
        <v>21</v>
      </c>
    </row>
    <row r="10340" spans="1:7">
      <c r="A10340">
        <v>10339</v>
      </c>
      <c r="B10340" t="str">
        <f>"021679"</f>
        <v>0</v>
      </c>
      <c r="C10340" t="s">
        <v>5717</v>
      </c>
      <c r="D10340" t="s">
        <v>15521</v>
      </c>
      <c r="E10340" t="str">
        <f>"3800900772058"</f>
        <v>0</v>
      </c>
      <c r="F10340" t="str">
        <f>"001820"</f>
        <v>0</v>
      </c>
      <c r="G10340" t="s">
        <v>21</v>
      </c>
    </row>
    <row r="10341" spans="1:7">
      <c r="A10341">
        <v>10340</v>
      </c>
      <c r="B10341" t="str">
        <f>"021682"</f>
        <v>0</v>
      </c>
      <c r="C10341" t="s">
        <v>15522</v>
      </c>
      <c r="D10341" t="s">
        <v>15523</v>
      </c>
      <c r="E10341" t="str">
        <f>"3800700469424"</f>
        <v>0</v>
      </c>
      <c r="F10341" t="str">
        <f>"001820"</f>
        <v>0</v>
      </c>
      <c r="G10341" t="s">
        <v>21</v>
      </c>
    </row>
    <row r="10342" spans="1:7">
      <c r="A10342">
        <v>10341</v>
      </c>
      <c r="B10342" t="str">
        <f>"021716"</f>
        <v>0</v>
      </c>
      <c r="C10342" t="s">
        <v>260</v>
      </c>
      <c r="D10342" t="s">
        <v>15524</v>
      </c>
      <c r="E10342" t="str">
        <f>"3841800047611"</f>
        <v>0</v>
      </c>
      <c r="F10342" t="str">
        <f>"001820"</f>
        <v>0</v>
      </c>
      <c r="G10342" t="s">
        <v>21</v>
      </c>
    </row>
    <row r="10343" spans="1:7">
      <c r="A10343">
        <v>10342</v>
      </c>
      <c r="B10343" t="str">
        <f>"021750"</f>
        <v>0</v>
      </c>
      <c r="C10343" t="s">
        <v>14796</v>
      </c>
      <c r="D10343" t="s">
        <v>15525</v>
      </c>
      <c r="E10343" t="str">
        <f>"3841700038459"</f>
        <v>0</v>
      </c>
      <c r="F10343" t="str">
        <f>"001820"</f>
        <v>0</v>
      </c>
      <c r="G10343" t="s">
        <v>21</v>
      </c>
    </row>
    <row r="10344" spans="1:7">
      <c r="A10344">
        <v>10343</v>
      </c>
      <c r="B10344" t="str">
        <f>"021955"</f>
        <v>0</v>
      </c>
      <c r="C10344" t="s">
        <v>12958</v>
      </c>
      <c r="D10344" t="s">
        <v>15526</v>
      </c>
      <c r="E10344" t="str">
        <f>"3840100114226"</f>
        <v>0</v>
      </c>
      <c r="F10344" t="str">
        <f>"001820"</f>
        <v>0</v>
      </c>
      <c r="G10344" t="s">
        <v>21</v>
      </c>
    </row>
    <row r="10345" spans="1:7">
      <c r="A10345">
        <v>10344</v>
      </c>
      <c r="B10345" t="str">
        <f>"022177"</f>
        <v>0</v>
      </c>
      <c r="C10345" t="s">
        <v>15527</v>
      </c>
      <c r="D10345" t="s">
        <v>15528</v>
      </c>
      <c r="E10345" t="str">
        <f>"3620500607507"</f>
        <v>0</v>
      </c>
      <c r="F10345" t="str">
        <f>"001820"</f>
        <v>0</v>
      </c>
      <c r="G10345" t="s">
        <v>21</v>
      </c>
    </row>
    <row r="10346" spans="1:7">
      <c r="A10346">
        <v>10345</v>
      </c>
      <c r="B10346" t="str">
        <f>"022192"</f>
        <v>0</v>
      </c>
      <c r="C10346" t="s">
        <v>7891</v>
      </c>
      <c r="D10346" t="s">
        <v>15529</v>
      </c>
      <c r="E10346" t="str">
        <f>"3841600217238"</f>
        <v>0</v>
      </c>
      <c r="F10346" t="str">
        <f>"001820"</f>
        <v>0</v>
      </c>
      <c r="G10346" t="s">
        <v>21</v>
      </c>
    </row>
    <row r="10347" spans="1:7">
      <c r="A10347">
        <v>10346</v>
      </c>
      <c r="B10347" t="str">
        <f>"022258"</f>
        <v>0</v>
      </c>
      <c r="C10347" t="s">
        <v>10301</v>
      </c>
      <c r="D10347" t="s">
        <v>15530</v>
      </c>
      <c r="E10347" t="str">
        <f>"3841700311597"</f>
        <v>0</v>
      </c>
      <c r="F10347" t="str">
        <f>"001820"</f>
        <v>0</v>
      </c>
      <c r="G10347" t="s">
        <v>21</v>
      </c>
    </row>
    <row r="10348" spans="1:7">
      <c r="A10348">
        <v>10347</v>
      </c>
      <c r="B10348" t="str">
        <f>"022301"</f>
        <v>0</v>
      </c>
      <c r="C10348" t="s">
        <v>15531</v>
      </c>
      <c r="D10348" t="s">
        <v>15532</v>
      </c>
      <c r="E10348" t="str">
        <f>"3909800664960"</f>
        <v>0</v>
      </c>
      <c r="F10348" t="str">
        <f>"001820"</f>
        <v>0</v>
      </c>
      <c r="G10348" t="s">
        <v>21</v>
      </c>
    </row>
    <row r="10349" spans="1:7">
      <c r="A10349">
        <v>10348</v>
      </c>
      <c r="B10349" t="str">
        <f>"022372"</f>
        <v>0</v>
      </c>
      <c r="C10349" t="s">
        <v>15533</v>
      </c>
      <c r="D10349" t="s">
        <v>15534</v>
      </c>
      <c r="E10349" t="str">
        <f>"3840100386927"</f>
        <v>0</v>
      </c>
      <c r="F10349" t="str">
        <f>"001820"</f>
        <v>0</v>
      </c>
      <c r="G10349" t="s">
        <v>21</v>
      </c>
    </row>
    <row r="10350" spans="1:7">
      <c r="A10350">
        <v>10349</v>
      </c>
      <c r="B10350" t="str">
        <f>"022551"</f>
        <v>0</v>
      </c>
      <c r="C10350" t="s">
        <v>15535</v>
      </c>
      <c r="D10350" t="s">
        <v>15536</v>
      </c>
      <c r="E10350" t="str">
        <f>"3841100190004"</f>
        <v>0</v>
      </c>
      <c r="F10350" t="str">
        <f>"001820"</f>
        <v>0</v>
      </c>
      <c r="G10350" t="s">
        <v>21</v>
      </c>
    </row>
    <row r="10351" spans="1:7">
      <c r="A10351">
        <v>10350</v>
      </c>
      <c r="B10351" t="str">
        <f>"022590"</f>
        <v>0</v>
      </c>
      <c r="C10351" t="s">
        <v>15537</v>
      </c>
      <c r="D10351" t="s">
        <v>15538</v>
      </c>
      <c r="E10351" t="str">
        <f>"1841500017028"</f>
        <v>0</v>
      </c>
      <c r="F10351" t="str">
        <f>"001820"</f>
        <v>0</v>
      </c>
      <c r="G10351" t="s">
        <v>21</v>
      </c>
    </row>
    <row r="10352" spans="1:7">
      <c r="A10352">
        <v>10351</v>
      </c>
      <c r="B10352" t="str">
        <f>"022910"</f>
        <v>0</v>
      </c>
      <c r="C10352" t="s">
        <v>15539</v>
      </c>
      <c r="D10352" t="s">
        <v>15540</v>
      </c>
      <c r="E10352" t="str">
        <f>"1840800012926"</f>
        <v>0</v>
      </c>
      <c r="F10352" t="str">
        <f>"001820"</f>
        <v>0</v>
      </c>
      <c r="G10352" t="s">
        <v>21</v>
      </c>
    </row>
    <row r="10353" spans="1:7">
      <c r="A10353">
        <v>10352</v>
      </c>
      <c r="B10353" t="str">
        <f>"023279"</f>
        <v>0</v>
      </c>
      <c r="C10353" t="s">
        <v>15541</v>
      </c>
      <c r="D10353" t="s">
        <v>15542</v>
      </c>
      <c r="E10353" t="str">
        <f>"3470800602405"</f>
        <v>0</v>
      </c>
      <c r="F10353" t="str">
        <f>"001820"</f>
        <v>0</v>
      </c>
      <c r="G10353" t="s">
        <v>21</v>
      </c>
    </row>
    <row r="10354" spans="1:7">
      <c r="A10354">
        <v>10353</v>
      </c>
      <c r="B10354" t="str">
        <f>"023428"</f>
        <v>0</v>
      </c>
      <c r="C10354" t="s">
        <v>15543</v>
      </c>
      <c r="D10354" t="s">
        <v>15544</v>
      </c>
      <c r="E10354" t="str">
        <f>"3920600362473"</f>
        <v>0</v>
      </c>
      <c r="F10354" t="str">
        <f>"001820"</f>
        <v>0</v>
      </c>
      <c r="G10354" t="s">
        <v>21</v>
      </c>
    </row>
    <row r="10355" spans="1:7">
      <c r="A10355">
        <v>10354</v>
      </c>
      <c r="B10355" t="str">
        <f>"023474"</f>
        <v>0</v>
      </c>
      <c r="C10355" t="s">
        <v>15545</v>
      </c>
      <c r="D10355" t="s">
        <v>15546</v>
      </c>
      <c r="E10355" t="str">
        <f>"3800700737593"</f>
        <v>0</v>
      </c>
      <c r="F10355" t="str">
        <f>"001820"</f>
        <v>0</v>
      </c>
      <c r="G10355" t="s">
        <v>21</v>
      </c>
    </row>
    <row r="10356" spans="1:7">
      <c r="A10356">
        <v>10355</v>
      </c>
      <c r="B10356" t="str">
        <f>"023707"</f>
        <v>0</v>
      </c>
      <c r="C10356" t="s">
        <v>15547</v>
      </c>
      <c r="D10356" t="s">
        <v>15548</v>
      </c>
      <c r="E10356" t="str">
        <f>"1840700035509"</f>
        <v>0</v>
      </c>
      <c r="F10356" t="str">
        <f>"001820"</f>
        <v>0</v>
      </c>
      <c r="G10356" t="s">
        <v>21</v>
      </c>
    </row>
    <row r="10357" spans="1:7">
      <c r="A10357">
        <v>10356</v>
      </c>
      <c r="B10357" t="str">
        <f>"024154"</f>
        <v>0</v>
      </c>
      <c r="C10357" t="s">
        <v>2117</v>
      </c>
      <c r="D10357" t="s">
        <v>15549</v>
      </c>
      <c r="E10357" t="str">
        <f>"3920400284070"</f>
        <v>0</v>
      </c>
      <c r="F10357" t="str">
        <f>"001820"</f>
        <v>0</v>
      </c>
      <c r="G10357" t="s">
        <v>21</v>
      </c>
    </row>
    <row r="10358" spans="1:7">
      <c r="A10358">
        <v>10357</v>
      </c>
      <c r="B10358" t="str">
        <f>"024678"</f>
        <v>0</v>
      </c>
      <c r="C10358" t="s">
        <v>15550</v>
      </c>
      <c r="D10358" t="s">
        <v>15551</v>
      </c>
      <c r="E10358" t="str">
        <f>"1841300004241"</f>
        <v>0</v>
      </c>
      <c r="F10358" t="str">
        <f>"001820"</f>
        <v>0</v>
      </c>
      <c r="G10358" t="s">
        <v>21</v>
      </c>
    </row>
    <row r="10359" spans="1:7">
      <c r="A10359">
        <v>10358</v>
      </c>
      <c r="B10359" t="str">
        <f>"024679"</f>
        <v>0</v>
      </c>
      <c r="C10359" t="s">
        <v>1693</v>
      </c>
      <c r="D10359" t="s">
        <v>15552</v>
      </c>
      <c r="E10359" t="str">
        <f>"3801500176459"</f>
        <v>0</v>
      </c>
      <c r="F10359" t="str">
        <f>"001820"</f>
        <v>0</v>
      </c>
      <c r="G10359" t="s">
        <v>21</v>
      </c>
    </row>
    <row r="10360" spans="1:7">
      <c r="A10360">
        <v>10359</v>
      </c>
      <c r="B10360" t="str">
        <f>"024782"</f>
        <v>0</v>
      </c>
      <c r="C10360" t="s">
        <v>15553</v>
      </c>
      <c r="D10360" t="s">
        <v>15554</v>
      </c>
      <c r="E10360" t="str">
        <f>"3840700287741"</f>
        <v>0</v>
      </c>
      <c r="F10360" t="str">
        <f>"001820"</f>
        <v>0</v>
      </c>
      <c r="G10360" t="s">
        <v>21</v>
      </c>
    </row>
    <row r="10361" spans="1:7">
      <c r="A10361">
        <v>10360</v>
      </c>
      <c r="B10361" t="str">
        <f>"025171"</f>
        <v>0</v>
      </c>
      <c r="C10361" t="s">
        <v>15555</v>
      </c>
      <c r="D10361" t="s">
        <v>15556</v>
      </c>
      <c r="E10361" t="str">
        <f>"3800100983909"</f>
        <v>0</v>
      </c>
      <c r="F10361" t="str">
        <f>"001820"</f>
        <v>0</v>
      </c>
      <c r="G10361" t="s">
        <v>21</v>
      </c>
    </row>
    <row r="10362" spans="1:7">
      <c r="A10362">
        <v>10361</v>
      </c>
      <c r="B10362" t="str">
        <f>"025172"</f>
        <v>0</v>
      </c>
      <c r="C10362" t="s">
        <v>12702</v>
      </c>
      <c r="D10362" t="s">
        <v>15557</v>
      </c>
      <c r="E10362" t="str">
        <f>"3841500447789"</f>
        <v>0</v>
      </c>
      <c r="F10362" t="str">
        <f>"001820"</f>
        <v>0</v>
      </c>
      <c r="G10362" t="s">
        <v>21</v>
      </c>
    </row>
    <row r="10363" spans="1:7">
      <c r="A10363">
        <v>10362</v>
      </c>
      <c r="B10363" t="str">
        <f>"025275"</f>
        <v>0</v>
      </c>
      <c r="C10363" t="s">
        <v>15558</v>
      </c>
      <c r="D10363" t="s">
        <v>15559</v>
      </c>
      <c r="E10363" t="str">
        <f>"3840200454215"</f>
        <v>0</v>
      </c>
      <c r="F10363" t="str">
        <f>"001820"</f>
        <v>0</v>
      </c>
      <c r="G10363" t="s">
        <v>21</v>
      </c>
    </row>
    <row r="10364" spans="1:7">
      <c r="A10364">
        <v>10363</v>
      </c>
      <c r="B10364" t="str">
        <f>"025671"</f>
        <v>0</v>
      </c>
      <c r="C10364" t="s">
        <v>15560</v>
      </c>
      <c r="D10364" t="s">
        <v>7086</v>
      </c>
      <c r="E10364" t="str">
        <f>"3840700279137"</f>
        <v>0</v>
      </c>
      <c r="F10364" t="str">
        <f>"001820"</f>
        <v>0</v>
      </c>
      <c r="G10364" t="s">
        <v>21</v>
      </c>
    </row>
    <row r="10365" spans="1:7">
      <c r="A10365">
        <v>10364</v>
      </c>
      <c r="B10365" t="str">
        <f>"025676"</f>
        <v>0</v>
      </c>
      <c r="C10365" t="s">
        <v>15561</v>
      </c>
      <c r="D10365" t="s">
        <v>15562</v>
      </c>
      <c r="E10365" t="str">
        <f>"3800700409791"</f>
        <v>0</v>
      </c>
      <c r="F10365" t="str">
        <f>"001820"</f>
        <v>0</v>
      </c>
      <c r="G10365" t="s">
        <v>21</v>
      </c>
    </row>
    <row r="10366" spans="1:7">
      <c r="A10366">
        <v>10365</v>
      </c>
      <c r="B10366" t="str">
        <f>"025735"</f>
        <v>0</v>
      </c>
      <c r="C10366" t="s">
        <v>15563</v>
      </c>
      <c r="D10366" t="s">
        <v>15564</v>
      </c>
      <c r="E10366" t="str">
        <f>"1709800189205"</f>
        <v>0</v>
      </c>
      <c r="F10366" t="str">
        <f>"001820"</f>
        <v>0</v>
      </c>
      <c r="G10366" t="s">
        <v>21</v>
      </c>
    </row>
    <row r="10367" spans="1:7">
      <c r="A10367">
        <v>10366</v>
      </c>
      <c r="B10367" t="str">
        <f>"025800"</f>
        <v>0</v>
      </c>
      <c r="C10367" t="s">
        <v>15565</v>
      </c>
      <c r="D10367" t="s">
        <v>10853</v>
      </c>
      <c r="E10367" t="str">
        <f>"1101401844097"</f>
        <v>0</v>
      </c>
      <c r="F10367" t="str">
        <f>"001820"</f>
        <v>0</v>
      </c>
      <c r="G10367" t="s">
        <v>21</v>
      </c>
    </row>
    <row r="10368" spans="1:7">
      <c r="A10368">
        <v>10367</v>
      </c>
      <c r="B10368" t="str">
        <f>"026032"</f>
        <v>0</v>
      </c>
      <c r="C10368" t="s">
        <v>15566</v>
      </c>
      <c r="D10368" t="s">
        <v>15567</v>
      </c>
      <c r="E10368" t="str">
        <f>"1840100025995"</f>
        <v>0</v>
      </c>
      <c r="F10368" t="str">
        <f>"001820"</f>
        <v>0</v>
      </c>
      <c r="G10368" t="s">
        <v>21</v>
      </c>
    </row>
    <row r="10369" spans="1:7">
      <c r="A10369">
        <v>10368</v>
      </c>
      <c r="B10369" t="str">
        <f>"026247"</f>
        <v>0</v>
      </c>
      <c r="C10369" t="s">
        <v>451</v>
      </c>
      <c r="D10369" t="s">
        <v>15568</v>
      </c>
      <c r="E10369" t="str">
        <f>"1840400007437"</f>
        <v>0</v>
      </c>
      <c r="F10369" t="str">
        <f>"001820"</f>
        <v>0</v>
      </c>
      <c r="G10369" t="s">
        <v>21</v>
      </c>
    </row>
    <row r="10370" spans="1:7">
      <c r="A10370">
        <v>10369</v>
      </c>
      <c r="B10370" t="str">
        <f>"026613"</f>
        <v>0</v>
      </c>
      <c r="C10370" t="s">
        <v>15569</v>
      </c>
      <c r="D10370" t="s">
        <v>15570</v>
      </c>
      <c r="E10370" t="str">
        <f>"1800400111650"</f>
        <v>0</v>
      </c>
      <c r="F10370" t="str">
        <f>"001820"</f>
        <v>0</v>
      </c>
      <c r="G10370" t="s">
        <v>21</v>
      </c>
    </row>
    <row r="10371" spans="1:7">
      <c r="A10371">
        <v>10370</v>
      </c>
      <c r="B10371" t="str">
        <f>"026825"</f>
        <v>0</v>
      </c>
      <c r="C10371" t="s">
        <v>4182</v>
      </c>
      <c r="D10371" t="s">
        <v>15571</v>
      </c>
      <c r="E10371" t="str">
        <f>"1841700084870"</f>
        <v>0</v>
      </c>
      <c r="F10371" t="str">
        <f>"001820"</f>
        <v>0</v>
      </c>
      <c r="G10371" t="s">
        <v>21</v>
      </c>
    </row>
    <row r="10372" spans="1:7">
      <c r="A10372">
        <v>10371</v>
      </c>
      <c r="B10372" t="str">
        <f>"026826"</f>
        <v>0</v>
      </c>
      <c r="C10372" t="s">
        <v>15572</v>
      </c>
      <c r="D10372" t="s">
        <v>15573</v>
      </c>
      <c r="E10372" t="str">
        <f>"3750100495701"</f>
        <v>0</v>
      </c>
      <c r="F10372" t="str">
        <f>"001820"</f>
        <v>0</v>
      </c>
      <c r="G10372" t="s">
        <v>21</v>
      </c>
    </row>
    <row r="10373" spans="1:7">
      <c r="A10373">
        <v>10372</v>
      </c>
      <c r="B10373" t="str">
        <f>"027232"</f>
        <v>0</v>
      </c>
      <c r="C10373" t="s">
        <v>3346</v>
      </c>
      <c r="D10373" t="s">
        <v>15574</v>
      </c>
      <c r="E10373" t="str">
        <f>"1840100305068"</f>
        <v>0</v>
      </c>
      <c r="F10373" t="str">
        <f>"001820"</f>
        <v>0</v>
      </c>
      <c r="G10373" t="s">
        <v>21</v>
      </c>
    </row>
    <row r="10374" spans="1:7">
      <c r="A10374">
        <v>10373</v>
      </c>
      <c r="B10374" t="str">
        <f>"027323"</f>
        <v>0</v>
      </c>
      <c r="C10374" t="s">
        <v>15575</v>
      </c>
      <c r="D10374" t="s">
        <v>15576</v>
      </c>
      <c r="E10374" t="str">
        <f>"3840800114199"</f>
        <v>0</v>
      </c>
      <c r="F10374" t="str">
        <f>"001820"</f>
        <v>0</v>
      </c>
      <c r="G10374" t="s">
        <v>21</v>
      </c>
    </row>
    <row r="10375" spans="1:7">
      <c r="A10375">
        <v>10374</v>
      </c>
      <c r="B10375" t="str">
        <f>"027414"</f>
        <v>0</v>
      </c>
      <c r="C10375" t="s">
        <v>15577</v>
      </c>
      <c r="D10375" t="s">
        <v>15578</v>
      </c>
      <c r="E10375" t="str">
        <f>"3840200637948"</f>
        <v>0</v>
      </c>
      <c r="F10375" t="str">
        <f>"001820"</f>
        <v>0</v>
      </c>
      <c r="G10375" t="s">
        <v>21</v>
      </c>
    </row>
    <row r="10376" spans="1:7">
      <c r="A10376">
        <v>10375</v>
      </c>
      <c r="B10376" t="str">
        <f>"027422"</f>
        <v>0</v>
      </c>
      <c r="C10376" t="s">
        <v>15579</v>
      </c>
      <c r="D10376" t="s">
        <v>15580</v>
      </c>
      <c r="E10376" t="str">
        <f>"1840100018379"</f>
        <v>0</v>
      </c>
      <c r="F10376" t="str">
        <f>"001820"</f>
        <v>0</v>
      </c>
      <c r="G10376" t="s">
        <v>21</v>
      </c>
    </row>
    <row r="10377" spans="1:7">
      <c r="A10377">
        <v>10376</v>
      </c>
      <c r="B10377" t="str">
        <f>"025757"</f>
        <v>0</v>
      </c>
      <c r="C10377" t="s">
        <v>15581</v>
      </c>
      <c r="D10377" t="s">
        <v>15582</v>
      </c>
      <c r="E10377" t="str">
        <f>"1840200005139"</f>
        <v>0</v>
      </c>
      <c r="F10377" t="str">
        <f>"001820"</f>
        <v>0</v>
      </c>
      <c r="G10377" t="s">
        <v>21</v>
      </c>
    </row>
    <row r="10378" spans="1:7">
      <c r="A10378">
        <v>10377</v>
      </c>
      <c r="B10378" t="str">
        <f>"014682"</f>
        <v>0</v>
      </c>
      <c r="C10378" t="s">
        <v>7339</v>
      </c>
      <c r="D10378" t="s">
        <v>15583</v>
      </c>
      <c r="E10378" t="str">
        <f>"3860800056890"</f>
        <v>0</v>
      </c>
      <c r="F10378" t="str">
        <f>"001820"</f>
        <v>0</v>
      </c>
      <c r="G10378" t="s">
        <v>21</v>
      </c>
    </row>
    <row r="10379" spans="1:7">
      <c r="A10379">
        <v>10378</v>
      </c>
      <c r="B10379" t="str">
        <f>"026158"</f>
        <v>0</v>
      </c>
      <c r="C10379" t="s">
        <v>15584</v>
      </c>
      <c r="D10379" t="s">
        <v>15585</v>
      </c>
      <c r="E10379" t="str">
        <f>"1909800296859"</f>
        <v>0</v>
      </c>
      <c r="F10379" t="str">
        <f>"001820"</f>
        <v>0</v>
      </c>
      <c r="G10379" t="s">
        <v>21</v>
      </c>
    </row>
    <row r="10380" spans="1:7">
      <c r="A10380">
        <v>10379</v>
      </c>
      <c r="B10380" t="str">
        <f>"015875"</f>
        <v>0</v>
      </c>
      <c r="C10380" t="s">
        <v>7295</v>
      </c>
      <c r="D10380" t="s">
        <v>15586</v>
      </c>
      <c r="E10380" t="str">
        <f>"3849900061737"</f>
        <v>0</v>
      </c>
      <c r="F10380" t="str">
        <f>"001820"</f>
        <v>0</v>
      </c>
      <c r="G10380" t="s">
        <v>21</v>
      </c>
    </row>
    <row r="10381" spans="1:7">
      <c r="A10381">
        <v>10380</v>
      </c>
      <c r="B10381" t="str">
        <f>"025005"</f>
        <v>0</v>
      </c>
      <c r="C10381" t="s">
        <v>15587</v>
      </c>
      <c r="D10381" t="s">
        <v>6143</v>
      </c>
      <c r="E10381" t="str">
        <f>"1939900033779"</f>
        <v>0</v>
      </c>
      <c r="F10381" t="str">
        <f>"001820"</f>
        <v>0</v>
      </c>
      <c r="G10381" t="s">
        <v>21</v>
      </c>
    </row>
    <row r="10382" spans="1:7">
      <c r="A10382">
        <v>10381</v>
      </c>
      <c r="B10382" t="str">
        <f>"025846"</f>
        <v>0</v>
      </c>
      <c r="C10382" t="s">
        <v>15588</v>
      </c>
      <c r="D10382" t="s">
        <v>15589</v>
      </c>
      <c r="E10382" t="str">
        <f>"1939900020324"</f>
        <v>0</v>
      </c>
      <c r="F10382" t="str">
        <f>"001820"</f>
        <v>0</v>
      </c>
      <c r="G10382" t="s">
        <v>21</v>
      </c>
    </row>
    <row r="10383" spans="1:7">
      <c r="A10383">
        <v>10382</v>
      </c>
      <c r="B10383" t="str">
        <f>"020616"</f>
        <v>0</v>
      </c>
      <c r="C10383" t="s">
        <v>15590</v>
      </c>
      <c r="D10383" t="s">
        <v>15591</v>
      </c>
      <c r="E10383" t="str">
        <f>"3969900052923"</f>
        <v>0</v>
      </c>
      <c r="F10383" t="str">
        <f>"001820"</f>
        <v>0</v>
      </c>
      <c r="G10383" t="s">
        <v>21</v>
      </c>
    </row>
    <row r="10384" spans="1:7">
      <c r="A10384">
        <v>10383</v>
      </c>
      <c r="B10384" t="str">
        <f>"024490"</f>
        <v>0</v>
      </c>
      <c r="C10384" t="s">
        <v>15592</v>
      </c>
      <c r="D10384" t="s">
        <v>3942</v>
      </c>
      <c r="E10384" t="str">
        <f>"1959900171233"</f>
        <v>0</v>
      </c>
      <c r="F10384" t="str">
        <f>"001820"</f>
        <v>0</v>
      </c>
      <c r="G10384" t="s">
        <v>21</v>
      </c>
    </row>
    <row r="10385" spans="1:7">
      <c r="A10385">
        <v>10384</v>
      </c>
      <c r="B10385" t="str">
        <f>"013078"</f>
        <v>0</v>
      </c>
      <c r="C10385" t="s">
        <v>3990</v>
      </c>
      <c r="D10385" t="s">
        <v>2412</v>
      </c>
      <c r="E10385" t="str">
        <f>"3840800102671"</f>
        <v>0</v>
      </c>
      <c r="F10385" t="str">
        <f>"001820"</f>
        <v>0</v>
      </c>
      <c r="G10385" t="s">
        <v>21</v>
      </c>
    </row>
    <row r="10386" spans="1:7">
      <c r="A10386">
        <v>10385</v>
      </c>
      <c r="B10386" t="str">
        <f>"015850"</f>
        <v>0</v>
      </c>
      <c r="C10386" t="s">
        <v>7274</v>
      </c>
      <c r="D10386" t="s">
        <v>15593</v>
      </c>
      <c r="E10386" t="str">
        <f>"3840700070874"</f>
        <v>0</v>
      </c>
      <c r="F10386" t="str">
        <f>"001820"</f>
        <v>0</v>
      </c>
      <c r="G10386" t="s">
        <v>21</v>
      </c>
    </row>
    <row r="10387" spans="1:7">
      <c r="A10387">
        <v>10386</v>
      </c>
      <c r="B10387" t="str">
        <f>"019221"</f>
        <v>0</v>
      </c>
      <c r="C10387" t="s">
        <v>15594</v>
      </c>
      <c r="D10387" t="s">
        <v>15595</v>
      </c>
      <c r="E10387" t="str">
        <f>"3800400554213"</f>
        <v>0</v>
      </c>
      <c r="F10387" t="str">
        <f>"001820"</f>
        <v>0</v>
      </c>
      <c r="G10387" t="s">
        <v>21</v>
      </c>
    </row>
    <row r="10388" spans="1:7">
      <c r="A10388">
        <v>10387</v>
      </c>
      <c r="B10388" t="str">
        <f>"021978"</f>
        <v>0</v>
      </c>
      <c r="C10388" t="s">
        <v>15596</v>
      </c>
      <c r="D10388" t="s">
        <v>15597</v>
      </c>
      <c r="E10388" t="str">
        <f>"3840300251561"</f>
        <v>0</v>
      </c>
      <c r="F10388" t="str">
        <f>"001820"</f>
        <v>0</v>
      </c>
      <c r="G10388" t="s">
        <v>21</v>
      </c>
    </row>
    <row r="10389" spans="1:7">
      <c r="A10389">
        <v>10388</v>
      </c>
      <c r="B10389" t="str">
        <f>"024680"</f>
        <v>0</v>
      </c>
      <c r="C10389" t="s">
        <v>15598</v>
      </c>
      <c r="D10389" t="s">
        <v>15599</v>
      </c>
      <c r="E10389" t="str">
        <f>"1840100029273"</f>
        <v>0</v>
      </c>
      <c r="F10389" t="str">
        <f>"001820"</f>
        <v>0</v>
      </c>
      <c r="G10389" t="s">
        <v>21</v>
      </c>
    </row>
    <row r="10390" spans="1:7">
      <c r="A10390">
        <v>10389</v>
      </c>
      <c r="B10390" t="str">
        <f>"025674"</f>
        <v>0</v>
      </c>
      <c r="C10390" t="s">
        <v>15600</v>
      </c>
      <c r="D10390" t="s">
        <v>15601</v>
      </c>
      <c r="E10390" t="str">
        <f>"1809900396481"</f>
        <v>0</v>
      </c>
      <c r="F10390" t="str">
        <f>"001820"</f>
        <v>0</v>
      </c>
      <c r="G10390" t="s">
        <v>21</v>
      </c>
    </row>
    <row r="10391" spans="1:7">
      <c r="A10391">
        <v>10390</v>
      </c>
      <c r="B10391" t="str">
        <f>"019728"</f>
        <v>0</v>
      </c>
      <c r="C10391" t="s">
        <v>15602</v>
      </c>
      <c r="D10391" t="s">
        <v>15603</v>
      </c>
      <c r="E10391" t="str">
        <f>"3930500728603"</f>
        <v>0</v>
      </c>
      <c r="F10391" t="str">
        <f>"001820"</f>
        <v>0</v>
      </c>
      <c r="G10391" t="s">
        <v>21</v>
      </c>
    </row>
    <row r="10392" spans="1:7">
      <c r="A10392">
        <v>10391</v>
      </c>
      <c r="B10392" t="str">
        <f>"020721"</f>
        <v>0</v>
      </c>
      <c r="C10392" t="s">
        <v>341</v>
      </c>
      <c r="D10392" t="s">
        <v>15604</v>
      </c>
      <c r="E10392" t="str">
        <f>"3240600075586"</f>
        <v>0</v>
      </c>
      <c r="F10392" t="str">
        <f>"001820"</f>
        <v>0</v>
      </c>
      <c r="G10392" t="s">
        <v>21</v>
      </c>
    </row>
    <row r="10393" spans="1:7">
      <c r="A10393">
        <v>10392</v>
      </c>
      <c r="B10393" t="str">
        <f>"021784"</f>
        <v>0</v>
      </c>
      <c r="C10393" t="s">
        <v>2315</v>
      </c>
      <c r="D10393" t="s">
        <v>15605</v>
      </c>
      <c r="E10393" t="str">
        <f>"3820400258070"</f>
        <v>0</v>
      </c>
      <c r="F10393" t="str">
        <f>"001820"</f>
        <v>0</v>
      </c>
      <c r="G10393" t="s">
        <v>21</v>
      </c>
    </row>
    <row r="10394" spans="1:7">
      <c r="A10394">
        <v>10393</v>
      </c>
      <c r="B10394" t="str">
        <f>"001719"</f>
        <v>0</v>
      </c>
      <c r="C10394" t="s">
        <v>2607</v>
      </c>
      <c r="D10394" t="s">
        <v>15606</v>
      </c>
      <c r="E10394" t="str">
        <f>"3330100618229"</f>
        <v>0</v>
      </c>
      <c r="F10394" t="str">
        <f>"001850"</f>
        <v>0</v>
      </c>
      <c r="G10394" t="s">
        <v>21</v>
      </c>
    </row>
    <row r="10395" spans="1:7">
      <c r="A10395">
        <v>10394</v>
      </c>
      <c r="B10395" t="str">
        <f>"002136"</f>
        <v>0</v>
      </c>
      <c r="C10395" t="s">
        <v>4305</v>
      </c>
      <c r="D10395" t="s">
        <v>15607</v>
      </c>
      <c r="E10395" t="str">
        <f>"3451300010437"</f>
        <v>0</v>
      </c>
      <c r="F10395" t="str">
        <f>"001850"</f>
        <v>0</v>
      </c>
      <c r="G10395" t="s">
        <v>21</v>
      </c>
    </row>
    <row r="10396" spans="1:7">
      <c r="A10396">
        <v>10395</v>
      </c>
      <c r="B10396" t="str">
        <f>"002358"</f>
        <v>0</v>
      </c>
      <c r="C10396" t="s">
        <v>15608</v>
      </c>
      <c r="D10396" t="s">
        <v>15609</v>
      </c>
      <c r="E10396" t="str">
        <f>"3450800022468"</f>
        <v>0</v>
      </c>
      <c r="F10396" t="str">
        <f>"001850"</f>
        <v>0</v>
      </c>
      <c r="G10396" t="s">
        <v>21</v>
      </c>
    </row>
    <row r="10397" spans="1:7">
      <c r="A10397">
        <v>10396</v>
      </c>
      <c r="B10397" t="str">
        <f>"003240"</f>
        <v>0</v>
      </c>
      <c r="C10397" t="s">
        <v>411</v>
      </c>
      <c r="D10397" t="s">
        <v>15610</v>
      </c>
      <c r="E10397" t="str">
        <f>"3320100466879"</f>
        <v>0</v>
      </c>
      <c r="F10397" t="str">
        <f>"001850"</f>
        <v>0</v>
      </c>
      <c r="G10397" t="s">
        <v>21</v>
      </c>
    </row>
    <row r="10398" spans="1:7">
      <c r="A10398">
        <v>10397</v>
      </c>
      <c r="B10398" t="str">
        <f>"003401"</f>
        <v>0</v>
      </c>
      <c r="C10398" t="s">
        <v>4341</v>
      </c>
      <c r="D10398" t="s">
        <v>15611</v>
      </c>
      <c r="E10398" t="str">
        <f>"3329900213060"</f>
        <v>0</v>
      </c>
      <c r="F10398" t="str">
        <f>"001850"</f>
        <v>0</v>
      </c>
      <c r="G10398" t="s">
        <v>21</v>
      </c>
    </row>
    <row r="10399" spans="1:7">
      <c r="A10399">
        <v>10398</v>
      </c>
      <c r="B10399" t="str">
        <f>"003619"</f>
        <v>0</v>
      </c>
      <c r="C10399" t="s">
        <v>2305</v>
      </c>
      <c r="D10399" t="s">
        <v>4090</v>
      </c>
      <c r="E10399" t="str">
        <f>"5320790012861"</f>
        <v>0</v>
      </c>
      <c r="F10399" t="str">
        <f>"001850"</f>
        <v>0</v>
      </c>
      <c r="G10399" t="s">
        <v>21</v>
      </c>
    </row>
    <row r="10400" spans="1:7">
      <c r="A10400">
        <v>10399</v>
      </c>
      <c r="B10400" t="str">
        <f>"003665"</f>
        <v>0</v>
      </c>
      <c r="C10400" t="s">
        <v>6468</v>
      </c>
      <c r="D10400" t="s">
        <v>15612</v>
      </c>
      <c r="E10400" t="str">
        <f>"5400299000629"</f>
        <v>0</v>
      </c>
      <c r="F10400" t="str">
        <f>"001850"</f>
        <v>0</v>
      </c>
      <c r="G10400" t="s">
        <v>21</v>
      </c>
    </row>
    <row r="10401" spans="1:7">
      <c r="A10401">
        <v>10400</v>
      </c>
      <c r="B10401" t="str">
        <f>"003981"</f>
        <v>0</v>
      </c>
      <c r="C10401" t="s">
        <v>15613</v>
      </c>
      <c r="D10401" t="s">
        <v>15614</v>
      </c>
      <c r="E10401" t="str">
        <f>"3329900304073"</f>
        <v>0</v>
      </c>
      <c r="F10401" t="str">
        <f>"001850"</f>
        <v>0</v>
      </c>
      <c r="G10401" t="s">
        <v>21</v>
      </c>
    </row>
    <row r="10402" spans="1:7">
      <c r="A10402">
        <v>10401</v>
      </c>
      <c r="B10402" t="str">
        <f>"003993"</f>
        <v>0</v>
      </c>
      <c r="C10402" t="s">
        <v>5390</v>
      </c>
      <c r="D10402" t="s">
        <v>15615</v>
      </c>
      <c r="E10402" t="str">
        <f>"3320300669331"</f>
        <v>0</v>
      </c>
      <c r="F10402" t="str">
        <f>"001850"</f>
        <v>0</v>
      </c>
      <c r="G10402" t="s">
        <v>21</v>
      </c>
    </row>
    <row r="10403" spans="1:7">
      <c r="A10403">
        <v>10402</v>
      </c>
      <c r="B10403" t="str">
        <f>"004036"</f>
        <v>0</v>
      </c>
      <c r="C10403" t="s">
        <v>15616</v>
      </c>
      <c r="D10403" t="s">
        <v>13745</v>
      </c>
      <c r="E10403" t="str">
        <f>"3320101567881"</f>
        <v>0</v>
      </c>
      <c r="F10403" t="str">
        <f>"001850"</f>
        <v>0</v>
      </c>
      <c r="G10403" t="s">
        <v>21</v>
      </c>
    </row>
    <row r="10404" spans="1:7">
      <c r="A10404">
        <v>10403</v>
      </c>
      <c r="B10404" t="str">
        <f>"004124"</f>
        <v>0</v>
      </c>
      <c r="C10404" t="s">
        <v>15617</v>
      </c>
      <c r="D10404" t="s">
        <v>15618</v>
      </c>
      <c r="E10404" t="str">
        <f>"3320300031507"</f>
        <v>0</v>
      </c>
      <c r="F10404" t="str">
        <f>"001850"</f>
        <v>0</v>
      </c>
      <c r="G10404" t="s">
        <v>21</v>
      </c>
    </row>
    <row r="10405" spans="1:7">
      <c r="A10405">
        <v>10404</v>
      </c>
      <c r="B10405" t="str">
        <f>"004125"</f>
        <v>0</v>
      </c>
      <c r="C10405" t="s">
        <v>15619</v>
      </c>
      <c r="D10405" t="s">
        <v>15620</v>
      </c>
      <c r="E10405" t="str">
        <f>"3329900024810"</f>
        <v>0</v>
      </c>
      <c r="F10405" t="str">
        <f>"001850"</f>
        <v>0</v>
      </c>
      <c r="G10405" t="s">
        <v>21</v>
      </c>
    </row>
    <row r="10406" spans="1:7">
      <c r="A10406">
        <v>10405</v>
      </c>
      <c r="B10406" t="str">
        <f>"004135"</f>
        <v>0</v>
      </c>
      <c r="C10406" t="s">
        <v>15621</v>
      </c>
      <c r="D10406" t="s">
        <v>249</v>
      </c>
      <c r="E10406" t="str">
        <f>"3329900335688"</f>
        <v>0</v>
      </c>
      <c r="F10406" t="str">
        <f>"001850"</f>
        <v>0</v>
      </c>
      <c r="G10406" t="s">
        <v>21</v>
      </c>
    </row>
    <row r="10407" spans="1:7">
      <c r="A10407">
        <v>10406</v>
      </c>
      <c r="B10407" t="str">
        <f>"004141"</f>
        <v>0</v>
      </c>
      <c r="C10407" t="s">
        <v>12071</v>
      </c>
      <c r="D10407" t="s">
        <v>15622</v>
      </c>
      <c r="E10407" t="str">
        <f>"3320100100360"</f>
        <v>0</v>
      </c>
      <c r="F10407" t="str">
        <f>"001850"</f>
        <v>0</v>
      </c>
      <c r="G10407" t="s">
        <v>21</v>
      </c>
    </row>
    <row r="10408" spans="1:7">
      <c r="A10408">
        <v>10407</v>
      </c>
      <c r="B10408" t="str">
        <f>"004272"</f>
        <v>0</v>
      </c>
      <c r="C10408" t="s">
        <v>15623</v>
      </c>
      <c r="D10408" t="s">
        <v>15624</v>
      </c>
      <c r="E10408" t="str">
        <f>"3320101863804"</f>
        <v>0</v>
      </c>
      <c r="F10408" t="str">
        <f>"001850"</f>
        <v>0</v>
      </c>
      <c r="G10408" t="s">
        <v>21</v>
      </c>
    </row>
    <row r="10409" spans="1:7">
      <c r="A10409">
        <v>10408</v>
      </c>
      <c r="B10409" t="str">
        <f>"004472"</f>
        <v>0</v>
      </c>
      <c r="C10409" t="s">
        <v>2193</v>
      </c>
      <c r="D10409" t="s">
        <v>15625</v>
      </c>
      <c r="E10409" t="str">
        <f>"3302000606395"</f>
        <v>0</v>
      </c>
      <c r="F10409" t="str">
        <f>"001850"</f>
        <v>0</v>
      </c>
      <c r="G10409" t="s">
        <v>21</v>
      </c>
    </row>
    <row r="10410" spans="1:7">
      <c r="A10410">
        <v>10409</v>
      </c>
      <c r="B10410" t="str">
        <f>"004474"</f>
        <v>0</v>
      </c>
      <c r="C10410" t="s">
        <v>15626</v>
      </c>
      <c r="D10410" t="s">
        <v>15627</v>
      </c>
      <c r="E10410" t="str">
        <f>"3401600523499"</f>
        <v>0</v>
      </c>
      <c r="F10410" t="str">
        <f>"001850"</f>
        <v>0</v>
      </c>
      <c r="G10410" t="s">
        <v>21</v>
      </c>
    </row>
    <row r="10411" spans="1:7">
      <c r="A10411">
        <v>10410</v>
      </c>
      <c r="B10411" t="str">
        <f>"004841"</f>
        <v>0</v>
      </c>
      <c r="C10411" t="s">
        <v>576</v>
      </c>
      <c r="D10411" t="s">
        <v>15628</v>
      </c>
      <c r="E10411" t="str">
        <f>"5321090021443"</f>
        <v>0</v>
      </c>
      <c r="F10411" t="str">
        <f>"001850"</f>
        <v>0</v>
      </c>
      <c r="G10411" t="s">
        <v>21</v>
      </c>
    </row>
    <row r="10412" spans="1:7">
      <c r="A10412">
        <v>10411</v>
      </c>
      <c r="B10412" t="str">
        <f>"004874"</f>
        <v>0</v>
      </c>
      <c r="C10412" t="s">
        <v>6877</v>
      </c>
      <c r="D10412" t="s">
        <v>15629</v>
      </c>
      <c r="E10412" t="str">
        <f>"3329900016469"</f>
        <v>0</v>
      </c>
      <c r="F10412" t="str">
        <f>"001850"</f>
        <v>0</v>
      </c>
      <c r="G10412" t="s">
        <v>21</v>
      </c>
    </row>
    <row r="10413" spans="1:7">
      <c r="A10413">
        <v>10412</v>
      </c>
      <c r="B10413" t="str">
        <f>"004932"</f>
        <v>0</v>
      </c>
      <c r="C10413" t="s">
        <v>2333</v>
      </c>
      <c r="D10413" t="s">
        <v>15630</v>
      </c>
      <c r="E10413" t="str">
        <f>"3320100056727"</f>
        <v>0</v>
      </c>
      <c r="F10413" t="str">
        <f>"001850"</f>
        <v>0</v>
      </c>
      <c r="G10413" t="s">
        <v>21</v>
      </c>
    </row>
    <row r="10414" spans="1:7">
      <c r="A10414">
        <v>10413</v>
      </c>
      <c r="B10414" t="str">
        <f>"005922"</f>
        <v>0</v>
      </c>
      <c r="C10414" t="s">
        <v>3746</v>
      </c>
      <c r="D10414" t="s">
        <v>15631</v>
      </c>
      <c r="E10414" t="str">
        <f>"3320101750775"</f>
        <v>0</v>
      </c>
      <c r="F10414" t="str">
        <f>"001850"</f>
        <v>0</v>
      </c>
      <c r="G10414" t="s">
        <v>21</v>
      </c>
    </row>
    <row r="10415" spans="1:7">
      <c r="A10415">
        <v>10414</v>
      </c>
      <c r="B10415" t="str">
        <f>"006056"</f>
        <v>0</v>
      </c>
      <c r="C10415" t="s">
        <v>15632</v>
      </c>
      <c r="D10415" t="s">
        <v>15609</v>
      </c>
      <c r="E10415" t="str">
        <f>"3459900035489"</f>
        <v>0</v>
      </c>
      <c r="F10415" t="str">
        <f>"001850"</f>
        <v>0</v>
      </c>
      <c r="G10415" t="s">
        <v>21</v>
      </c>
    </row>
    <row r="10416" spans="1:7">
      <c r="A10416">
        <v>10415</v>
      </c>
      <c r="B10416" t="str">
        <f>"007065"</f>
        <v>0</v>
      </c>
      <c r="C10416" t="s">
        <v>160</v>
      </c>
      <c r="D10416" t="s">
        <v>15633</v>
      </c>
      <c r="E10416" t="str">
        <f>"3329900368195"</f>
        <v>0</v>
      </c>
      <c r="F10416" t="str">
        <f>"001850"</f>
        <v>0</v>
      </c>
      <c r="G10416" t="s">
        <v>21</v>
      </c>
    </row>
    <row r="10417" spans="1:7">
      <c r="A10417">
        <v>10416</v>
      </c>
      <c r="B10417" t="str">
        <f>"007066"</f>
        <v>0</v>
      </c>
      <c r="C10417" t="s">
        <v>15634</v>
      </c>
      <c r="D10417" t="s">
        <v>15635</v>
      </c>
      <c r="E10417" t="str">
        <f>"3320500752003"</f>
        <v>0</v>
      </c>
      <c r="F10417" t="str">
        <f>"001850"</f>
        <v>0</v>
      </c>
      <c r="G10417" t="s">
        <v>21</v>
      </c>
    </row>
    <row r="10418" spans="1:7">
      <c r="A10418">
        <v>10417</v>
      </c>
      <c r="B10418" t="str">
        <f>"007068"</f>
        <v>0</v>
      </c>
      <c r="C10418" t="s">
        <v>1599</v>
      </c>
      <c r="D10418" t="s">
        <v>15636</v>
      </c>
      <c r="E10418" t="str">
        <f>"3329900377445"</f>
        <v>0</v>
      </c>
      <c r="F10418" t="str">
        <f>"001850"</f>
        <v>0</v>
      </c>
      <c r="G10418" t="s">
        <v>21</v>
      </c>
    </row>
    <row r="10419" spans="1:7">
      <c r="A10419">
        <v>10418</v>
      </c>
      <c r="B10419" t="str">
        <f>"007069"</f>
        <v>0</v>
      </c>
      <c r="C10419" t="s">
        <v>8877</v>
      </c>
      <c r="D10419" t="s">
        <v>15637</v>
      </c>
      <c r="E10419" t="str">
        <f>"3320101567831"</f>
        <v>0</v>
      </c>
      <c r="F10419" t="str">
        <f>"001850"</f>
        <v>0</v>
      </c>
      <c r="G10419" t="s">
        <v>21</v>
      </c>
    </row>
    <row r="10420" spans="1:7">
      <c r="A10420">
        <v>10419</v>
      </c>
      <c r="B10420" t="str">
        <f>"007073"</f>
        <v>0</v>
      </c>
      <c r="C10420" t="s">
        <v>15638</v>
      </c>
      <c r="D10420" t="s">
        <v>8623</v>
      </c>
      <c r="E10420" t="str">
        <f>"3329900272376"</f>
        <v>0</v>
      </c>
      <c r="F10420" t="str">
        <f>"001850"</f>
        <v>0</v>
      </c>
      <c r="G10420" t="s">
        <v>21</v>
      </c>
    </row>
    <row r="10421" spans="1:7">
      <c r="A10421">
        <v>10420</v>
      </c>
      <c r="B10421" t="str">
        <f>"007450"</f>
        <v>0</v>
      </c>
      <c r="C10421" t="s">
        <v>3634</v>
      </c>
      <c r="D10421" t="s">
        <v>15639</v>
      </c>
      <c r="E10421" t="str">
        <f>"3320500252051"</f>
        <v>0</v>
      </c>
      <c r="F10421" t="str">
        <f>"001850"</f>
        <v>0</v>
      </c>
      <c r="G10421" t="s">
        <v>21</v>
      </c>
    </row>
    <row r="10422" spans="1:7">
      <c r="A10422">
        <v>10421</v>
      </c>
      <c r="B10422" t="str">
        <f>"007563"</f>
        <v>0</v>
      </c>
      <c r="C10422" t="s">
        <v>15640</v>
      </c>
      <c r="D10422" t="s">
        <v>15641</v>
      </c>
      <c r="E10422" t="str">
        <f>"3320900063361"</f>
        <v>0</v>
      </c>
      <c r="F10422" t="str">
        <f>"001850"</f>
        <v>0</v>
      </c>
      <c r="G10422" t="s">
        <v>21</v>
      </c>
    </row>
    <row r="10423" spans="1:7">
      <c r="A10423">
        <v>10422</v>
      </c>
      <c r="B10423" t="str">
        <f>"007701"</f>
        <v>0</v>
      </c>
      <c r="C10423" t="s">
        <v>3894</v>
      </c>
      <c r="D10423" t="s">
        <v>8623</v>
      </c>
      <c r="E10423" t="str">
        <f>"3501400616247"</f>
        <v>0</v>
      </c>
      <c r="F10423" t="str">
        <f>"001850"</f>
        <v>0</v>
      </c>
      <c r="G10423" t="s">
        <v>21</v>
      </c>
    </row>
    <row r="10424" spans="1:7">
      <c r="A10424">
        <v>10423</v>
      </c>
      <c r="B10424" t="str">
        <f>"007805"</f>
        <v>0</v>
      </c>
      <c r="C10424" t="s">
        <v>15642</v>
      </c>
      <c r="D10424" t="s">
        <v>15643</v>
      </c>
      <c r="E10424" t="str">
        <f>"3810500121777"</f>
        <v>0</v>
      </c>
      <c r="F10424" t="str">
        <f>"001850"</f>
        <v>0</v>
      </c>
      <c r="G10424" t="s">
        <v>21</v>
      </c>
    </row>
    <row r="10425" spans="1:7">
      <c r="A10425">
        <v>10424</v>
      </c>
      <c r="B10425" t="str">
        <f>"007808"</f>
        <v>0</v>
      </c>
      <c r="C10425" t="s">
        <v>15644</v>
      </c>
      <c r="D10425" t="s">
        <v>15511</v>
      </c>
      <c r="E10425" t="str">
        <f>"5320200030378"</f>
        <v>0</v>
      </c>
      <c r="F10425" t="str">
        <f>"001850"</f>
        <v>0</v>
      </c>
      <c r="G10425" t="s">
        <v>21</v>
      </c>
    </row>
    <row r="10426" spans="1:7">
      <c r="A10426">
        <v>10425</v>
      </c>
      <c r="B10426" t="str">
        <f>"007810"</f>
        <v>0</v>
      </c>
      <c r="C10426" t="s">
        <v>4136</v>
      </c>
      <c r="D10426" t="s">
        <v>15645</v>
      </c>
      <c r="E10426" t="str">
        <f>"3320100142003"</f>
        <v>0</v>
      </c>
      <c r="F10426" t="str">
        <f>"001850"</f>
        <v>0</v>
      </c>
      <c r="G10426" t="s">
        <v>21</v>
      </c>
    </row>
    <row r="10427" spans="1:7">
      <c r="A10427">
        <v>10426</v>
      </c>
      <c r="B10427" t="str">
        <f>"008111"</f>
        <v>0</v>
      </c>
      <c r="C10427" t="s">
        <v>144</v>
      </c>
      <c r="D10427" t="s">
        <v>15646</v>
      </c>
      <c r="E10427" t="str">
        <f>"3329900174404"</f>
        <v>0</v>
      </c>
      <c r="F10427" t="str">
        <f>"001850"</f>
        <v>0</v>
      </c>
      <c r="G10427" t="s">
        <v>21</v>
      </c>
    </row>
    <row r="10428" spans="1:7">
      <c r="A10428">
        <v>10427</v>
      </c>
      <c r="B10428" t="str">
        <f>"008647"</f>
        <v>0</v>
      </c>
      <c r="C10428" t="s">
        <v>7261</v>
      </c>
      <c r="D10428" t="s">
        <v>15647</v>
      </c>
      <c r="E10428" t="str">
        <f>"3320701095832"</f>
        <v>0</v>
      </c>
      <c r="F10428" t="str">
        <f>"001850"</f>
        <v>0</v>
      </c>
      <c r="G10428" t="s">
        <v>21</v>
      </c>
    </row>
    <row r="10429" spans="1:7">
      <c r="A10429">
        <v>10428</v>
      </c>
      <c r="B10429" t="str">
        <f>"008753"</f>
        <v>0</v>
      </c>
      <c r="C10429" t="s">
        <v>144</v>
      </c>
      <c r="D10429" t="s">
        <v>15648</v>
      </c>
      <c r="E10429" t="str">
        <f>"3320600025847"</f>
        <v>0</v>
      </c>
      <c r="F10429" t="str">
        <f>"001850"</f>
        <v>0</v>
      </c>
      <c r="G10429" t="s">
        <v>21</v>
      </c>
    </row>
    <row r="10430" spans="1:7">
      <c r="A10430">
        <v>10429</v>
      </c>
      <c r="B10430" t="str">
        <f>"008905"</f>
        <v>0</v>
      </c>
      <c r="C10430" t="s">
        <v>15649</v>
      </c>
      <c r="D10430" t="s">
        <v>15612</v>
      </c>
      <c r="E10430" t="str">
        <f>"3329900327723"</f>
        <v>0</v>
      </c>
      <c r="F10430" t="str">
        <f>"001850"</f>
        <v>0</v>
      </c>
      <c r="G10430" t="s">
        <v>21</v>
      </c>
    </row>
    <row r="10431" spans="1:7">
      <c r="A10431">
        <v>10430</v>
      </c>
      <c r="B10431" t="str">
        <f>"009007"</f>
        <v>0</v>
      </c>
      <c r="C10431" t="s">
        <v>2320</v>
      </c>
      <c r="D10431" t="s">
        <v>15650</v>
      </c>
      <c r="E10431" t="str">
        <f>"3320901136338"</f>
        <v>0</v>
      </c>
      <c r="F10431" t="str">
        <f>"001850"</f>
        <v>0</v>
      </c>
      <c r="G10431" t="s">
        <v>21</v>
      </c>
    </row>
    <row r="10432" spans="1:7">
      <c r="A10432">
        <v>10431</v>
      </c>
      <c r="B10432" t="str">
        <f>"009074"</f>
        <v>0</v>
      </c>
      <c r="C10432" t="s">
        <v>15651</v>
      </c>
      <c r="D10432" t="s">
        <v>15652</v>
      </c>
      <c r="E10432" t="str">
        <f>"3451300186560"</f>
        <v>0</v>
      </c>
      <c r="F10432" t="str">
        <f>"001850"</f>
        <v>0</v>
      </c>
      <c r="G10432" t="s">
        <v>21</v>
      </c>
    </row>
    <row r="10433" spans="1:7">
      <c r="A10433">
        <v>10432</v>
      </c>
      <c r="B10433" t="str">
        <f>"009269"</f>
        <v>0</v>
      </c>
      <c r="C10433" t="s">
        <v>15653</v>
      </c>
      <c r="D10433" t="s">
        <v>15654</v>
      </c>
      <c r="E10433" t="str">
        <f>"3320200053843"</f>
        <v>0</v>
      </c>
      <c r="F10433" t="str">
        <f>"001850"</f>
        <v>0</v>
      </c>
      <c r="G10433" t="s">
        <v>21</v>
      </c>
    </row>
    <row r="10434" spans="1:7">
      <c r="A10434">
        <v>10433</v>
      </c>
      <c r="B10434" t="str">
        <f>"009463"</f>
        <v>0</v>
      </c>
      <c r="C10434" t="s">
        <v>15655</v>
      </c>
      <c r="D10434" t="s">
        <v>15656</v>
      </c>
      <c r="E10434" t="str">
        <f>"3320900664306"</f>
        <v>0</v>
      </c>
      <c r="F10434" t="str">
        <f>"001850"</f>
        <v>0</v>
      </c>
      <c r="G10434" t="s">
        <v>21</v>
      </c>
    </row>
    <row r="10435" spans="1:7">
      <c r="A10435">
        <v>10434</v>
      </c>
      <c r="B10435" t="str">
        <f>"009575"</f>
        <v>0</v>
      </c>
      <c r="C10435" t="s">
        <v>3812</v>
      </c>
      <c r="D10435" t="s">
        <v>2660</v>
      </c>
      <c r="E10435" t="str">
        <f>"3449900329776"</f>
        <v>0</v>
      </c>
      <c r="F10435" t="str">
        <f>"001850"</f>
        <v>0</v>
      </c>
      <c r="G10435" t="s">
        <v>21</v>
      </c>
    </row>
    <row r="10436" spans="1:7">
      <c r="A10436">
        <v>10435</v>
      </c>
      <c r="B10436" t="str">
        <f>"009646"</f>
        <v>0</v>
      </c>
      <c r="C10436" t="s">
        <v>520</v>
      </c>
      <c r="D10436" t="s">
        <v>15657</v>
      </c>
      <c r="E10436" t="str">
        <f>"3311000896929"</f>
        <v>0</v>
      </c>
      <c r="F10436" t="str">
        <f>"001850"</f>
        <v>0</v>
      </c>
      <c r="G10436" t="s">
        <v>21</v>
      </c>
    </row>
    <row r="10437" spans="1:7">
      <c r="A10437">
        <v>10436</v>
      </c>
      <c r="B10437" t="str">
        <f>"009648"</f>
        <v>0</v>
      </c>
      <c r="C10437" t="s">
        <v>15658</v>
      </c>
      <c r="D10437" t="s">
        <v>15659</v>
      </c>
      <c r="E10437" t="str">
        <f>"3329900297409"</f>
        <v>0</v>
      </c>
      <c r="F10437" t="str">
        <f>"001850"</f>
        <v>0</v>
      </c>
      <c r="G10437" t="s">
        <v>21</v>
      </c>
    </row>
    <row r="10438" spans="1:7">
      <c r="A10438">
        <v>10437</v>
      </c>
      <c r="B10438" t="str">
        <f>"009650"</f>
        <v>0</v>
      </c>
      <c r="C10438" t="s">
        <v>3521</v>
      </c>
      <c r="D10438" t="s">
        <v>15660</v>
      </c>
      <c r="E10438" t="str">
        <f>"3320700949650"</f>
        <v>0</v>
      </c>
      <c r="F10438" t="str">
        <f>"001850"</f>
        <v>0</v>
      </c>
      <c r="G10438" t="s">
        <v>21</v>
      </c>
    </row>
    <row r="10439" spans="1:7">
      <c r="A10439">
        <v>10438</v>
      </c>
      <c r="B10439" t="str">
        <f>"009664"</f>
        <v>0</v>
      </c>
      <c r="C10439" t="s">
        <v>15661</v>
      </c>
      <c r="D10439" t="s">
        <v>15656</v>
      </c>
      <c r="E10439" t="str">
        <f>"3320900664292"</f>
        <v>0</v>
      </c>
      <c r="F10439" t="str">
        <f>"001850"</f>
        <v>0</v>
      </c>
      <c r="G10439" t="s">
        <v>21</v>
      </c>
    </row>
    <row r="10440" spans="1:7">
      <c r="A10440">
        <v>10439</v>
      </c>
      <c r="B10440" t="str">
        <f>"009770"</f>
        <v>0</v>
      </c>
      <c r="C10440" t="s">
        <v>5158</v>
      </c>
      <c r="D10440" t="s">
        <v>15662</v>
      </c>
      <c r="E10440" t="str">
        <f>"3320500512789"</f>
        <v>0</v>
      </c>
      <c r="F10440" t="str">
        <f>"001850"</f>
        <v>0</v>
      </c>
      <c r="G10440" t="s">
        <v>21</v>
      </c>
    </row>
    <row r="10441" spans="1:7">
      <c r="A10441">
        <v>10440</v>
      </c>
      <c r="B10441" t="str">
        <f>"009985"</f>
        <v>0</v>
      </c>
      <c r="C10441" t="s">
        <v>15663</v>
      </c>
      <c r="D10441" t="s">
        <v>15641</v>
      </c>
      <c r="E10441" t="str">
        <f>"3320500403041"</f>
        <v>0</v>
      </c>
      <c r="F10441" t="str">
        <f>"001850"</f>
        <v>0</v>
      </c>
      <c r="G10441" t="s">
        <v>21</v>
      </c>
    </row>
    <row r="10442" spans="1:7">
      <c r="A10442">
        <v>10441</v>
      </c>
      <c r="B10442" t="str">
        <f>"010636"</f>
        <v>0</v>
      </c>
      <c r="C10442" t="s">
        <v>9970</v>
      </c>
      <c r="D10442" t="s">
        <v>15664</v>
      </c>
      <c r="E10442" t="str">
        <f>"5320100002836"</f>
        <v>0</v>
      </c>
      <c r="F10442" t="str">
        <f>"001850"</f>
        <v>0</v>
      </c>
      <c r="G10442" t="s">
        <v>21</v>
      </c>
    </row>
    <row r="10443" spans="1:7">
      <c r="A10443">
        <v>10442</v>
      </c>
      <c r="B10443" t="str">
        <f>"010695"</f>
        <v>0</v>
      </c>
      <c r="C10443" t="s">
        <v>3799</v>
      </c>
      <c r="D10443" t="s">
        <v>15665</v>
      </c>
      <c r="E10443" t="str">
        <f>"3460800100892"</f>
        <v>0</v>
      </c>
      <c r="F10443" t="str">
        <f>"001850"</f>
        <v>0</v>
      </c>
      <c r="G10443" t="s">
        <v>21</v>
      </c>
    </row>
    <row r="10444" spans="1:7">
      <c r="A10444">
        <v>10443</v>
      </c>
      <c r="B10444" t="str">
        <f>"010955"</f>
        <v>0</v>
      </c>
      <c r="C10444" t="s">
        <v>15666</v>
      </c>
      <c r="D10444" t="s">
        <v>15667</v>
      </c>
      <c r="E10444" t="str">
        <f>"3301600208276"</f>
        <v>0</v>
      </c>
      <c r="F10444" t="str">
        <f>"001850"</f>
        <v>0</v>
      </c>
      <c r="G10444" t="s">
        <v>21</v>
      </c>
    </row>
    <row r="10445" spans="1:7">
      <c r="A10445">
        <v>10444</v>
      </c>
      <c r="B10445" t="str">
        <f>"011624"</f>
        <v>0</v>
      </c>
      <c r="C10445" t="s">
        <v>15668</v>
      </c>
      <c r="D10445" t="s">
        <v>15669</v>
      </c>
      <c r="E10445" t="str">
        <f>"5329990032325"</f>
        <v>0</v>
      </c>
      <c r="F10445" t="str">
        <f>"001850"</f>
        <v>0</v>
      </c>
      <c r="G10445" t="s">
        <v>21</v>
      </c>
    </row>
    <row r="10446" spans="1:7">
      <c r="A10446">
        <v>10445</v>
      </c>
      <c r="B10446" t="str">
        <f>"012525"</f>
        <v>0</v>
      </c>
      <c r="C10446" t="s">
        <v>15670</v>
      </c>
      <c r="D10446" t="s">
        <v>15671</v>
      </c>
      <c r="E10446" t="str">
        <f>"3320100065599"</f>
        <v>0</v>
      </c>
      <c r="F10446" t="str">
        <f>"001850"</f>
        <v>0</v>
      </c>
      <c r="G10446" t="s">
        <v>21</v>
      </c>
    </row>
    <row r="10447" spans="1:7">
      <c r="A10447">
        <v>10446</v>
      </c>
      <c r="B10447" t="str">
        <f>"014061"</f>
        <v>0</v>
      </c>
      <c r="C10447" t="s">
        <v>15672</v>
      </c>
      <c r="D10447" t="s">
        <v>15673</v>
      </c>
      <c r="E10447" t="str">
        <f>"5329990009901"</f>
        <v>0</v>
      </c>
      <c r="F10447" t="str">
        <f>"001850"</f>
        <v>0</v>
      </c>
      <c r="G10447" t="s">
        <v>21</v>
      </c>
    </row>
    <row r="10448" spans="1:7">
      <c r="A10448">
        <v>10447</v>
      </c>
      <c r="B10448" t="str">
        <f>"014848"</f>
        <v>0</v>
      </c>
      <c r="C10448" t="s">
        <v>15674</v>
      </c>
      <c r="D10448" t="s">
        <v>15675</v>
      </c>
      <c r="E10448" t="str">
        <f>"3320102003230"</f>
        <v>0</v>
      </c>
      <c r="F10448" t="str">
        <f>"001850"</f>
        <v>0</v>
      </c>
      <c r="G10448" t="s">
        <v>21</v>
      </c>
    </row>
    <row r="10449" spans="1:7">
      <c r="A10449">
        <v>10448</v>
      </c>
      <c r="B10449" t="str">
        <f>"015185"</f>
        <v>0</v>
      </c>
      <c r="C10449" t="s">
        <v>13441</v>
      </c>
      <c r="D10449" t="s">
        <v>15676</v>
      </c>
      <c r="E10449" t="str">
        <f>"3320200661827"</f>
        <v>0</v>
      </c>
      <c r="F10449" t="str">
        <f>"001850"</f>
        <v>0</v>
      </c>
      <c r="G10449" t="s">
        <v>21</v>
      </c>
    </row>
    <row r="10450" spans="1:7">
      <c r="A10450">
        <v>10449</v>
      </c>
      <c r="B10450" t="str">
        <f>"015390"</f>
        <v>0</v>
      </c>
      <c r="C10450" t="s">
        <v>2441</v>
      </c>
      <c r="D10450" t="s">
        <v>8725</v>
      </c>
      <c r="E10450" t="str">
        <f>"3720900694406"</f>
        <v>0</v>
      </c>
      <c r="F10450" t="str">
        <f>"001850"</f>
        <v>0</v>
      </c>
      <c r="G10450" t="s">
        <v>21</v>
      </c>
    </row>
    <row r="10451" spans="1:7">
      <c r="A10451">
        <v>10450</v>
      </c>
      <c r="B10451" t="str">
        <f>"017276"</f>
        <v>0</v>
      </c>
      <c r="C10451" t="s">
        <v>15677</v>
      </c>
      <c r="D10451" t="s">
        <v>15678</v>
      </c>
      <c r="E10451" t="str">
        <f>"3320200003544"</f>
        <v>0</v>
      </c>
      <c r="F10451" t="str">
        <f>"001850"</f>
        <v>0</v>
      </c>
      <c r="G10451" t="s">
        <v>21</v>
      </c>
    </row>
    <row r="10452" spans="1:7">
      <c r="A10452">
        <v>10451</v>
      </c>
      <c r="B10452" t="str">
        <f>"017507"</f>
        <v>0</v>
      </c>
      <c r="C10452" t="s">
        <v>3776</v>
      </c>
      <c r="D10452" t="s">
        <v>15659</v>
      </c>
      <c r="E10452" t="str">
        <f>"3329900013125"</f>
        <v>0</v>
      </c>
      <c r="F10452" t="str">
        <f>"001850"</f>
        <v>0</v>
      </c>
      <c r="G10452" t="s">
        <v>21</v>
      </c>
    </row>
    <row r="10453" spans="1:7">
      <c r="A10453">
        <v>10452</v>
      </c>
      <c r="B10453" t="str">
        <f>"017648"</f>
        <v>0</v>
      </c>
      <c r="C10453" t="s">
        <v>15679</v>
      </c>
      <c r="D10453" t="s">
        <v>15680</v>
      </c>
      <c r="E10453" t="str">
        <f>"5320200005829"</f>
        <v>0</v>
      </c>
      <c r="F10453" t="str">
        <f>"001850"</f>
        <v>0</v>
      </c>
      <c r="G10453" t="s">
        <v>21</v>
      </c>
    </row>
    <row r="10454" spans="1:7">
      <c r="A10454">
        <v>10453</v>
      </c>
      <c r="B10454" t="str">
        <f>"017808"</f>
        <v>0</v>
      </c>
      <c r="C10454" t="s">
        <v>15681</v>
      </c>
      <c r="D10454" t="s">
        <v>15682</v>
      </c>
      <c r="E10454" t="str">
        <f>"3809900286046"</f>
        <v>0</v>
      </c>
      <c r="F10454" t="str">
        <f>"001850"</f>
        <v>0</v>
      </c>
      <c r="G10454" t="s">
        <v>21</v>
      </c>
    </row>
    <row r="10455" spans="1:7">
      <c r="A10455">
        <v>10454</v>
      </c>
      <c r="B10455" t="str">
        <f>"017979"</f>
        <v>0</v>
      </c>
      <c r="C10455" t="s">
        <v>6197</v>
      </c>
      <c r="D10455" t="s">
        <v>15683</v>
      </c>
      <c r="E10455" t="str">
        <f>"3320900288568"</f>
        <v>0</v>
      </c>
      <c r="F10455" t="str">
        <f>"001850"</f>
        <v>0</v>
      </c>
      <c r="G10455" t="s">
        <v>21</v>
      </c>
    </row>
    <row r="10456" spans="1:7">
      <c r="A10456">
        <v>10455</v>
      </c>
      <c r="B10456" t="str">
        <f>"018377"</f>
        <v>0</v>
      </c>
      <c r="C10456" t="s">
        <v>2634</v>
      </c>
      <c r="D10456" t="s">
        <v>15684</v>
      </c>
      <c r="E10456" t="str">
        <f>"3320900290864"</f>
        <v>0</v>
      </c>
      <c r="F10456" t="str">
        <f>"001850"</f>
        <v>0</v>
      </c>
      <c r="G10456" t="s">
        <v>21</v>
      </c>
    </row>
    <row r="10457" spans="1:7">
      <c r="A10457">
        <v>10456</v>
      </c>
      <c r="B10457" t="str">
        <f>"018978"</f>
        <v>0</v>
      </c>
      <c r="C10457" t="s">
        <v>887</v>
      </c>
      <c r="D10457" t="s">
        <v>15685</v>
      </c>
      <c r="E10457" t="str">
        <f>"3331100079680"</f>
        <v>0</v>
      </c>
      <c r="F10457" t="str">
        <f>"001850"</f>
        <v>0</v>
      </c>
      <c r="G10457" t="s">
        <v>21</v>
      </c>
    </row>
    <row r="10458" spans="1:7">
      <c r="A10458">
        <v>10457</v>
      </c>
      <c r="B10458" t="str">
        <f>"019200"</f>
        <v>0</v>
      </c>
      <c r="C10458" t="s">
        <v>4109</v>
      </c>
      <c r="D10458" t="s">
        <v>15686</v>
      </c>
      <c r="E10458" t="str">
        <f>"3320600014179"</f>
        <v>0</v>
      </c>
      <c r="F10458" t="str">
        <f>"001850"</f>
        <v>0</v>
      </c>
      <c r="G10458" t="s">
        <v>21</v>
      </c>
    </row>
    <row r="10459" spans="1:7">
      <c r="A10459">
        <v>10458</v>
      </c>
      <c r="B10459" t="str">
        <f>"023186"</f>
        <v>0</v>
      </c>
      <c r="C10459" t="s">
        <v>15687</v>
      </c>
      <c r="D10459" t="s">
        <v>15688</v>
      </c>
      <c r="E10459" t="str">
        <f>"3329900368497"</f>
        <v>0</v>
      </c>
      <c r="F10459" t="str">
        <f>"001850"</f>
        <v>0</v>
      </c>
      <c r="G10459" t="s">
        <v>21</v>
      </c>
    </row>
    <row r="10460" spans="1:7">
      <c r="A10460">
        <v>10459</v>
      </c>
      <c r="B10460" t="str">
        <f>"027271"</f>
        <v>0</v>
      </c>
      <c r="C10460" t="s">
        <v>15689</v>
      </c>
      <c r="D10460" t="s">
        <v>10767</v>
      </c>
      <c r="E10460" t="str">
        <f>"3319900170603"</f>
        <v>0</v>
      </c>
      <c r="F10460" t="str">
        <f>"001850"</f>
        <v>0</v>
      </c>
      <c r="G10460" t="s">
        <v>21</v>
      </c>
    </row>
    <row r="10461" spans="1:7">
      <c r="A10461">
        <v>10460</v>
      </c>
      <c r="B10461" t="str">
        <f>"007077"</f>
        <v>0</v>
      </c>
      <c r="C10461" t="s">
        <v>15690</v>
      </c>
      <c r="D10461" t="s">
        <v>15691</v>
      </c>
      <c r="E10461" t="str">
        <f>"5329990006430"</f>
        <v>0</v>
      </c>
      <c r="F10461" t="str">
        <f>"001850"</f>
        <v>0</v>
      </c>
      <c r="G10461" t="s">
        <v>21</v>
      </c>
    </row>
    <row r="10462" spans="1:7">
      <c r="A10462">
        <v>10461</v>
      </c>
      <c r="B10462" t="str">
        <f>"017444"</f>
        <v>0</v>
      </c>
      <c r="C10462" t="s">
        <v>15692</v>
      </c>
      <c r="D10462" t="s">
        <v>15693</v>
      </c>
      <c r="E10462" t="str">
        <f>"3320100467883"</f>
        <v>0</v>
      </c>
      <c r="F10462" t="str">
        <f>"001850"</f>
        <v>0</v>
      </c>
      <c r="G10462" t="s">
        <v>21</v>
      </c>
    </row>
    <row r="10463" spans="1:7">
      <c r="A10463">
        <v>10462</v>
      </c>
      <c r="B10463" t="str">
        <f>"005052"</f>
        <v>0</v>
      </c>
      <c r="C10463" t="s">
        <v>6383</v>
      </c>
      <c r="D10463" t="s">
        <v>8529</v>
      </c>
      <c r="E10463" t="str">
        <f>"3320300664763"</f>
        <v>0</v>
      </c>
      <c r="F10463" t="str">
        <f>"001850"</f>
        <v>0</v>
      </c>
      <c r="G10463" t="s">
        <v>21</v>
      </c>
    </row>
    <row r="10464" spans="1:7">
      <c r="A10464">
        <v>10463</v>
      </c>
      <c r="B10464" t="str">
        <f>"023158"</f>
        <v>0</v>
      </c>
      <c r="C10464" t="s">
        <v>13562</v>
      </c>
      <c r="D10464" t="s">
        <v>15694</v>
      </c>
      <c r="E10464" t="str">
        <f>"1150200003337"</f>
        <v>0</v>
      </c>
      <c r="F10464" t="str">
        <f>"001850"</f>
        <v>0</v>
      </c>
      <c r="G10464" t="s">
        <v>21</v>
      </c>
    </row>
    <row r="10465" spans="1:7">
      <c r="A10465">
        <v>10464</v>
      </c>
      <c r="B10465" t="str">
        <f>"027241"</f>
        <v>0</v>
      </c>
      <c r="C10465" t="s">
        <v>15695</v>
      </c>
      <c r="D10465" t="s">
        <v>15696</v>
      </c>
      <c r="E10465" t="str">
        <f>"2200100036711"</f>
        <v>0</v>
      </c>
      <c r="F10465" t="str">
        <f>"001850"</f>
        <v>0</v>
      </c>
      <c r="G10465" t="s">
        <v>21</v>
      </c>
    </row>
    <row r="10466" spans="1:7">
      <c r="A10466">
        <v>10465</v>
      </c>
      <c r="B10466" t="str">
        <f>"025695"</f>
        <v>0</v>
      </c>
      <c r="C10466" t="s">
        <v>15697</v>
      </c>
      <c r="D10466" t="s">
        <v>15698</v>
      </c>
      <c r="E10466" t="str">
        <f>"3320200479280"</f>
        <v>0</v>
      </c>
      <c r="F10466" t="str">
        <f>"001850"</f>
        <v>0</v>
      </c>
      <c r="G10466" t="s">
        <v>21</v>
      </c>
    </row>
    <row r="10467" spans="1:7">
      <c r="A10467">
        <v>10466</v>
      </c>
      <c r="B10467" t="str">
        <f>"026930"</f>
        <v>0</v>
      </c>
      <c r="C10467" t="s">
        <v>15699</v>
      </c>
      <c r="D10467" t="s">
        <v>15700</v>
      </c>
      <c r="E10467" t="str">
        <f>"1309900930261"</f>
        <v>0</v>
      </c>
      <c r="F10467" t="str">
        <f>"001850"</f>
        <v>0</v>
      </c>
      <c r="G10467" t="s">
        <v>21</v>
      </c>
    </row>
    <row r="10468" spans="1:7">
      <c r="A10468">
        <v>10467</v>
      </c>
      <c r="B10468" t="str">
        <f>"026250"</f>
        <v>0</v>
      </c>
      <c r="C10468" t="s">
        <v>15701</v>
      </c>
      <c r="D10468" t="s">
        <v>15702</v>
      </c>
      <c r="E10468" t="str">
        <f>"3310500225020"</f>
        <v>0</v>
      </c>
      <c r="F10468" t="str">
        <f>"001850"</f>
        <v>0</v>
      </c>
      <c r="G10468" t="s">
        <v>21</v>
      </c>
    </row>
    <row r="10469" spans="1:7">
      <c r="A10469">
        <v>10468</v>
      </c>
      <c r="B10469" t="str">
        <f>"027235"</f>
        <v>0</v>
      </c>
      <c r="C10469" t="s">
        <v>15703</v>
      </c>
      <c r="D10469" t="s">
        <v>15704</v>
      </c>
      <c r="E10469" t="str">
        <f>"1319900386464"</f>
        <v>0</v>
      </c>
      <c r="F10469" t="str">
        <f>"001850"</f>
        <v>0</v>
      </c>
      <c r="G10469" t="s">
        <v>21</v>
      </c>
    </row>
    <row r="10470" spans="1:7">
      <c r="A10470">
        <v>10469</v>
      </c>
      <c r="B10470" t="str">
        <f>"007663"</f>
        <v>0</v>
      </c>
      <c r="C10470" t="s">
        <v>15705</v>
      </c>
      <c r="D10470" t="s">
        <v>15706</v>
      </c>
      <c r="E10470" t="str">
        <f>"5320690031767"</f>
        <v>0</v>
      </c>
      <c r="F10470" t="str">
        <f>"001850"</f>
        <v>0</v>
      </c>
      <c r="G10470" t="s">
        <v>21</v>
      </c>
    </row>
    <row r="10471" spans="1:7">
      <c r="A10471">
        <v>10470</v>
      </c>
      <c r="B10471" t="str">
        <f>"008752"</f>
        <v>0</v>
      </c>
      <c r="C10471" t="s">
        <v>15707</v>
      </c>
      <c r="D10471" t="s">
        <v>15708</v>
      </c>
      <c r="E10471" t="str">
        <f>"5320590033814"</f>
        <v>0</v>
      </c>
      <c r="F10471" t="str">
        <f>"001850"</f>
        <v>0</v>
      </c>
      <c r="G10471" t="s">
        <v>21</v>
      </c>
    </row>
    <row r="10472" spans="1:7">
      <c r="A10472">
        <v>10471</v>
      </c>
      <c r="B10472" t="str">
        <f>"009072"</f>
        <v>0</v>
      </c>
      <c r="C10472" t="s">
        <v>3799</v>
      </c>
      <c r="D10472" t="s">
        <v>6573</v>
      </c>
      <c r="E10472" t="str">
        <f>"3320400059462"</f>
        <v>0</v>
      </c>
      <c r="F10472" t="str">
        <f>"001850"</f>
        <v>0</v>
      </c>
      <c r="G10472" t="s">
        <v>21</v>
      </c>
    </row>
    <row r="10473" spans="1:7">
      <c r="A10473">
        <v>10472</v>
      </c>
      <c r="B10473" t="str">
        <f>"009073"</f>
        <v>0</v>
      </c>
      <c r="C10473" t="s">
        <v>15709</v>
      </c>
      <c r="D10473" t="s">
        <v>15710</v>
      </c>
      <c r="E10473" t="str">
        <f>"3320400060851"</f>
        <v>0</v>
      </c>
      <c r="F10473" t="str">
        <f>"001850"</f>
        <v>0</v>
      </c>
      <c r="G10473" t="s">
        <v>21</v>
      </c>
    </row>
    <row r="10474" spans="1:7">
      <c r="A10474">
        <v>10473</v>
      </c>
      <c r="B10474" t="str">
        <f>"009075"</f>
        <v>0</v>
      </c>
      <c r="C10474" t="s">
        <v>15711</v>
      </c>
      <c r="D10474" t="s">
        <v>15712</v>
      </c>
      <c r="E10474" t="str">
        <f>"3320100480073"</f>
        <v>0</v>
      </c>
      <c r="F10474" t="str">
        <f>"001850"</f>
        <v>0</v>
      </c>
      <c r="G10474" t="s">
        <v>21</v>
      </c>
    </row>
    <row r="10475" spans="1:7">
      <c r="A10475">
        <v>10474</v>
      </c>
      <c r="B10475" t="str">
        <f>"009769"</f>
        <v>0</v>
      </c>
      <c r="C10475" t="s">
        <v>957</v>
      </c>
      <c r="D10475" t="s">
        <v>15639</v>
      </c>
      <c r="E10475" t="str">
        <f>"3320500023010"</f>
        <v>0</v>
      </c>
      <c r="F10475" t="str">
        <f>"001850"</f>
        <v>0</v>
      </c>
      <c r="G10475" t="s">
        <v>21</v>
      </c>
    </row>
    <row r="10476" spans="1:7">
      <c r="A10476">
        <v>10475</v>
      </c>
      <c r="B10476" t="str">
        <f>"009771"</f>
        <v>0</v>
      </c>
      <c r="C10476" t="s">
        <v>4779</v>
      </c>
      <c r="D10476" t="s">
        <v>15713</v>
      </c>
      <c r="E10476" t="str">
        <f>"5320590094899"</f>
        <v>0</v>
      </c>
      <c r="F10476" t="str">
        <f>"001850"</f>
        <v>0</v>
      </c>
      <c r="G10476" t="s">
        <v>21</v>
      </c>
    </row>
    <row r="10477" spans="1:7">
      <c r="A10477">
        <v>10476</v>
      </c>
      <c r="B10477" t="str">
        <f>"009772"</f>
        <v>0</v>
      </c>
      <c r="C10477" t="s">
        <v>1599</v>
      </c>
      <c r="D10477" t="s">
        <v>15714</v>
      </c>
      <c r="E10477" t="str">
        <f>"3320500953050"</f>
        <v>0</v>
      </c>
      <c r="F10477" t="str">
        <f>"001850"</f>
        <v>0</v>
      </c>
      <c r="G10477" t="s">
        <v>21</v>
      </c>
    </row>
    <row r="10478" spans="1:7">
      <c r="A10478">
        <v>10477</v>
      </c>
      <c r="B10478" t="str">
        <f>"010256"</f>
        <v>0</v>
      </c>
      <c r="C10478" t="s">
        <v>3212</v>
      </c>
      <c r="D10478" t="s">
        <v>15715</v>
      </c>
      <c r="E10478" t="str">
        <f>"3301600019180"</f>
        <v>0</v>
      </c>
      <c r="F10478" t="str">
        <f>"001850"</f>
        <v>0</v>
      </c>
      <c r="G10478" t="s">
        <v>21</v>
      </c>
    </row>
    <row r="10479" spans="1:7">
      <c r="A10479">
        <v>10478</v>
      </c>
      <c r="B10479" t="str">
        <f>"010397"</f>
        <v>0</v>
      </c>
      <c r="C10479" t="s">
        <v>15716</v>
      </c>
      <c r="D10479" t="s">
        <v>15717</v>
      </c>
      <c r="E10479" t="str">
        <f>"3329900321288"</f>
        <v>0</v>
      </c>
      <c r="F10479" t="str">
        <f>"001850"</f>
        <v>0</v>
      </c>
      <c r="G10479" t="s">
        <v>21</v>
      </c>
    </row>
    <row r="10480" spans="1:7">
      <c r="A10480">
        <v>10479</v>
      </c>
      <c r="B10480" t="str">
        <f>"010548"</f>
        <v>0</v>
      </c>
      <c r="C10480" t="s">
        <v>425</v>
      </c>
      <c r="D10480" t="s">
        <v>15718</v>
      </c>
      <c r="E10480" t="str">
        <f>"3302000740415"</f>
        <v>0</v>
      </c>
      <c r="F10480" t="str">
        <f>"001850"</f>
        <v>0</v>
      </c>
      <c r="G10480" t="s">
        <v>21</v>
      </c>
    </row>
    <row r="10481" spans="1:7">
      <c r="A10481">
        <v>10480</v>
      </c>
      <c r="B10481" t="str">
        <f>"010634"</f>
        <v>0</v>
      </c>
      <c r="C10481" t="s">
        <v>4317</v>
      </c>
      <c r="D10481" t="s">
        <v>15719</v>
      </c>
      <c r="E10481" t="str">
        <f>"3320500512797"</f>
        <v>0</v>
      </c>
      <c r="F10481" t="str">
        <f>"001850"</f>
        <v>0</v>
      </c>
      <c r="G10481" t="s">
        <v>21</v>
      </c>
    </row>
    <row r="10482" spans="1:7">
      <c r="A10482">
        <v>10481</v>
      </c>
      <c r="B10482" t="str">
        <f>"010923"</f>
        <v>0</v>
      </c>
      <c r="C10482" t="s">
        <v>15720</v>
      </c>
      <c r="D10482" t="s">
        <v>15721</v>
      </c>
      <c r="E10482" t="str">
        <f>"3320800342439"</f>
        <v>0</v>
      </c>
      <c r="F10482" t="str">
        <f>"001850"</f>
        <v>0</v>
      </c>
      <c r="G10482" t="s">
        <v>21</v>
      </c>
    </row>
    <row r="10483" spans="1:7">
      <c r="A10483">
        <v>10482</v>
      </c>
      <c r="B10483" t="str">
        <f>"011108"</f>
        <v>0</v>
      </c>
      <c r="C10483" t="s">
        <v>15722</v>
      </c>
      <c r="D10483" t="s">
        <v>15723</v>
      </c>
      <c r="E10483" t="str">
        <f>"4320400001977"</f>
        <v>0</v>
      </c>
      <c r="F10483" t="str">
        <f>"001850"</f>
        <v>0</v>
      </c>
      <c r="G10483" t="s">
        <v>21</v>
      </c>
    </row>
    <row r="10484" spans="1:7">
      <c r="A10484">
        <v>10483</v>
      </c>
      <c r="B10484" t="str">
        <f>"011345"</f>
        <v>0</v>
      </c>
      <c r="C10484" t="s">
        <v>5693</v>
      </c>
      <c r="D10484" t="s">
        <v>15715</v>
      </c>
      <c r="E10484" t="str">
        <f>"3320700944526"</f>
        <v>0</v>
      </c>
      <c r="F10484" t="str">
        <f>"001850"</f>
        <v>0</v>
      </c>
      <c r="G10484" t="s">
        <v>21</v>
      </c>
    </row>
    <row r="10485" spans="1:7">
      <c r="A10485">
        <v>10484</v>
      </c>
      <c r="B10485" t="str">
        <f>"011633"</f>
        <v>0</v>
      </c>
      <c r="C10485" t="s">
        <v>4136</v>
      </c>
      <c r="D10485" t="s">
        <v>2460</v>
      </c>
      <c r="E10485" t="str">
        <f>"3320100130382"</f>
        <v>0</v>
      </c>
      <c r="F10485" t="str">
        <f>"001850"</f>
        <v>0</v>
      </c>
      <c r="G10485" t="s">
        <v>21</v>
      </c>
    </row>
    <row r="10486" spans="1:7">
      <c r="A10486">
        <v>10485</v>
      </c>
      <c r="B10486" t="str">
        <f>"011635"</f>
        <v>0</v>
      </c>
      <c r="C10486" t="s">
        <v>15724</v>
      </c>
      <c r="D10486" t="s">
        <v>15725</v>
      </c>
      <c r="E10486" t="str">
        <f>"3320900297109"</f>
        <v>0</v>
      </c>
      <c r="F10486" t="str">
        <f>"001850"</f>
        <v>0</v>
      </c>
      <c r="G10486" t="s">
        <v>21</v>
      </c>
    </row>
    <row r="10487" spans="1:7">
      <c r="A10487">
        <v>10486</v>
      </c>
      <c r="B10487" t="str">
        <f>"011636"</f>
        <v>0</v>
      </c>
      <c r="C10487" t="s">
        <v>15726</v>
      </c>
      <c r="D10487" t="s">
        <v>15727</v>
      </c>
      <c r="E10487" t="str">
        <f>"3320101255383"</f>
        <v>0</v>
      </c>
      <c r="F10487" t="str">
        <f>"001850"</f>
        <v>0</v>
      </c>
      <c r="G10487" t="s">
        <v>21</v>
      </c>
    </row>
    <row r="10488" spans="1:7">
      <c r="A10488">
        <v>10487</v>
      </c>
      <c r="B10488" t="str">
        <f>"011802"</f>
        <v>0</v>
      </c>
      <c r="C10488" t="s">
        <v>1260</v>
      </c>
      <c r="D10488" t="s">
        <v>8654</v>
      </c>
      <c r="E10488" t="str">
        <f>"3319900196866"</f>
        <v>0</v>
      </c>
      <c r="F10488" t="str">
        <f>"001850"</f>
        <v>0</v>
      </c>
      <c r="G10488" t="s">
        <v>21</v>
      </c>
    </row>
    <row r="10489" spans="1:7">
      <c r="A10489">
        <v>10488</v>
      </c>
      <c r="B10489" t="str">
        <f>"011841"</f>
        <v>0</v>
      </c>
      <c r="C10489" t="s">
        <v>15728</v>
      </c>
      <c r="D10489" t="s">
        <v>15729</v>
      </c>
      <c r="E10489" t="str">
        <f>"3320701106796"</f>
        <v>0</v>
      </c>
      <c r="F10489" t="str">
        <f>"001850"</f>
        <v>0</v>
      </c>
      <c r="G10489" t="s">
        <v>21</v>
      </c>
    </row>
    <row r="10490" spans="1:7">
      <c r="A10490">
        <v>10489</v>
      </c>
      <c r="B10490" t="str">
        <f>"012178"</f>
        <v>0</v>
      </c>
      <c r="C10490" t="s">
        <v>15730</v>
      </c>
      <c r="D10490" t="s">
        <v>15731</v>
      </c>
      <c r="E10490" t="str">
        <f>"3329900104511"</f>
        <v>0</v>
      </c>
      <c r="F10490" t="str">
        <f>"001850"</f>
        <v>0</v>
      </c>
      <c r="G10490" t="s">
        <v>21</v>
      </c>
    </row>
    <row r="10491" spans="1:7">
      <c r="A10491">
        <v>10490</v>
      </c>
      <c r="B10491" t="str">
        <f>"012218"</f>
        <v>0</v>
      </c>
      <c r="C10491" t="s">
        <v>15732</v>
      </c>
      <c r="D10491" t="s">
        <v>15733</v>
      </c>
      <c r="E10491" t="str">
        <f>"3320101067561"</f>
        <v>0</v>
      </c>
      <c r="F10491" t="str">
        <f>"001850"</f>
        <v>0</v>
      </c>
      <c r="G10491" t="s">
        <v>21</v>
      </c>
    </row>
    <row r="10492" spans="1:7">
      <c r="A10492">
        <v>10491</v>
      </c>
      <c r="B10492" t="str">
        <f>"012445"</f>
        <v>0</v>
      </c>
      <c r="C10492" t="s">
        <v>494</v>
      </c>
      <c r="D10492" t="s">
        <v>15734</v>
      </c>
      <c r="E10492" t="str">
        <f>"3320900805074"</f>
        <v>0</v>
      </c>
      <c r="F10492" t="str">
        <f>"001850"</f>
        <v>0</v>
      </c>
      <c r="G10492" t="s">
        <v>21</v>
      </c>
    </row>
    <row r="10493" spans="1:7">
      <c r="A10493">
        <v>10492</v>
      </c>
      <c r="B10493" t="str">
        <f>"014106"</f>
        <v>0</v>
      </c>
      <c r="C10493" t="s">
        <v>15735</v>
      </c>
      <c r="D10493" t="s">
        <v>15736</v>
      </c>
      <c r="E10493" t="str">
        <f>"3320501162943"</f>
        <v>0</v>
      </c>
      <c r="F10493" t="str">
        <f>"001850"</f>
        <v>0</v>
      </c>
      <c r="G10493" t="s">
        <v>21</v>
      </c>
    </row>
    <row r="10494" spans="1:7">
      <c r="A10494">
        <v>10493</v>
      </c>
      <c r="B10494" t="str">
        <f>"014184"</f>
        <v>0</v>
      </c>
      <c r="C10494" t="s">
        <v>15737</v>
      </c>
      <c r="D10494" t="s">
        <v>15738</v>
      </c>
      <c r="E10494" t="str">
        <f>"3339900199172"</f>
        <v>0</v>
      </c>
      <c r="F10494" t="str">
        <f>"001850"</f>
        <v>0</v>
      </c>
      <c r="G10494" t="s">
        <v>21</v>
      </c>
    </row>
    <row r="10495" spans="1:7">
      <c r="A10495">
        <v>10494</v>
      </c>
      <c r="B10495" t="str">
        <f>"014697"</f>
        <v>0</v>
      </c>
      <c r="C10495" t="s">
        <v>3522</v>
      </c>
      <c r="D10495" t="s">
        <v>15739</v>
      </c>
      <c r="E10495" t="str">
        <f>"3329900190981"</f>
        <v>0</v>
      </c>
      <c r="F10495" t="str">
        <f>"001850"</f>
        <v>0</v>
      </c>
      <c r="G10495" t="s">
        <v>21</v>
      </c>
    </row>
    <row r="10496" spans="1:7">
      <c r="A10496">
        <v>10495</v>
      </c>
      <c r="B10496" t="str">
        <f>"014700"</f>
        <v>0</v>
      </c>
      <c r="C10496" t="s">
        <v>3411</v>
      </c>
      <c r="D10496" t="s">
        <v>15740</v>
      </c>
      <c r="E10496" t="str">
        <f>"3320100150073"</f>
        <v>0</v>
      </c>
      <c r="F10496" t="str">
        <f>"001850"</f>
        <v>0</v>
      </c>
      <c r="G10496" t="s">
        <v>21</v>
      </c>
    </row>
    <row r="10497" spans="1:7">
      <c r="A10497">
        <v>10496</v>
      </c>
      <c r="B10497" t="str">
        <f>"015049"</f>
        <v>0</v>
      </c>
      <c r="C10497" t="s">
        <v>15741</v>
      </c>
      <c r="D10497" t="s">
        <v>15742</v>
      </c>
      <c r="E10497" t="str">
        <f>"3320300098547"</f>
        <v>0</v>
      </c>
      <c r="F10497" t="str">
        <f>"001850"</f>
        <v>0</v>
      </c>
      <c r="G10497" t="s">
        <v>21</v>
      </c>
    </row>
    <row r="10498" spans="1:7">
      <c r="A10498">
        <v>10497</v>
      </c>
      <c r="B10498" t="str">
        <f>"015094"</f>
        <v>0</v>
      </c>
      <c r="C10498" t="s">
        <v>15743</v>
      </c>
      <c r="D10498" t="s">
        <v>15744</v>
      </c>
      <c r="E10498" t="str">
        <f>"3320300758393"</f>
        <v>0</v>
      </c>
      <c r="F10498" t="str">
        <f>"001850"</f>
        <v>0</v>
      </c>
      <c r="G10498" t="s">
        <v>21</v>
      </c>
    </row>
    <row r="10499" spans="1:7">
      <c r="A10499">
        <v>10498</v>
      </c>
      <c r="B10499" t="str">
        <f>"015145"</f>
        <v>0</v>
      </c>
      <c r="C10499" t="s">
        <v>160</v>
      </c>
      <c r="D10499" t="s">
        <v>15727</v>
      </c>
      <c r="E10499" t="str">
        <f>"3320100818813"</f>
        <v>0</v>
      </c>
      <c r="F10499" t="str">
        <f>"001850"</f>
        <v>0</v>
      </c>
      <c r="G10499" t="s">
        <v>21</v>
      </c>
    </row>
    <row r="10500" spans="1:7">
      <c r="A10500">
        <v>10499</v>
      </c>
      <c r="B10500" t="str">
        <f>"015851"</f>
        <v>0</v>
      </c>
      <c r="C10500" t="s">
        <v>15745</v>
      </c>
      <c r="D10500" t="s">
        <v>15746</v>
      </c>
      <c r="E10500" t="str">
        <f>"3321100091809"</f>
        <v>0</v>
      </c>
      <c r="F10500" t="str">
        <f>"001850"</f>
        <v>0</v>
      </c>
      <c r="G10500" t="s">
        <v>21</v>
      </c>
    </row>
    <row r="10501" spans="1:7">
      <c r="A10501">
        <v>10500</v>
      </c>
      <c r="B10501" t="str">
        <f>"016522"</f>
        <v>0</v>
      </c>
      <c r="C10501" t="s">
        <v>7842</v>
      </c>
      <c r="D10501" t="s">
        <v>15747</v>
      </c>
      <c r="E10501" t="str">
        <f>"3320300754860"</f>
        <v>0</v>
      </c>
      <c r="F10501" t="str">
        <f>"001850"</f>
        <v>0</v>
      </c>
      <c r="G10501" t="s">
        <v>21</v>
      </c>
    </row>
    <row r="10502" spans="1:7">
      <c r="A10502">
        <v>10501</v>
      </c>
      <c r="B10502" t="str">
        <f>"016712"</f>
        <v>0</v>
      </c>
      <c r="C10502" t="s">
        <v>3303</v>
      </c>
      <c r="D10502" t="s">
        <v>15748</v>
      </c>
      <c r="E10502" t="str">
        <f>"3320100116029"</f>
        <v>0</v>
      </c>
      <c r="F10502" t="str">
        <f>"001850"</f>
        <v>0</v>
      </c>
      <c r="G10502" t="s">
        <v>21</v>
      </c>
    </row>
    <row r="10503" spans="1:7">
      <c r="A10503">
        <v>10502</v>
      </c>
      <c r="B10503" t="str">
        <f>"016794"</f>
        <v>0</v>
      </c>
      <c r="C10503" t="s">
        <v>15749</v>
      </c>
      <c r="D10503" t="s">
        <v>8784</v>
      </c>
      <c r="E10503" t="str">
        <f>"3320101994585"</f>
        <v>0</v>
      </c>
      <c r="F10503" t="str">
        <f>"001850"</f>
        <v>0</v>
      </c>
      <c r="G10503" t="s">
        <v>21</v>
      </c>
    </row>
    <row r="10504" spans="1:7">
      <c r="A10504">
        <v>10503</v>
      </c>
      <c r="B10504" t="str">
        <f>"016838"</f>
        <v>0</v>
      </c>
      <c r="C10504" t="s">
        <v>5158</v>
      </c>
      <c r="D10504" t="s">
        <v>15750</v>
      </c>
      <c r="E10504" t="str">
        <f>"3310700882946"</f>
        <v>0</v>
      </c>
      <c r="F10504" t="str">
        <f>"001850"</f>
        <v>0</v>
      </c>
      <c r="G10504" t="s">
        <v>21</v>
      </c>
    </row>
    <row r="10505" spans="1:7">
      <c r="A10505">
        <v>10504</v>
      </c>
      <c r="B10505" t="str">
        <f>"016859"</f>
        <v>0</v>
      </c>
      <c r="C10505" t="s">
        <v>403</v>
      </c>
      <c r="D10505" t="s">
        <v>15751</v>
      </c>
      <c r="E10505" t="str">
        <f>"3329900372753"</f>
        <v>0</v>
      </c>
      <c r="F10505" t="str">
        <f>"001850"</f>
        <v>0</v>
      </c>
      <c r="G10505" t="s">
        <v>21</v>
      </c>
    </row>
    <row r="10506" spans="1:7">
      <c r="A10506">
        <v>10505</v>
      </c>
      <c r="B10506" t="str">
        <f>"017228"</f>
        <v>0</v>
      </c>
      <c r="C10506" t="s">
        <v>3801</v>
      </c>
      <c r="D10506" t="s">
        <v>15752</v>
      </c>
      <c r="E10506" t="str">
        <f>"3440300332689"</f>
        <v>0</v>
      </c>
      <c r="F10506" t="str">
        <f>"001850"</f>
        <v>0</v>
      </c>
      <c r="G10506" t="s">
        <v>21</v>
      </c>
    </row>
    <row r="10507" spans="1:7">
      <c r="A10507">
        <v>10506</v>
      </c>
      <c r="B10507" t="str">
        <f>"017271"</f>
        <v>0</v>
      </c>
      <c r="C10507" t="s">
        <v>15753</v>
      </c>
      <c r="D10507" t="s">
        <v>15754</v>
      </c>
      <c r="E10507" t="str">
        <f>"3320100623770"</f>
        <v>0</v>
      </c>
      <c r="F10507" t="str">
        <f>"001850"</f>
        <v>0</v>
      </c>
      <c r="G10507" t="s">
        <v>21</v>
      </c>
    </row>
    <row r="10508" spans="1:7">
      <c r="A10508">
        <v>10507</v>
      </c>
      <c r="B10508" t="str">
        <f>"017314"</f>
        <v>0</v>
      </c>
      <c r="C10508" t="s">
        <v>14261</v>
      </c>
      <c r="D10508" t="s">
        <v>15755</v>
      </c>
      <c r="E10508" t="str">
        <f>"3320400328706"</f>
        <v>0</v>
      </c>
      <c r="F10508" t="str">
        <f>"001850"</f>
        <v>0</v>
      </c>
      <c r="G10508" t="s">
        <v>21</v>
      </c>
    </row>
    <row r="10509" spans="1:7">
      <c r="A10509">
        <v>10508</v>
      </c>
      <c r="B10509" t="str">
        <f>"017454"</f>
        <v>0</v>
      </c>
      <c r="C10509" t="s">
        <v>15756</v>
      </c>
      <c r="D10509" t="s">
        <v>15757</v>
      </c>
      <c r="E10509" t="str">
        <f>"3320900517770"</f>
        <v>0</v>
      </c>
      <c r="F10509" t="str">
        <f>"001850"</f>
        <v>0</v>
      </c>
      <c r="G10509" t="s">
        <v>21</v>
      </c>
    </row>
    <row r="10510" spans="1:7">
      <c r="A10510">
        <v>10509</v>
      </c>
      <c r="B10510" t="str">
        <f>"017529"</f>
        <v>0</v>
      </c>
      <c r="C10510" t="s">
        <v>9970</v>
      </c>
      <c r="D10510" t="s">
        <v>15758</v>
      </c>
      <c r="E10510" t="str">
        <f>"3320101935465"</f>
        <v>0</v>
      </c>
      <c r="F10510" t="str">
        <f>"001850"</f>
        <v>0</v>
      </c>
      <c r="G10510" t="s">
        <v>21</v>
      </c>
    </row>
    <row r="10511" spans="1:7">
      <c r="A10511">
        <v>10510</v>
      </c>
      <c r="B10511" t="str">
        <f>"017594"</f>
        <v>0</v>
      </c>
      <c r="C10511" t="s">
        <v>5712</v>
      </c>
      <c r="D10511" t="s">
        <v>15759</v>
      </c>
      <c r="E10511" t="str">
        <f>"3320100649264"</f>
        <v>0</v>
      </c>
      <c r="F10511" t="str">
        <f>"001850"</f>
        <v>0</v>
      </c>
      <c r="G10511" t="s">
        <v>21</v>
      </c>
    </row>
    <row r="10512" spans="1:7">
      <c r="A10512">
        <v>10511</v>
      </c>
      <c r="B10512" t="str">
        <f>"018114"</f>
        <v>0</v>
      </c>
      <c r="C10512" t="s">
        <v>15760</v>
      </c>
      <c r="D10512" t="s">
        <v>15761</v>
      </c>
      <c r="E10512" t="str">
        <f>"3320101977923"</f>
        <v>0</v>
      </c>
      <c r="F10512" t="str">
        <f>"001850"</f>
        <v>0</v>
      </c>
      <c r="G10512" t="s">
        <v>21</v>
      </c>
    </row>
    <row r="10513" spans="1:7">
      <c r="A10513">
        <v>10512</v>
      </c>
      <c r="B10513" t="str">
        <f>"018841"</f>
        <v>0</v>
      </c>
      <c r="C10513" t="s">
        <v>4913</v>
      </c>
      <c r="D10513" t="s">
        <v>15762</v>
      </c>
      <c r="E10513" t="str">
        <f>"3301400005908"</f>
        <v>0</v>
      </c>
      <c r="F10513" t="str">
        <f>"001850"</f>
        <v>0</v>
      </c>
      <c r="G10513" t="s">
        <v>21</v>
      </c>
    </row>
    <row r="10514" spans="1:7">
      <c r="A10514">
        <v>10513</v>
      </c>
      <c r="B10514" t="str">
        <f>"019403"</f>
        <v>0</v>
      </c>
      <c r="C10514" t="s">
        <v>15763</v>
      </c>
      <c r="D10514" t="s">
        <v>15764</v>
      </c>
      <c r="E10514" t="str">
        <f>"3329900100699"</f>
        <v>0</v>
      </c>
      <c r="F10514" t="str">
        <f>"001850"</f>
        <v>0</v>
      </c>
      <c r="G10514" t="s">
        <v>21</v>
      </c>
    </row>
    <row r="10515" spans="1:7">
      <c r="A10515">
        <v>10514</v>
      </c>
      <c r="B10515" t="str">
        <f>"019586"</f>
        <v>0</v>
      </c>
      <c r="C10515" t="s">
        <v>405</v>
      </c>
      <c r="D10515" t="s">
        <v>15765</v>
      </c>
      <c r="E10515" t="str">
        <f>"3329900184914"</f>
        <v>0</v>
      </c>
      <c r="F10515" t="str">
        <f>"001850"</f>
        <v>0</v>
      </c>
      <c r="G10515" t="s">
        <v>21</v>
      </c>
    </row>
    <row r="10516" spans="1:7">
      <c r="A10516">
        <v>10515</v>
      </c>
      <c r="B10516" t="str">
        <f>"019654"</f>
        <v>0</v>
      </c>
      <c r="C10516" t="s">
        <v>905</v>
      </c>
      <c r="D10516" t="s">
        <v>313</v>
      </c>
      <c r="E10516" t="str">
        <f>"3301800313308"</f>
        <v>0</v>
      </c>
      <c r="F10516" t="str">
        <f>"001850"</f>
        <v>0</v>
      </c>
      <c r="G10516" t="s">
        <v>21</v>
      </c>
    </row>
    <row r="10517" spans="1:7">
      <c r="A10517">
        <v>10516</v>
      </c>
      <c r="B10517" t="str">
        <f>"019784"</f>
        <v>0</v>
      </c>
      <c r="C10517" t="s">
        <v>2907</v>
      </c>
      <c r="D10517" t="s">
        <v>15766</v>
      </c>
      <c r="E10517" t="str">
        <f>"3320200184204"</f>
        <v>0</v>
      </c>
      <c r="F10517" t="str">
        <f>"001850"</f>
        <v>0</v>
      </c>
      <c r="G10517" t="s">
        <v>21</v>
      </c>
    </row>
    <row r="10518" spans="1:7">
      <c r="A10518">
        <v>10517</v>
      </c>
      <c r="B10518" t="str">
        <f>"020051"</f>
        <v>0</v>
      </c>
      <c r="C10518" t="s">
        <v>5633</v>
      </c>
      <c r="D10518" t="s">
        <v>15767</v>
      </c>
      <c r="E10518" t="str">
        <f>"3329900004959"</f>
        <v>0</v>
      </c>
      <c r="F10518" t="str">
        <f>"001850"</f>
        <v>0</v>
      </c>
      <c r="G10518" t="s">
        <v>21</v>
      </c>
    </row>
    <row r="10519" spans="1:7">
      <c r="A10519">
        <v>10518</v>
      </c>
      <c r="B10519" t="str">
        <f>"020262"</f>
        <v>0</v>
      </c>
      <c r="C10519" t="s">
        <v>15768</v>
      </c>
      <c r="D10519" t="s">
        <v>15769</v>
      </c>
      <c r="E10519" t="str">
        <f>"3329900241942"</f>
        <v>0</v>
      </c>
      <c r="F10519" t="str">
        <f>"001850"</f>
        <v>0</v>
      </c>
      <c r="G10519" t="s">
        <v>21</v>
      </c>
    </row>
    <row r="10520" spans="1:7">
      <c r="A10520">
        <v>10519</v>
      </c>
      <c r="B10520" t="str">
        <f>"020482"</f>
        <v>0</v>
      </c>
      <c r="C10520" t="s">
        <v>15770</v>
      </c>
      <c r="D10520" t="s">
        <v>15771</v>
      </c>
      <c r="E10520" t="str">
        <f>"3320102060357"</f>
        <v>0</v>
      </c>
      <c r="F10520" t="str">
        <f>"001850"</f>
        <v>0</v>
      </c>
      <c r="G10520" t="s">
        <v>21</v>
      </c>
    </row>
    <row r="10521" spans="1:7">
      <c r="A10521">
        <v>10520</v>
      </c>
      <c r="B10521" t="str">
        <f>"020506"</f>
        <v>0</v>
      </c>
      <c r="C10521" t="s">
        <v>15772</v>
      </c>
      <c r="D10521" t="s">
        <v>15773</v>
      </c>
      <c r="E10521" t="str">
        <f>"3320600453270"</f>
        <v>0</v>
      </c>
      <c r="F10521" t="str">
        <f>"001850"</f>
        <v>0</v>
      </c>
      <c r="G10521" t="s">
        <v>21</v>
      </c>
    </row>
    <row r="10522" spans="1:7">
      <c r="A10522">
        <v>10521</v>
      </c>
      <c r="B10522" t="str">
        <f>"020591"</f>
        <v>0</v>
      </c>
      <c r="C10522" t="s">
        <v>1819</v>
      </c>
      <c r="D10522" t="s">
        <v>15774</v>
      </c>
      <c r="E10522" t="str">
        <f>"3320700612507"</f>
        <v>0</v>
      </c>
      <c r="F10522" t="str">
        <f>"001850"</f>
        <v>0</v>
      </c>
      <c r="G10522" t="s">
        <v>21</v>
      </c>
    </row>
    <row r="10523" spans="1:7">
      <c r="A10523">
        <v>10522</v>
      </c>
      <c r="B10523" t="str">
        <f>"021026"</f>
        <v>0</v>
      </c>
      <c r="C10523" t="s">
        <v>4355</v>
      </c>
      <c r="D10523" t="s">
        <v>7300</v>
      </c>
      <c r="E10523" t="str">
        <f>"3320101874857"</f>
        <v>0</v>
      </c>
      <c r="F10523" t="str">
        <f>"001850"</f>
        <v>0</v>
      </c>
      <c r="G10523" t="s">
        <v>21</v>
      </c>
    </row>
    <row r="10524" spans="1:7">
      <c r="A10524">
        <v>10523</v>
      </c>
      <c r="B10524" t="str">
        <f>"021027"</f>
        <v>0</v>
      </c>
      <c r="C10524" t="s">
        <v>15775</v>
      </c>
      <c r="D10524" t="s">
        <v>15776</v>
      </c>
      <c r="E10524" t="str">
        <f>"3320101564254"</f>
        <v>0</v>
      </c>
      <c r="F10524" t="str">
        <f>"001850"</f>
        <v>0</v>
      </c>
      <c r="G10524" t="s">
        <v>21</v>
      </c>
    </row>
    <row r="10525" spans="1:7">
      <c r="A10525">
        <v>10524</v>
      </c>
      <c r="B10525" t="str">
        <f>"021095"</f>
        <v>0</v>
      </c>
      <c r="C10525" t="s">
        <v>14819</v>
      </c>
      <c r="D10525" t="s">
        <v>15777</v>
      </c>
      <c r="E10525" t="str">
        <f>"3360200372485"</f>
        <v>0</v>
      </c>
      <c r="F10525" t="str">
        <f>"001850"</f>
        <v>0</v>
      </c>
      <c r="G10525" t="s">
        <v>21</v>
      </c>
    </row>
    <row r="10526" spans="1:7">
      <c r="A10526">
        <v>10525</v>
      </c>
      <c r="B10526" t="str">
        <f>"021594"</f>
        <v>0</v>
      </c>
      <c r="C10526" t="s">
        <v>7096</v>
      </c>
      <c r="D10526" t="s">
        <v>8554</v>
      </c>
      <c r="E10526" t="str">
        <f>"3321200466375"</f>
        <v>0</v>
      </c>
      <c r="F10526" t="str">
        <f>"001850"</f>
        <v>0</v>
      </c>
      <c r="G10526" t="s">
        <v>21</v>
      </c>
    </row>
    <row r="10527" spans="1:7">
      <c r="A10527">
        <v>10526</v>
      </c>
      <c r="B10527" t="str">
        <f>"021683"</f>
        <v>0</v>
      </c>
      <c r="C10527" t="s">
        <v>1335</v>
      </c>
      <c r="D10527" t="s">
        <v>15778</v>
      </c>
      <c r="E10527" t="str">
        <f>"3320700933486"</f>
        <v>0</v>
      </c>
      <c r="F10527" t="str">
        <f>"001850"</f>
        <v>0</v>
      </c>
      <c r="G10527" t="s">
        <v>21</v>
      </c>
    </row>
    <row r="10528" spans="1:7">
      <c r="A10528">
        <v>10527</v>
      </c>
      <c r="B10528" t="str">
        <f>"021794"</f>
        <v>0</v>
      </c>
      <c r="C10528" t="s">
        <v>15779</v>
      </c>
      <c r="D10528" t="s">
        <v>7000</v>
      </c>
      <c r="E10528" t="str">
        <f>"3320101060566"</f>
        <v>0</v>
      </c>
      <c r="F10528" t="str">
        <f>"001850"</f>
        <v>0</v>
      </c>
      <c r="G10528" t="s">
        <v>21</v>
      </c>
    </row>
    <row r="10529" spans="1:7">
      <c r="A10529">
        <v>10528</v>
      </c>
      <c r="B10529" t="str">
        <f>"022259"</f>
        <v>0</v>
      </c>
      <c r="C10529" t="s">
        <v>5664</v>
      </c>
      <c r="D10529" t="s">
        <v>15780</v>
      </c>
      <c r="E10529" t="str">
        <f>"3320100087614"</f>
        <v>0</v>
      </c>
      <c r="F10529" t="str">
        <f>"001850"</f>
        <v>0</v>
      </c>
      <c r="G10529" t="s">
        <v>21</v>
      </c>
    </row>
    <row r="10530" spans="1:7">
      <c r="A10530">
        <v>10529</v>
      </c>
      <c r="B10530" t="str">
        <f>"022303"</f>
        <v>0</v>
      </c>
      <c r="C10530" t="s">
        <v>15781</v>
      </c>
      <c r="D10530" t="s">
        <v>15782</v>
      </c>
      <c r="E10530" t="str">
        <f>"3320100564005"</f>
        <v>0</v>
      </c>
      <c r="F10530" t="str">
        <f>"001850"</f>
        <v>0</v>
      </c>
      <c r="G10530" t="s">
        <v>21</v>
      </c>
    </row>
    <row r="10531" spans="1:7">
      <c r="A10531">
        <v>10530</v>
      </c>
      <c r="B10531" t="str">
        <f>"022305"</f>
        <v>0</v>
      </c>
      <c r="C10531" t="s">
        <v>634</v>
      </c>
      <c r="D10531" t="s">
        <v>15783</v>
      </c>
      <c r="E10531" t="str">
        <f>"3320100364952"</f>
        <v>0</v>
      </c>
      <c r="F10531" t="str">
        <f>"001850"</f>
        <v>0</v>
      </c>
      <c r="G10531" t="s">
        <v>21</v>
      </c>
    </row>
    <row r="10532" spans="1:7">
      <c r="A10532">
        <v>10531</v>
      </c>
      <c r="B10532" t="str">
        <f>"022767"</f>
        <v>0</v>
      </c>
      <c r="C10532" t="s">
        <v>2082</v>
      </c>
      <c r="D10532" t="s">
        <v>15784</v>
      </c>
      <c r="E10532" t="str">
        <f>"3560500051399"</f>
        <v>0</v>
      </c>
      <c r="F10532" t="str">
        <f>"001850"</f>
        <v>0</v>
      </c>
      <c r="G10532" t="s">
        <v>21</v>
      </c>
    </row>
    <row r="10533" spans="1:7">
      <c r="A10533">
        <v>10532</v>
      </c>
      <c r="B10533" t="str">
        <f>"022768"</f>
        <v>0</v>
      </c>
      <c r="C10533" t="s">
        <v>15785</v>
      </c>
      <c r="D10533" t="s">
        <v>10873</v>
      </c>
      <c r="E10533" t="str">
        <f>"3320100288130"</f>
        <v>0</v>
      </c>
      <c r="F10533" t="str">
        <f>"001850"</f>
        <v>0</v>
      </c>
      <c r="G10533" t="s">
        <v>21</v>
      </c>
    </row>
    <row r="10534" spans="1:7">
      <c r="A10534">
        <v>10533</v>
      </c>
      <c r="B10534" t="str">
        <f>"022816"</f>
        <v>0</v>
      </c>
      <c r="C10534" t="s">
        <v>352</v>
      </c>
      <c r="D10534" t="s">
        <v>15786</v>
      </c>
      <c r="E10534" t="str">
        <f>"3670500160146"</f>
        <v>0</v>
      </c>
      <c r="F10534" t="str">
        <f>"001850"</f>
        <v>0</v>
      </c>
      <c r="G10534" t="s">
        <v>21</v>
      </c>
    </row>
    <row r="10535" spans="1:7">
      <c r="A10535">
        <v>10534</v>
      </c>
      <c r="B10535" t="str">
        <f>"023157"</f>
        <v>0</v>
      </c>
      <c r="C10535" t="s">
        <v>2910</v>
      </c>
      <c r="D10535" t="s">
        <v>15787</v>
      </c>
      <c r="E10535" t="str">
        <f>"3320100535625"</f>
        <v>0</v>
      </c>
      <c r="F10535" t="str">
        <f>"001850"</f>
        <v>0</v>
      </c>
      <c r="G10535" t="s">
        <v>21</v>
      </c>
    </row>
    <row r="10536" spans="1:7">
      <c r="A10536">
        <v>10535</v>
      </c>
      <c r="B10536" t="str">
        <f>"023260"</f>
        <v>0</v>
      </c>
      <c r="C10536" t="s">
        <v>15788</v>
      </c>
      <c r="D10536" t="s">
        <v>15789</v>
      </c>
      <c r="E10536" t="str">
        <f>"3321000335943"</f>
        <v>0</v>
      </c>
      <c r="F10536" t="str">
        <f>"001850"</f>
        <v>0</v>
      </c>
      <c r="G10536" t="s">
        <v>21</v>
      </c>
    </row>
    <row r="10537" spans="1:7">
      <c r="A10537">
        <v>10536</v>
      </c>
      <c r="B10537" t="str">
        <f>"023447"</f>
        <v>0</v>
      </c>
      <c r="C10537" t="s">
        <v>15790</v>
      </c>
      <c r="D10537" t="s">
        <v>15791</v>
      </c>
      <c r="E10537" t="str">
        <f>"3320100638025"</f>
        <v>0</v>
      </c>
      <c r="F10537" t="str">
        <f>"001850"</f>
        <v>0</v>
      </c>
      <c r="G10537" t="s">
        <v>21</v>
      </c>
    </row>
    <row r="10538" spans="1:7">
      <c r="A10538">
        <v>10537</v>
      </c>
      <c r="B10538" t="str">
        <f>"023479"</f>
        <v>0</v>
      </c>
      <c r="C10538" t="s">
        <v>1244</v>
      </c>
      <c r="D10538" t="s">
        <v>15783</v>
      </c>
      <c r="E10538" t="str">
        <f>"3320100710559"</f>
        <v>0</v>
      </c>
      <c r="F10538" t="str">
        <f>"001850"</f>
        <v>0</v>
      </c>
      <c r="G10538" t="s">
        <v>21</v>
      </c>
    </row>
    <row r="10539" spans="1:7">
      <c r="A10539">
        <v>10538</v>
      </c>
      <c r="B10539" t="str">
        <f>"023481"</f>
        <v>0</v>
      </c>
      <c r="C10539" t="s">
        <v>15792</v>
      </c>
      <c r="D10539" t="s">
        <v>15793</v>
      </c>
      <c r="E10539" t="str">
        <f>"1329900012131"</f>
        <v>0</v>
      </c>
      <c r="F10539" t="str">
        <f>"001850"</f>
        <v>0</v>
      </c>
      <c r="G10539" t="s">
        <v>21</v>
      </c>
    </row>
    <row r="10540" spans="1:7">
      <c r="A10540">
        <v>10539</v>
      </c>
      <c r="B10540" t="str">
        <f>"023575"</f>
        <v>0</v>
      </c>
      <c r="C10540" t="s">
        <v>10606</v>
      </c>
      <c r="D10540" t="s">
        <v>15794</v>
      </c>
      <c r="E10540" t="str">
        <f>"5320190051441"</f>
        <v>0</v>
      </c>
      <c r="F10540" t="str">
        <f>"001850"</f>
        <v>0</v>
      </c>
      <c r="G10540" t="s">
        <v>21</v>
      </c>
    </row>
    <row r="10541" spans="1:7">
      <c r="A10541">
        <v>10540</v>
      </c>
      <c r="B10541" t="str">
        <f>"023576"</f>
        <v>0</v>
      </c>
      <c r="C10541" t="s">
        <v>15795</v>
      </c>
      <c r="D10541" t="s">
        <v>15796</v>
      </c>
      <c r="E10541" t="str">
        <f>"3329900194740"</f>
        <v>0</v>
      </c>
      <c r="F10541" t="str">
        <f>"001850"</f>
        <v>0</v>
      </c>
      <c r="G10541" t="s">
        <v>21</v>
      </c>
    </row>
    <row r="10542" spans="1:7">
      <c r="A10542">
        <v>10541</v>
      </c>
      <c r="B10542" t="str">
        <f>"023770"</f>
        <v>0</v>
      </c>
      <c r="C10542" t="s">
        <v>2301</v>
      </c>
      <c r="D10542" t="s">
        <v>15797</v>
      </c>
      <c r="E10542" t="str">
        <f>"5320500045702"</f>
        <v>0</v>
      </c>
      <c r="F10542" t="str">
        <f>"001850"</f>
        <v>0</v>
      </c>
      <c r="G10542" t="s">
        <v>21</v>
      </c>
    </row>
    <row r="10543" spans="1:7">
      <c r="A10543">
        <v>10542</v>
      </c>
      <c r="B10543" t="str">
        <f>"024109"</f>
        <v>0</v>
      </c>
      <c r="C10543" t="s">
        <v>14426</v>
      </c>
      <c r="D10543" t="s">
        <v>15798</v>
      </c>
      <c r="E10543" t="str">
        <f>"1329900139696"</f>
        <v>0</v>
      </c>
      <c r="F10543" t="str">
        <f>"001850"</f>
        <v>0</v>
      </c>
      <c r="G10543" t="s">
        <v>21</v>
      </c>
    </row>
    <row r="10544" spans="1:7">
      <c r="A10544">
        <v>10543</v>
      </c>
      <c r="B10544" t="str">
        <f>"024158"</f>
        <v>0</v>
      </c>
      <c r="C10544" t="s">
        <v>15799</v>
      </c>
      <c r="D10544" t="s">
        <v>6285</v>
      </c>
      <c r="E10544" t="str">
        <f>"3320400040176"</f>
        <v>0</v>
      </c>
      <c r="F10544" t="str">
        <f>"001850"</f>
        <v>0</v>
      </c>
      <c r="G10544" t="s">
        <v>21</v>
      </c>
    </row>
    <row r="10545" spans="1:7">
      <c r="A10545">
        <v>10544</v>
      </c>
      <c r="B10545" t="str">
        <f>"024287"</f>
        <v>0</v>
      </c>
      <c r="C10545" t="s">
        <v>1502</v>
      </c>
      <c r="D10545" t="s">
        <v>4648</v>
      </c>
      <c r="E10545" t="str">
        <f>"3320100071157"</f>
        <v>0</v>
      </c>
      <c r="F10545" t="str">
        <f>"001850"</f>
        <v>0</v>
      </c>
      <c r="G10545" t="s">
        <v>21</v>
      </c>
    </row>
    <row r="10546" spans="1:7">
      <c r="A10546">
        <v>10545</v>
      </c>
      <c r="B10546" t="str">
        <f>"024419"</f>
        <v>0</v>
      </c>
      <c r="C10546" t="s">
        <v>13872</v>
      </c>
      <c r="D10546" t="s">
        <v>15800</v>
      </c>
      <c r="E10546" t="str">
        <f>"3320101968657"</f>
        <v>0</v>
      </c>
      <c r="F10546" t="str">
        <f>"001850"</f>
        <v>0</v>
      </c>
      <c r="G10546" t="s">
        <v>21</v>
      </c>
    </row>
    <row r="10547" spans="1:7">
      <c r="A10547">
        <v>10546</v>
      </c>
      <c r="B10547" t="str">
        <f>"024539"</f>
        <v>0</v>
      </c>
      <c r="C10547" t="s">
        <v>15801</v>
      </c>
      <c r="D10547" t="s">
        <v>15802</v>
      </c>
      <c r="E10547" t="str">
        <f>"1320300094961"</f>
        <v>0</v>
      </c>
      <c r="F10547" t="str">
        <f>"001850"</f>
        <v>0</v>
      </c>
      <c r="G10547" t="s">
        <v>21</v>
      </c>
    </row>
    <row r="10548" spans="1:7">
      <c r="A10548">
        <v>10547</v>
      </c>
      <c r="B10548" t="str">
        <f>"024556"</f>
        <v>0</v>
      </c>
      <c r="C10548" t="s">
        <v>15803</v>
      </c>
      <c r="D10548" t="s">
        <v>15804</v>
      </c>
      <c r="E10548" t="str">
        <f>"3320200060564"</f>
        <v>0</v>
      </c>
      <c r="F10548" t="str">
        <f>"001850"</f>
        <v>0</v>
      </c>
      <c r="G10548" t="s">
        <v>21</v>
      </c>
    </row>
    <row r="10549" spans="1:7">
      <c r="A10549">
        <v>10548</v>
      </c>
      <c r="B10549" t="str">
        <f>"024669"</f>
        <v>0</v>
      </c>
      <c r="C10549" t="s">
        <v>15805</v>
      </c>
      <c r="D10549" t="s">
        <v>15806</v>
      </c>
      <c r="E10549" t="str">
        <f>"1329900002348"</f>
        <v>0</v>
      </c>
      <c r="F10549" t="str">
        <f>"001850"</f>
        <v>0</v>
      </c>
      <c r="G10549" t="s">
        <v>21</v>
      </c>
    </row>
    <row r="10550" spans="1:7">
      <c r="A10550">
        <v>10549</v>
      </c>
      <c r="B10550" t="str">
        <f>"025216"</f>
        <v>0</v>
      </c>
      <c r="C10550" t="s">
        <v>15807</v>
      </c>
      <c r="D10550" t="s">
        <v>15808</v>
      </c>
      <c r="E10550" t="str">
        <f>"3320900675791"</f>
        <v>0</v>
      </c>
      <c r="F10550" t="str">
        <f>"001850"</f>
        <v>0</v>
      </c>
      <c r="G10550" t="s">
        <v>21</v>
      </c>
    </row>
    <row r="10551" spans="1:7">
      <c r="A10551">
        <v>10550</v>
      </c>
      <c r="B10551" t="str">
        <f>"025217"</f>
        <v>0</v>
      </c>
      <c r="C10551" t="s">
        <v>15809</v>
      </c>
      <c r="D10551" t="s">
        <v>15810</v>
      </c>
      <c r="E10551" t="str">
        <f>"3320101028701"</f>
        <v>0</v>
      </c>
      <c r="F10551" t="str">
        <f>"001850"</f>
        <v>0</v>
      </c>
      <c r="G10551" t="s">
        <v>21</v>
      </c>
    </row>
    <row r="10552" spans="1:7">
      <c r="A10552">
        <v>10551</v>
      </c>
      <c r="B10552" t="str">
        <f>"025354"</f>
        <v>0</v>
      </c>
      <c r="C10552" t="s">
        <v>15811</v>
      </c>
      <c r="D10552" t="s">
        <v>15812</v>
      </c>
      <c r="E10552" t="str">
        <f>"3320100084500"</f>
        <v>0</v>
      </c>
      <c r="F10552" t="str">
        <f>"001850"</f>
        <v>0</v>
      </c>
      <c r="G10552" t="s">
        <v>21</v>
      </c>
    </row>
    <row r="10553" spans="1:7">
      <c r="A10553">
        <v>10552</v>
      </c>
      <c r="B10553" t="str">
        <f>"025801"</f>
        <v>0</v>
      </c>
      <c r="C10553" t="s">
        <v>15813</v>
      </c>
      <c r="D10553" t="s">
        <v>15814</v>
      </c>
      <c r="E10553" t="str">
        <f>"3321000130608"</f>
        <v>0</v>
      </c>
      <c r="F10553" t="str">
        <f>"001850"</f>
        <v>0</v>
      </c>
      <c r="G10553" t="s">
        <v>21</v>
      </c>
    </row>
    <row r="10554" spans="1:7">
      <c r="A10554">
        <v>10553</v>
      </c>
      <c r="B10554" t="str">
        <f>"026213"</f>
        <v>0</v>
      </c>
      <c r="C10554" t="s">
        <v>1711</v>
      </c>
      <c r="D10554" t="s">
        <v>15815</v>
      </c>
      <c r="E10554" t="str">
        <f>"1321200034185"</f>
        <v>0</v>
      </c>
      <c r="F10554" t="str">
        <f>"001850"</f>
        <v>0</v>
      </c>
      <c r="G10554" t="s">
        <v>21</v>
      </c>
    </row>
    <row r="10555" spans="1:7">
      <c r="A10555">
        <v>10554</v>
      </c>
      <c r="B10555" t="str">
        <f>"026884"</f>
        <v>0</v>
      </c>
      <c r="C10555" t="s">
        <v>15816</v>
      </c>
      <c r="D10555" t="s">
        <v>15817</v>
      </c>
      <c r="E10555" t="str">
        <f>"3320701043069"</f>
        <v>0</v>
      </c>
      <c r="F10555" t="str">
        <f>"001850"</f>
        <v>0</v>
      </c>
      <c r="G10555" t="s">
        <v>21</v>
      </c>
    </row>
    <row r="10556" spans="1:7">
      <c r="A10556">
        <v>10555</v>
      </c>
      <c r="B10556" t="str">
        <f>"026929"</f>
        <v>0</v>
      </c>
      <c r="C10556" t="s">
        <v>15818</v>
      </c>
      <c r="D10556" t="s">
        <v>15819</v>
      </c>
      <c r="E10556" t="str">
        <f>"5320400028652"</f>
        <v>0</v>
      </c>
      <c r="F10556" t="str">
        <f>"001850"</f>
        <v>0</v>
      </c>
      <c r="G10556" t="s">
        <v>21</v>
      </c>
    </row>
    <row r="10557" spans="1:7">
      <c r="A10557">
        <v>10556</v>
      </c>
      <c r="B10557" t="str">
        <f>"027239"</f>
        <v>0</v>
      </c>
      <c r="C10557" t="s">
        <v>15820</v>
      </c>
      <c r="D10557" t="s">
        <v>15612</v>
      </c>
      <c r="E10557" t="str">
        <f>"5400299000645"</f>
        <v>0</v>
      </c>
      <c r="F10557" t="str">
        <f>"001850"</f>
        <v>0</v>
      </c>
      <c r="G10557" t="s">
        <v>21</v>
      </c>
    </row>
    <row r="10558" spans="1:7">
      <c r="A10558">
        <v>10557</v>
      </c>
      <c r="B10558" t="str">
        <f>"027240"</f>
        <v>0</v>
      </c>
      <c r="C10558" t="s">
        <v>15821</v>
      </c>
      <c r="D10558" t="s">
        <v>3064</v>
      </c>
      <c r="E10558" t="str">
        <f>"1321000132761"</f>
        <v>0</v>
      </c>
      <c r="F10558" t="str">
        <f>"001850"</f>
        <v>0</v>
      </c>
      <c r="G10558" t="s">
        <v>21</v>
      </c>
    </row>
    <row r="10559" spans="1:7">
      <c r="A10559">
        <v>10558</v>
      </c>
      <c r="B10559" t="str">
        <f>"027242"</f>
        <v>0</v>
      </c>
      <c r="C10559" t="s">
        <v>9801</v>
      </c>
      <c r="D10559" t="s">
        <v>15822</v>
      </c>
      <c r="E10559" t="str">
        <f>"1320700154154"</f>
        <v>0</v>
      </c>
      <c r="F10559" t="str">
        <f>"001850"</f>
        <v>0</v>
      </c>
      <c r="G10559" t="s">
        <v>21</v>
      </c>
    </row>
    <row r="10560" spans="1:7">
      <c r="A10560">
        <v>10559</v>
      </c>
      <c r="B10560" t="str">
        <f>"027243"</f>
        <v>0</v>
      </c>
      <c r="C10560" t="s">
        <v>5352</v>
      </c>
      <c r="D10560" t="s">
        <v>15823</v>
      </c>
      <c r="E10560" t="str">
        <f>"1340700094062"</f>
        <v>0</v>
      </c>
      <c r="F10560" t="str">
        <f>"001850"</f>
        <v>0</v>
      </c>
      <c r="G10560" t="s">
        <v>21</v>
      </c>
    </row>
    <row r="10561" spans="1:7">
      <c r="A10561">
        <v>10560</v>
      </c>
      <c r="B10561" t="str">
        <f>"021891"</f>
        <v>0</v>
      </c>
      <c r="C10561" t="s">
        <v>15824</v>
      </c>
      <c r="D10561" t="s">
        <v>15825</v>
      </c>
      <c r="E10561" t="str">
        <f>"3330800174641"</f>
        <v>0</v>
      </c>
      <c r="F10561" t="str">
        <f>"001850"</f>
        <v>0</v>
      </c>
      <c r="G10561" t="s">
        <v>21</v>
      </c>
    </row>
    <row r="10562" spans="1:7">
      <c r="A10562">
        <v>10561</v>
      </c>
      <c r="B10562" t="str">
        <f>"025982"</f>
        <v>0</v>
      </c>
      <c r="C10562" t="s">
        <v>15826</v>
      </c>
      <c r="D10562" t="s">
        <v>15827</v>
      </c>
      <c r="E10562" t="str">
        <f>"1330400142321"</f>
        <v>0</v>
      </c>
      <c r="F10562" t="str">
        <f>"001850"</f>
        <v>0</v>
      </c>
      <c r="G10562" t="s">
        <v>21</v>
      </c>
    </row>
    <row r="10563" spans="1:7">
      <c r="A10563">
        <v>10562</v>
      </c>
      <c r="B10563" t="str">
        <f>"026647"</f>
        <v>0</v>
      </c>
      <c r="C10563" t="s">
        <v>15828</v>
      </c>
      <c r="D10563" t="s">
        <v>15829</v>
      </c>
      <c r="E10563" t="str">
        <f>"1330700135931"</f>
        <v>0</v>
      </c>
      <c r="F10563" t="str">
        <f>"001850"</f>
        <v>0</v>
      </c>
      <c r="G10563" t="s">
        <v>21</v>
      </c>
    </row>
    <row r="10564" spans="1:7">
      <c r="A10564">
        <v>10563</v>
      </c>
      <c r="B10564" t="str">
        <f>"019734"</f>
        <v>0</v>
      </c>
      <c r="C10564" t="s">
        <v>14603</v>
      </c>
      <c r="D10564" t="s">
        <v>15830</v>
      </c>
      <c r="E10564" t="str">
        <f>"3320800099283"</f>
        <v>0</v>
      </c>
      <c r="F10564" t="str">
        <f>"001850"</f>
        <v>0</v>
      </c>
      <c r="G10564" t="s">
        <v>21</v>
      </c>
    </row>
    <row r="10565" spans="1:7">
      <c r="A10565">
        <v>10564</v>
      </c>
      <c r="B10565" t="str">
        <f>"025983"</f>
        <v>0</v>
      </c>
      <c r="C10565" t="s">
        <v>1070</v>
      </c>
      <c r="D10565" t="s">
        <v>15831</v>
      </c>
      <c r="E10565" t="str">
        <f>"1341400017098"</f>
        <v>0</v>
      </c>
      <c r="F10565" t="str">
        <f>"001850"</f>
        <v>0</v>
      </c>
      <c r="G10565" t="s">
        <v>21</v>
      </c>
    </row>
    <row r="10566" spans="1:7">
      <c r="A10566">
        <v>10565</v>
      </c>
      <c r="B10566" t="str">
        <f>"027245"</f>
        <v>0</v>
      </c>
      <c r="C10566" t="s">
        <v>2858</v>
      </c>
      <c r="D10566" t="s">
        <v>15832</v>
      </c>
      <c r="E10566" t="str">
        <f>"1349900146609"</f>
        <v>0</v>
      </c>
      <c r="F10566" t="str">
        <f>"001850"</f>
        <v>0</v>
      </c>
      <c r="G10566" t="s">
        <v>21</v>
      </c>
    </row>
    <row r="10567" spans="1:7">
      <c r="A10567">
        <v>10566</v>
      </c>
      <c r="B10567" t="str">
        <f>"020142"</f>
        <v>0</v>
      </c>
      <c r="C10567" t="s">
        <v>4481</v>
      </c>
      <c r="D10567" t="s">
        <v>15833</v>
      </c>
      <c r="E10567" t="str">
        <f>"3350100155822"</f>
        <v>0</v>
      </c>
      <c r="F10567" t="str">
        <f>"001850"</f>
        <v>0</v>
      </c>
      <c r="G10567" t="s">
        <v>21</v>
      </c>
    </row>
    <row r="10568" spans="1:7">
      <c r="A10568">
        <v>10567</v>
      </c>
      <c r="B10568" t="str">
        <f>"023053"</f>
        <v>0</v>
      </c>
      <c r="C10568" t="s">
        <v>2517</v>
      </c>
      <c r="D10568" t="s">
        <v>15834</v>
      </c>
      <c r="E10568" t="str">
        <f>"3320500902862"</f>
        <v>0</v>
      </c>
      <c r="F10568" t="str">
        <f>"001850"</f>
        <v>0</v>
      </c>
      <c r="G10568" t="s">
        <v>21</v>
      </c>
    </row>
    <row r="10569" spans="1:7">
      <c r="A10569">
        <v>10568</v>
      </c>
      <c r="B10569" t="str">
        <f>"017649"</f>
        <v>0</v>
      </c>
      <c r="C10569" t="s">
        <v>15835</v>
      </c>
      <c r="D10569" t="s">
        <v>15836</v>
      </c>
      <c r="E10569" t="str">
        <f>"3451100004417"</f>
        <v>0</v>
      </c>
      <c r="F10569" t="str">
        <f>"001850"</f>
        <v>0</v>
      </c>
      <c r="G10569" t="s">
        <v>21</v>
      </c>
    </row>
    <row r="10570" spans="1:7">
      <c r="A10570">
        <v>10569</v>
      </c>
      <c r="B10570" t="str">
        <f>"022882"</f>
        <v>0</v>
      </c>
      <c r="C10570" t="s">
        <v>14071</v>
      </c>
      <c r="D10570" t="s">
        <v>15837</v>
      </c>
      <c r="E10570" t="str">
        <f>"3440800290705"</f>
        <v>0</v>
      </c>
      <c r="F10570" t="str">
        <f>"001850"</f>
        <v>0</v>
      </c>
      <c r="G10570" t="s">
        <v>21</v>
      </c>
    </row>
    <row r="10571" spans="1:7">
      <c r="A10571">
        <v>10570</v>
      </c>
      <c r="B10571" t="str">
        <f>"021846"</f>
        <v>0</v>
      </c>
      <c r="C10571" t="s">
        <v>2298</v>
      </c>
      <c r="D10571" t="s">
        <v>15838</v>
      </c>
      <c r="E10571" t="str">
        <f>"5400299009278"</f>
        <v>0</v>
      </c>
      <c r="F10571" t="str">
        <f>"001850"</f>
        <v>0</v>
      </c>
      <c r="G10571" t="s">
        <v>21</v>
      </c>
    </row>
    <row r="10572" spans="1:7">
      <c r="A10572">
        <v>10571</v>
      </c>
      <c r="B10572" t="str">
        <f>"025986"</f>
        <v>0</v>
      </c>
      <c r="C10572" t="s">
        <v>15839</v>
      </c>
      <c r="D10572" t="s">
        <v>15840</v>
      </c>
      <c r="E10572" t="str">
        <f>"1460100029561"</f>
        <v>0</v>
      </c>
      <c r="F10572" t="str">
        <f>"001850"</f>
        <v>0</v>
      </c>
      <c r="G10572" t="s">
        <v>21</v>
      </c>
    </row>
    <row r="10573" spans="1:7">
      <c r="A10573">
        <v>10572</v>
      </c>
      <c r="B10573" t="str">
        <f>"027244"</f>
        <v>0</v>
      </c>
      <c r="C10573" t="s">
        <v>2298</v>
      </c>
      <c r="D10573" t="s">
        <v>15841</v>
      </c>
      <c r="E10573" t="str">
        <f>"1709700136991"</f>
        <v>0</v>
      </c>
      <c r="F10573" t="str">
        <f>"001850"</f>
        <v>0</v>
      </c>
      <c r="G10573" t="s">
        <v>21</v>
      </c>
    </row>
    <row r="10574" spans="1:7">
      <c r="A10574">
        <v>10573</v>
      </c>
      <c r="B10574" t="str">
        <f>"027237"</f>
        <v>0</v>
      </c>
      <c r="C10574" t="s">
        <v>1021</v>
      </c>
      <c r="D10574" t="s">
        <v>15842</v>
      </c>
      <c r="E10574" t="str">
        <f>"3901000077515"</f>
        <v>0</v>
      </c>
      <c r="F10574" t="str">
        <f>"001850"</f>
        <v>0</v>
      </c>
      <c r="G10574" t="s">
        <v>21</v>
      </c>
    </row>
    <row r="10575" spans="1:7">
      <c r="A10575">
        <v>10574</v>
      </c>
      <c r="B10575" t="str">
        <f>"027238"</f>
        <v>0</v>
      </c>
      <c r="C10575" t="s">
        <v>2815</v>
      </c>
      <c r="D10575" t="s">
        <v>15843</v>
      </c>
      <c r="E10575" t="str">
        <f>"1930600091210"</f>
        <v>0</v>
      </c>
      <c r="F10575" t="str">
        <f>"001850"</f>
        <v>0</v>
      </c>
      <c r="G10575" t="s">
        <v>21</v>
      </c>
    </row>
    <row r="10576" spans="1:7">
      <c r="A10576">
        <v>10575</v>
      </c>
      <c r="B10576" t="str">
        <f>"027532"</f>
        <v>0</v>
      </c>
      <c r="C10576" t="s">
        <v>5080</v>
      </c>
      <c r="D10576" t="s">
        <v>15844</v>
      </c>
      <c r="E10576" t="str">
        <f>"1329900505579"</f>
        <v>0</v>
      </c>
      <c r="F10576" t="str">
        <f>"001850"</f>
        <v>0</v>
      </c>
      <c r="G10576" t="s">
        <v>21</v>
      </c>
    </row>
    <row r="10577" spans="1:7">
      <c r="A10577">
        <v>10576</v>
      </c>
      <c r="B10577" t="str">
        <f>"027533"</f>
        <v>0</v>
      </c>
      <c r="C10577" t="s">
        <v>15845</v>
      </c>
      <c r="D10577" t="s">
        <v>15846</v>
      </c>
      <c r="E10577" t="str">
        <f>"1329900051446"</f>
        <v>0</v>
      </c>
      <c r="F10577" t="str">
        <f>"001850"</f>
        <v>0</v>
      </c>
      <c r="G10577" t="s">
        <v>21</v>
      </c>
    </row>
    <row r="10578" spans="1:7">
      <c r="A10578">
        <v>10577</v>
      </c>
      <c r="B10578" t="str">
        <f>"027563"</f>
        <v>0</v>
      </c>
      <c r="C10578" t="s">
        <v>15183</v>
      </c>
      <c r="D10578" t="s">
        <v>6123</v>
      </c>
      <c r="E10578" t="str">
        <f>"1329900428850"</f>
        <v>0</v>
      </c>
      <c r="F10578" t="str">
        <f>"001850"</f>
        <v>0</v>
      </c>
      <c r="G10578" t="s">
        <v>21</v>
      </c>
    </row>
    <row r="10579" spans="1:7">
      <c r="A10579">
        <v>10578</v>
      </c>
      <c r="B10579" t="str">
        <f>"027564"</f>
        <v>0</v>
      </c>
      <c r="C10579" t="s">
        <v>5473</v>
      </c>
      <c r="D10579" t="s">
        <v>15847</v>
      </c>
      <c r="E10579" t="str">
        <f>"1500400074587"</f>
        <v>0</v>
      </c>
      <c r="F10579" t="str">
        <f>"001850"</f>
        <v>0</v>
      </c>
      <c r="G10579" t="s">
        <v>21</v>
      </c>
    </row>
    <row r="10580" spans="1:7">
      <c r="A10580">
        <v>10579</v>
      </c>
      <c r="B10580" t="str">
        <f>"027609"</f>
        <v>0</v>
      </c>
      <c r="C10580" t="s">
        <v>10377</v>
      </c>
      <c r="D10580" t="s">
        <v>380</v>
      </c>
      <c r="E10580" t="str">
        <f>"3320100531913"</f>
        <v>0</v>
      </c>
      <c r="F10580" t="str">
        <f>"001850"</f>
        <v>0</v>
      </c>
      <c r="G10580" t="s">
        <v>21</v>
      </c>
    </row>
    <row r="10581" spans="1:7">
      <c r="A10581">
        <v>10580</v>
      </c>
      <c r="B10581" t="str">
        <f>"000589"</f>
        <v>0</v>
      </c>
      <c r="C10581" t="s">
        <v>2320</v>
      </c>
      <c r="D10581" t="s">
        <v>15848</v>
      </c>
      <c r="E10581" t="str">
        <f>"3411300043505"</f>
        <v>0</v>
      </c>
      <c r="F10581" t="str">
        <f>"001870"</f>
        <v>0</v>
      </c>
      <c r="G10581" t="s">
        <v>21</v>
      </c>
    </row>
    <row r="10582" spans="1:7">
      <c r="A10582">
        <v>10581</v>
      </c>
      <c r="B10582" t="str">
        <f>"006683"</f>
        <v>0</v>
      </c>
      <c r="C10582" t="s">
        <v>15849</v>
      </c>
      <c r="D10582" t="s">
        <v>4894</v>
      </c>
      <c r="E10582" t="str">
        <f>"3411200343647"</f>
        <v>0</v>
      </c>
      <c r="F10582" t="str">
        <f>"001870"</f>
        <v>0</v>
      </c>
      <c r="G10582" t="s">
        <v>21</v>
      </c>
    </row>
    <row r="10583" spans="1:7">
      <c r="A10583">
        <v>10582</v>
      </c>
      <c r="B10583" t="str">
        <f>"007251"</f>
        <v>0</v>
      </c>
      <c r="C10583" t="s">
        <v>15850</v>
      </c>
      <c r="D10583" t="s">
        <v>9814</v>
      </c>
      <c r="E10583" t="str">
        <f>"3411400568243"</f>
        <v>0</v>
      </c>
      <c r="F10583" t="str">
        <f>"001870"</f>
        <v>0</v>
      </c>
      <c r="G10583" t="s">
        <v>21</v>
      </c>
    </row>
    <row r="10584" spans="1:7">
      <c r="A10584">
        <v>10583</v>
      </c>
      <c r="B10584" t="str">
        <f>"007564"</f>
        <v>0</v>
      </c>
      <c r="C10584" t="s">
        <v>15851</v>
      </c>
      <c r="D10584" t="s">
        <v>15852</v>
      </c>
      <c r="E10584" t="str">
        <f>"3411200545797"</f>
        <v>0</v>
      </c>
      <c r="F10584" t="str">
        <f>"001870"</f>
        <v>0</v>
      </c>
      <c r="G10584" t="s">
        <v>21</v>
      </c>
    </row>
    <row r="10585" spans="1:7">
      <c r="A10585">
        <v>10584</v>
      </c>
      <c r="B10585" t="str">
        <f>"007817"</f>
        <v>0</v>
      </c>
      <c r="C10585" t="s">
        <v>7953</v>
      </c>
      <c r="D10585" t="s">
        <v>15853</v>
      </c>
      <c r="E10585" t="str">
        <f>"3411300171597"</f>
        <v>0</v>
      </c>
      <c r="F10585" t="str">
        <f>"001870"</f>
        <v>0</v>
      </c>
      <c r="G10585" t="s">
        <v>21</v>
      </c>
    </row>
    <row r="10586" spans="1:7">
      <c r="A10586">
        <v>10585</v>
      </c>
      <c r="B10586" t="str">
        <f>"007821"</f>
        <v>0</v>
      </c>
      <c r="C10586" t="s">
        <v>4893</v>
      </c>
      <c r="D10586" t="s">
        <v>11421</v>
      </c>
      <c r="E10586" t="str">
        <f>"3411300049244"</f>
        <v>0</v>
      </c>
      <c r="F10586" t="str">
        <f>"001870"</f>
        <v>0</v>
      </c>
      <c r="G10586" t="s">
        <v>21</v>
      </c>
    </row>
    <row r="10587" spans="1:7">
      <c r="A10587">
        <v>10586</v>
      </c>
      <c r="B10587" t="str">
        <f>"007835"</f>
        <v>0</v>
      </c>
      <c r="C10587" t="s">
        <v>15854</v>
      </c>
      <c r="D10587" t="s">
        <v>15855</v>
      </c>
      <c r="E10587" t="str">
        <f>"3341501554966"</f>
        <v>0</v>
      </c>
      <c r="F10587" t="str">
        <f>"001870"</f>
        <v>0</v>
      </c>
      <c r="G10587" t="s">
        <v>21</v>
      </c>
    </row>
    <row r="10588" spans="1:7">
      <c r="A10588">
        <v>10587</v>
      </c>
      <c r="B10588" t="str">
        <f>"008346"</f>
        <v>0</v>
      </c>
      <c r="C10588" t="s">
        <v>15856</v>
      </c>
      <c r="D10588" t="s">
        <v>15857</v>
      </c>
      <c r="E10588" t="str">
        <f>"3400400538777"</f>
        <v>0</v>
      </c>
      <c r="F10588" t="str">
        <f>"001870"</f>
        <v>0</v>
      </c>
      <c r="G10588" t="s">
        <v>21</v>
      </c>
    </row>
    <row r="10589" spans="1:7">
      <c r="A10589">
        <v>10588</v>
      </c>
      <c r="B10589" t="str">
        <f>"008372"</f>
        <v>0</v>
      </c>
      <c r="C10589" t="s">
        <v>15858</v>
      </c>
      <c r="D10589" t="s">
        <v>15859</v>
      </c>
      <c r="E10589" t="str">
        <f>"3411700530977"</f>
        <v>0</v>
      </c>
      <c r="F10589" t="str">
        <f>"001870"</f>
        <v>0</v>
      </c>
      <c r="G10589" t="s">
        <v>21</v>
      </c>
    </row>
    <row r="10590" spans="1:7">
      <c r="A10590">
        <v>10589</v>
      </c>
      <c r="B10590" t="str">
        <f>"008756"</f>
        <v>0</v>
      </c>
      <c r="C10590" t="s">
        <v>352</v>
      </c>
      <c r="D10590" t="s">
        <v>15860</v>
      </c>
      <c r="E10590" t="str">
        <f>"3411400918520"</f>
        <v>0</v>
      </c>
      <c r="F10590" t="str">
        <f>"001870"</f>
        <v>0</v>
      </c>
      <c r="G10590" t="s">
        <v>21</v>
      </c>
    </row>
    <row r="10591" spans="1:7">
      <c r="A10591">
        <v>10590</v>
      </c>
      <c r="B10591" t="str">
        <f>"008757"</f>
        <v>0</v>
      </c>
      <c r="C10591" t="s">
        <v>3837</v>
      </c>
      <c r="D10591" t="s">
        <v>15861</v>
      </c>
      <c r="E10591" t="str">
        <f>"3409700126065"</f>
        <v>0</v>
      </c>
      <c r="F10591" t="str">
        <f>"001870"</f>
        <v>0</v>
      </c>
      <c r="G10591" t="s">
        <v>21</v>
      </c>
    </row>
    <row r="10592" spans="1:7">
      <c r="A10592">
        <v>10591</v>
      </c>
      <c r="B10592" t="str">
        <f>"008835"</f>
        <v>0</v>
      </c>
      <c r="C10592" t="s">
        <v>4081</v>
      </c>
      <c r="D10592" t="s">
        <v>15862</v>
      </c>
      <c r="E10592" t="str">
        <f>"3360400381437"</f>
        <v>0</v>
      </c>
      <c r="F10592" t="str">
        <f>"001870"</f>
        <v>0</v>
      </c>
      <c r="G10592" t="s">
        <v>21</v>
      </c>
    </row>
    <row r="10593" spans="1:7">
      <c r="A10593">
        <v>10592</v>
      </c>
      <c r="B10593" t="str">
        <f>"008975"</f>
        <v>0</v>
      </c>
      <c r="C10593" t="s">
        <v>1682</v>
      </c>
      <c r="D10593" t="s">
        <v>13660</v>
      </c>
      <c r="E10593" t="str">
        <f>"3411200670974"</f>
        <v>0</v>
      </c>
      <c r="F10593" t="str">
        <f>"001870"</f>
        <v>0</v>
      </c>
      <c r="G10593" t="s">
        <v>21</v>
      </c>
    </row>
    <row r="10594" spans="1:7">
      <c r="A10594">
        <v>10593</v>
      </c>
      <c r="B10594" t="str">
        <f>"008978"</f>
        <v>0</v>
      </c>
      <c r="C10594" t="s">
        <v>15863</v>
      </c>
      <c r="D10594" t="s">
        <v>15864</v>
      </c>
      <c r="E10594" t="str">
        <f>"3411200671032"</f>
        <v>0</v>
      </c>
      <c r="F10594" t="str">
        <f>"001870"</f>
        <v>0</v>
      </c>
      <c r="G10594" t="s">
        <v>21</v>
      </c>
    </row>
    <row r="10595" spans="1:7">
      <c r="A10595">
        <v>10594</v>
      </c>
      <c r="B10595" t="str">
        <f>"008986"</f>
        <v>0</v>
      </c>
      <c r="C10595" t="s">
        <v>15865</v>
      </c>
      <c r="D10595" t="s">
        <v>15866</v>
      </c>
      <c r="E10595" t="str">
        <f>"3411400561753"</f>
        <v>0</v>
      </c>
      <c r="F10595" t="str">
        <f>"001870"</f>
        <v>0</v>
      </c>
      <c r="G10595" t="s">
        <v>21</v>
      </c>
    </row>
    <row r="10596" spans="1:7">
      <c r="A10596">
        <v>10595</v>
      </c>
      <c r="B10596" t="str">
        <f>"009615"</f>
        <v>0</v>
      </c>
      <c r="C10596" t="s">
        <v>15867</v>
      </c>
      <c r="D10596" t="s">
        <v>8089</v>
      </c>
      <c r="E10596" t="str">
        <f>"3411100016512"</f>
        <v>0</v>
      </c>
      <c r="F10596" t="str">
        <f>"001870"</f>
        <v>0</v>
      </c>
      <c r="G10596" t="s">
        <v>21</v>
      </c>
    </row>
    <row r="10597" spans="1:7">
      <c r="A10597">
        <v>10596</v>
      </c>
      <c r="B10597" t="str">
        <f>"009698"</f>
        <v>0</v>
      </c>
      <c r="C10597" t="s">
        <v>15868</v>
      </c>
      <c r="D10597" t="s">
        <v>15869</v>
      </c>
      <c r="E10597" t="str">
        <f>"3430600099998"</f>
        <v>0</v>
      </c>
      <c r="F10597" t="str">
        <f>"001870"</f>
        <v>0</v>
      </c>
      <c r="G10597" t="s">
        <v>21</v>
      </c>
    </row>
    <row r="10598" spans="1:7">
      <c r="A10598">
        <v>10597</v>
      </c>
      <c r="B10598" t="str">
        <f>"010436"</f>
        <v>0</v>
      </c>
      <c r="C10598" t="s">
        <v>15870</v>
      </c>
      <c r="D10598" t="s">
        <v>15871</v>
      </c>
      <c r="E10598" t="str">
        <f>"4411700001123"</f>
        <v>0</v>
      </c>
      <c r="F10598" t="str">
        <f>"001870"</f>
        <v>0</v>
      </c>
      <c r="G10598" t="s">
        <v>21</v>
      </c>
    </row>
    <row r="10599" spans="1:7">
      <c r="A10599">
        <v>10598</v>
      </c>
      <c r="B10599" t="str">
        <f>"010890"</f>
        <v>0</v>
      </c>
      <c r="C10599" t="s">
        <v>3797</v>
      </c>
      <c r="D10599" t="s">
        <v>15872</v>
      </c>
      <c r="E10599" t="str">
        <f>"3411600120181"</f>
        <v>0</v>
      </c>
      <c r="F10599" t="str">
        <f>"001870"</f>
        <v>0</v>
      </c>
      <c r="G10599" t="s">
        <v>21</v>
      </c>
    </row>
    <row r="10600" spans="1:7">
      <c r="A10600">
        <v>10599</v>
      </c>
      <c r="B10600" t="str">
        <f>"010925"</f>
        <v>0</v>
      </c>
      <c r="C10600" t="s">
        <v>160</v>
      </c>
      <c r="D10600" t="s">
        <v>15852</v>
      </c>
      <c r="E10600" t="str">
        <f>"3460100875051"</f>
        <v>0</v>
      </c>
      <c r="F10600" t="str">
        <f>"001870"</f>
        <v>0</v>
      </c>
      <c r="G10600" t="s">
        <v>21</v>
      </c>
    </row>
    <row r="10601" spans="1:7">
      <c r="A10601">
        <v>10600</v>
      </c>
      <c r="B10601" t="str">
        <f>"011110"</f>
        <v>0</v>
      </c>
      <c r="C10601" t="s">
        <v>10139</v>
      </c>
      <c r="D10601" t="s">
        <v>15873</v>
      </c>
      <c r="E10601" t="str">
        <f>"3510600036511"</f>
        <v>0</v>
      </c>
      <c r="F10601" t="str">
        <f>"001870"</f>
        <v>0</v>
      </c>
      <c r="G10601" t="s">
        <v>21</v>
      </c>
    </row>
    <row r="10602" spans="1:7">
      <c r="A10602">
        <v>10601</v>
      </c>
      <c r="B10602" t="str">
        <f>"011672"</f>
        <v>0</v>
      </c>
      <c r="C10602" t="s">
        <v>15874</v>
      </c>
      <c r="D10602" t="s">
        <v>15875</v>
      </c>
      <c r="E10602" t="str">
        <f>"3411400286205"</f>
        <v>0</v>
      </c>
      <c r="F10602" t="str">
        <f>"001870"</f>
        <v>0</v>
      </c>
      <c r="G10602" t="s">
        <v>21</v>
      </c>
    </row>
    <row r="10603" spans="1:7">
      <c r="A10603">
        <v>10602</v>
      </c>
      <c r="B10603" t="str">
        <f>"015936"</f>
        <v>0</v>
      </c>
      <c r="C10603" t="s">
        <v>2746</v>
      </c>
      <c r="D10603" t="s">
        <v>15876</v>
      </c>
      <c r="E10603" t="str">
        <f>"3361000279741"</f>
        <v>0</v>
      </c>
      <c r="F10603" t="str">
        <f>"001870"</f>
        <v>0</v>
      </c>
      <c r="G10603" t="s">
        <v>21</v>
      </c>
    </row>
    <row r="10604" spans="1:7">
      <c r="A10604">
        <v>10603</v>
      </c>
      <c r="B10604" t="str">
        <f>"017075"</f>
        <v>0</v>
      </c>
      <c r="C10604" t="s">
        <v>15877</v>
      </c>
      <c r="D10604" t="s">
        <v>3567</v>
      </c>
      <c r="E10604" t="str">
        <f>"3659900022016"</f>
        <v>0</v>
      </c>
      <c r="F10604" t="str">
        <f>"001870"</f>
        <v>0</v>
      </c>
      <c r="G10604" t="s">
        <v>21</v>
      </c>
    </row>
    <row r="10605" spans="1:7">
      <c r="A10605">
        <v>10604</v>
      </c>
      <c r="B10605" t="str">
        <f>"019977"</f>
        <v>0</v>
      </c>
      <c r="C10605" t="s">
        <v>837</v>
      </c>
      <c r="D10605" t="s">
        <v>15878</v>
      </c>
      <c r="E10605" t="str">
        <f>"3501200869893"</f>
        <v>0</v>
      </c>
      <c r="F10605" t="str">
        <f>"001870"</f>
        <v>0</v>
      </c>
      <c r="G10605" t="s">
        <v>21</v>
      </c>
    </row>
    <row r="10606" spans="1:7">
      <c r="A10606">
        <v>10605</v>
      </c>
      <c r="B10606" t="str">
        <f>"018161"</f>
        <v>0</v>
      </c>
      <c r="C10606" t="s">
        <v>6446</v>
      </c>
      <c r="D10606" t="s">
        <v>15879</v>
      </c>
      <c r="E10606" t="str">
        <f>"3410600755976"</f>
        <v>0</v>
      </c>
      <c r="F10606" t="str">
        <f>"001870"</f>
        <v>0</v>
      </c>
      <c r="G10606" t="s">
        <v>21</v>
      </c>
    </row>
    <row r="10607" spans="1:7">
      <c r="A10607">
        <v>10606</v>
      </c>
      <c r="B10607" t="str">
        <f>"022076"</f>
        <v>0</v>
      </c>
      <c r="C10607" t="s">
        <v>15183</v>
      </c>
      <c r="D10607" t="s">
        <v>15880</v>
      </c>
      <c r="E10607" t="str">
        <f>"3411200250266"</f>
        <v>0</v>
      </c>
      <c r="F10607" t="str">
        <f>"001870"</f>
        <v>0</v>
      </c>
      <c r="G10607" t="s">
        <v>21</v>
      </c>
    </row>
    <row r="10608" spans="1:7">
      <c r="A10608">
        <v>10607</v>
      </c>
      <c r="B10608" t="str">
        <f>"027009"</f>
        <v>0</v>
      </c>
      <c r="C10608" t="s">
        <v>15183</v>
      </c>
      <c r="D10608" t="s">
        <v>15881</v>
      </c>
      <c r="E10608" t="str">
        <f>"3470101389125"</f>
        <v>0</v>
      </c>
      <c r="F10608" t="str">
        <f>"001870"</f>
        <v>0</v>
      </c>
      <c r="G10608" t="s">
        <v>21</v>
      </c>
    </row>
    <row r="10609" spans="1:7">
      <c r="A10609">
        <v>10608</v>
      </c>
      <c r="B10609" t="str">
        <f>"026933"</f>
        <v>0</v>
      </c>
      <c r="C10609" t="s">
        <v>15882</v>
      </c>
      <c r="D10609" t="s">
        <v>15883</v>
      </c>
      <c r="E10609" t="str">
        <f>"1809900193530"</f>
        <v>0</v>
      </c>
      <c r="F10609" t="str">
        <f>"001870"</f>
        <v>0</v>
      </c>
      <c r="G10609" t="s">
        <v>21</v>
      </c>
    </row>
    <row r="10610" spans="1:7">
      <c r="A10610">
        <v>10609</v>
      </c>
      <c r="B10610" t="str">
        <f>"027246"</f>
        <v>0</v>
      </c>
      <c r="C10610" t="s">
        <v>15884</v>
      </c>
      <c r="D10610" t="s">
        <v>9357</v>
      </c>
      <c r="E10610" t="str">
        <f>"1311000239271"</f>
        <v>0</v>
      </c>
      <c r="F10610" t="str">
        <f>"001870"</f>
        <v>0</v>
      </c>
      <c r="G10610" t="s">
        <v>21</v>
      </c>
    </row>
    <row r="10611" spans="1:7">
      <c r="A10611">
        <v>10610</v>
      </c>
      <c r="B10611" t="str">
        <f>"016843"</f>
        <v>0</v>
      </c>
      <c r="C10611" t="s">
        <v>144</v>
      </c>
      <c r="D10611" t="s">
        <v>15885</v>
      </c>
      <c r="E10611" t="str">
        <f>"3340100231987"</f>
        <v>0</v>
      </c>
      <c r="F10611" t="str">
        <f>"001870"</f>
        <v>0</v>
      </c>
      <c r="G10611" t="s">
        <v>21</v>
      </c>
    </row>
    <row r="10612" spans="1:7">
      <c r="A10612">
        <v>10611</v>
      </c>
      <c r="B10612" t="str">
        <f>"027248"</f>
        <v>0</v>
      </c>
      <c r="C10612" t="s">
        <v>2478</v>
      </c>
      <c r="D10612" t="s">
        <v>15886</v>
      </c>
      <c r="E10612" t="str">
        <f>"1361000107782"</f>
        <v>0</v>
      </c>
      <c r="F10612" t="str">
        <f>"001870"</f>
        <v>0</v>
      </c>
      <c r="G10612" t="s">
        <v>21</v>
      </c>
    </row>
    <row r="10613" spans="1:7">
      <c r="A10613">
        <v>10612</v>
      </c>
      <c r="B10613" t="str">
        <f>"007834"</f>
        <v>0</v>
      </c>
      <c r="C10613" t="s">
        <v>15887</v>
      </c>
      <c r="D10613" t="s">
        <v>15888</v>
      </c>
      <c r="E10613" t="str">
        <f>"3400500640077"</f>
        <v>0</v>
      </c>
      <c r="F10613" t="str">
        <f>"001870"</f>
        <v>0</v>
      </c>
      <c r="G10613" t="s">
        <v>21</v>
      </c>
    </row>
    <row r="10614" spans="1:7">
      <c r="A10614">
        <v>10613</v>
      </c>
      <c r="B10614" t="str">
        <f>"011790"</f>
        <v>0</v>
      </c>
      <c r="C10614" t="s">
        <v>1021</v>
      </c>
      <c r="D10614" t="s">
        <v>15889</v>
      </c>
      <c r="E10614" t="str">
        <f>"3451000210520"</f>
        <v>0</v>
      </c>
      <c r="F10614" t="str">
        <f>"001870"</f>
        <v>0</v>
      </c>
      <c r="G10614" t="s">
        <v>21</v>
      </c>
    </row>
    <row r="10615" spans="1:7">
      <c r="A10615">
        <v>10614</v>
      </c>
      <c r="B10615" t="str">
        <f>"013234"</f>
        <v>0</v>
      </c>
      <c r="C10615" t="s">
        <v>9550</v>
      </c>
      <c r="D10615" t="s">
        <v>15890</v>
      </c>
      <c r="E10615" t="str">
        <f>"3540100249493"</f>
        <v>0</v>
      </c>
      <c r="F10615" t="str">
        <f>"001870"</f>
        <v>0</v>
      </c>
      <c r="G10615" t="s">
        <v>21</v>
      </c>
    </row>
    <row r="10616" spans="1:7">
      <c r="A10616">
        <v>10615</v>
      </c>
      <c r="B10616" t="str">
        <f>"016545"</f>
        <v>0</v>
      </c>
      <c r="C10616" t="s">
        <v>1938</v>
      </c>
      <c r="D10616" t="s">
        <v>15891</v>
      </c>
      <c r="E10616" t="str">
        <f>"3409900680431"</f>
        <v>0</v>
      </c>
      <c r="F10616" t="str">
        <f>"001870"</f>
        <v>0</v>
      </c>
      <c r="G10616" t="s">
        <v>21</v>
      </c>
    </row>
    <row r="10617" spans="1:7">
      <c r="A10617">
        <v>10616</v>
      </c>
      <c r="B10617" t="str">
        <f>"018379"</f>
        <v>0</v>
      </c>
      <c r="C10617" t="s">
        <v>15892</v>
      </c>
      <c r="D10617" t="s">
        <v>15893</v>
      </c>
      <c r="E10617" t="str">
        <f>"3460101103426"</f>
        <v>0</v>
      </c>
      <c r="F10617" t="str">
        <f>"001870"</f>
        <v>0</v>
      </c>
      <c r="G10617" t="s">
        <v>21</v>
      </c>
    </row>
    <row r="10618" spans="1:7">
      <c r="A10618">
        <v>10617</v>
      </c>
      <c r="B10618" t="str">
        <f>"018449"</f>
        <v>0</v>
      </c>
      <c r="C10618" t="s">
        <v>2758</v>
      </c>
      <c r="D10618" t="s">
        <v>15894</v>
      </c>
      <c r="E10618" t="str">
        <f>"5411200081169"</f>
        <v>0</v>
      </c>
      <c r="F10618" t="str">
        <f>"001870"</f>
        <v>0</v>
      </c>
      <c r="G10618" t="s">
        <v>21</v>
      </c>
    </row>
    <row r="10619" spans="1:7">
      <c r="A10619">
        <v>10618</v>
      </c>
      <c r="B10619" t="str">
        <f>"021075"</f>
        <v>0</v>
      </c>
      <c r="C10619" t="s">
        <v>15895</v>
      </c>
      <c r="D10619" t="s">
        <v>15896</v>
      </c>
      <c r="E10619" t="str">
        <f>"3411600566988"</f>
        <v>0</v>
      </c>
      <c r="F10619" t="str">
        <f>"001870"</f>
        <v>0</v>
      </c>
      <c r="G10619" t="s">
        <v>21</v>
      </c>
    </row>
    <row r="10620" spans="1:7">
      <c r="A10620">
        <v>10619</v>
      </c>
      <c r="B10620" t="str">
        <f>"021673"</f>
        <v>0</v>
      </c>
      <c r="C10620" t="s">
        <v>15897</v>
      </c>
      <c r="D10620" t="s">
        <v>15898</v>
      </c>
      <c r="E10620" t="str">
        <f>"5411300012045"</f>
        <v>0</v>
      </c>
      <c r="F10620" t="str">
        <f>"001870"</f>
        <v>0</v>
      </c>
      <c r="G10620" t="s">
        <v>21</v>
      </c>
    </row>
    <row r="10621" spans="1:7">
      <c r="A10621">
        <v>10620</v>
      </c>
      <c r="B10621" t="str">
        <f>"022211"</f>
        <v>0</v>
      </c>
      <c r="C10621" t="s">
        <v>15899</v>
      </c>
      <c r="D10621" t="s">
        <v>15900</v>
      </c>
      <c r="E10621" t="str">
        <f>"3400500651061"</f>
        <v>0</v>
      </c>
      <c r="F10621" t="str">
        <f>"001870"</f>
        <v>0</v>
      </c>
      <c r="G10621" t="s">
        <v>21</v>
      </c>
    </row>
    <row r="10622" spans="1:7">
      <c r="A10622">
        <v>10621</v>
      </c>
      <c r="B10622" t="str">
        <f>"022933"</f>
        <v>0</v>
      </c>
      <c r="C10622" t="s">
        <v>15901</v>
      </c>
      <c r="D10622" t="s">
        <v>15902</v>
      </c>
      <c r="E10622" t="str">
        <f>"3411400627622"</f>
        <v>0</v>
      </c>
      <c r="F10622" t="str">
        <f>"001870"</f>
        <v>0</v>
      </c>
      <c r="G10622" t="s">
        <v>21</v>
      </c>
    </row>
    <row r="10623" spans="1:7">
      <c r="A10623">
        <v>10622</v>
      </c>
      <c r="B10623" t="str">
        <f>"023091"</f>
        <v>0</v>
      </c>
      <c r="C10623" t="s">
        <v>11938</v>
      </c>
      <c r="D10623" t="s">
        <v>15903</v>
      </c>
      <c r="E10623" t="str">
        <f>"3411100023608"</f>
        <v>0</v>
      </c>
      <c r="F10623" t="str">
        <f>"001870"</f>
        <v>0</v>
      </c>
      <c r="G10623" t="s">
        <v>21</v>
      </c>
    </row>
    <row r="10624" spans="1:7">
      <c r="A10624">
        <v>10623</v>
      </c>
      <c r="B10624" t="str">
        <f>"023159"</f>
        <v>0</v>
      </c>
      <c r="C10624" t="s">
        <v>15904</v>
      </c>
      <c r="D10624" t="s">
        <v>15905</v>
      </c>
      <c r="E10624" t="str">
        <f>"3411200258780"</f>
        <v>0</v>
      </c>
      <c r="F10624" t="str">
        <f>"001870"</f>
        <v>0</v>
      </c>
      <c r="G10624" t="s">
        <v>21</v>
      </c>
    </row>
    <row r="10625" spans="1:7">
      <c r="A10625">
        <v>10624</v>
      </c>
      <c r="B10625" t="str">
        <f>"023172"</f>
        <v>0</v>
      </c>
      <c r="C10625" t="s">
        <v>15906</v>
      </c>
      <c r="D10625" t="s">
        <v>15907</v>
      </c>
      <c r="E10625" t="str">
        <f>"2411200019043"</f>
        <v>0</v>
      </c>
      <c r="F10625" t="str">
        <f>"001870"</f>
        <v>0</v>
      </c>
      <c r="G10625" t="s">
        <v>21</v>
      </c>
    </row>
    <row r="10626" spans="1:7">
      <c r="A10626">
        <v>10625</v>
      </c>
      <c r="B10626" t="str">
        <f>"023224"</f>
        <v>0</v>
      </c>
      <c r="C10626" t="s">
        <v>13845</v>
      </c>
      <c r="D10626" t="s">
        <v>15908</v>
      </c>
      <c r="E10626" t="str">
        <f>"3860300119388"</f>
        <v>0</v>
      </c>
      <c r="F10626" t="str">
        <f>"001870"</f>
        <v>0</v>
      </c>
      <c r="G10626" t="s">
        <v>21</v>
      </c>
    </row>
    <row r="10627" spans="1:7">
      <c r="A10627">
        <v>10626</v>
      </c>
      <c r="B10627" t="str">
        <f>"023888"</f>
        <v>0</v>
      </c>
      <c r="C10627" t="s">
        <v>15909</v>
      </c>
      <c r="D10627" t="s">
        <v>15910</v>
      </c>
      <c r="E10627" t="str">
        <f>"1411400095641"</f>
        <v>0</v>
      </c>
      <c r="F10627" t="str">
        <f>"001870"</f>
        <v>0</v>
      </c>
      <c r="G10627" t="s">
        <v>21</v>
      </c>
    </row>
    <row r="10628" spans="1:7">
      <c r="A10628">
        <v>10627</v>
      </c>
      <c r="B10628" t="str">
        <f>"024288"</f>
        <v>0</v>
      </c>
      <c r="C10628" t="s">
        <v>15911</v>
      </c>
      <c r="D10628" t="s">
        <v>15912</v>
      </c>
      <c r="E10628" t="str">
        <f>"1411400105514"</f>
        <v>0</v>
      </c>
      <c r="F10628" t="str">
        <f>"001870"</f>
        <v>0</v>
      </c>
      <c r="G10628" t="s">
        <v>21</v>
      </c>
    </row>
    <row r="10629" spans="1:7">
      <c r="A10629">
        <v>10628</v>
      </c>
      <c r="B10629" t="str">
        <f>"024422"</f>
        <v>0</v>
      </c>
      <c r="C10629" t="s">
        <v>15913</v>
      </c>
      <c r="D10629" t="s">
        <v>15914</v>
      </c>
      <c r="E10629" t="str">
        <f>"1411300087816"</f>
        <v>0</v>
      </c>
      <c r="F10629" t="str">
        <f>"001870"</f>
        <v>0</v>
      </c>
      <c r="G10629" t="s">
        <v>21</v>
      </c>
    </row>
    <row r="10630" spans="1:7">
      <c r="A10630">
        <v>10629</v>
      </c>
      <c r="B10630" t="str">
        <f>"025008"</f>
        <v>0</v>
      </c>
      <c r="C10630" t="s">
        <v>15915</v>
      </c>
      <c r="D10630" t="s">
        <v>15916</v>
      </c>
      <c r="E10630" t="str">
        <f>"5411200019269"</f>
        <v>0</v>
      </c>
      <c r="F10630" t="str">
        <f>"001870"</f>
        <v>0</v>
      </c>
      <c r="G10630" t="s">
        <v>21</v>
      </c>
    </row>
    <row r="10631" spans="1:7">
      <c r="A10631">
        <v>10630</v>
      </c>
      <c r="B10631" t="str">
        <f>"025349"</f>
        <v>0</v>
      </c>
      <c r="C10631" t="s">
        <v>15917</v>
      </c>
      <c r="D10631" t="s">
        <v>15918</v>
      </c>
      <c r="E10631" t="str">
        <f>"1340400001425"</f>
        <v>0</v>
      </c>
      <c r="F10631" t="str">
        <f>"001870"</f>
        <v>0</v>
      </c>
      <c r="G10631" t="s">
        <v>21</v>
      </c>
    </row>
    <row r="10632" spans="1:7">
      <c r="A10632">
        <v>10631</v>
      </c>
      <c r="B10632" t="str">
        <f>"025887"</f>
        <v>0</v>
      </c>
      <c r="C10632" t="s">
        <v>15919</v>
      </c>
      <c r="D10632" t="s">
        <v>15920</v>
      </c>
      <c r="E10632" t="str">
        <f>"1411400081887"</f>
        <v>0</v>
      </c>
      <c r="F10632" t="str">
        <f>"001870"</f>
        <v>0</v>
      </c>
      <c r="G10632" t="s">
        <v>21</v>
      </c>
    </row>
    <row r="10633" spans="1:7">
      <c r="A10633">
        <v>10632</v>
      </c>
      <c r="B10633" t="str">
        <f>"026828"</f>
        <v>0</v>
      </c>
      <c r="C10633" t="s">
        <v>15518</v>
      </c>
      <c r="D10633" t="s">
        <v>4780</v>
      </c>
      <c r="E10633" t="str">
        <f>"3411600399585"</f>
        <v>0</v>
      </c>
      <c r="F10633" t="str">
        <f>"001870"</f>
        <v>0</v>
      </c>
      <c r="G10633" t="s">
        <v>21</v>
      </c>
    </row>
    <row r="10634" spans="1:7">
      <c r="A10634">
        <v>10633</v>
      </c>
      <c r="B10634" t="str">
        <f>"027251"</f>
        <v>0</v>
      </c>
      <c r="C10634" t="s">
        <v>307</v>
      </c>
      <c r="D10634" t="s">
        <v>15921</v>
      </c>
      <c r="E10634" t="str">
        <f>"3410900057999"</f>
        <v>0</v>
      </c>
      <c r="F10634" t="str">
        <f>"001870"</f>
        <v>0</v>
      </c>
      <c r="G10634" t="s">
        <v>21</v>
      </c>
    </row>
    <row r="10635" spans="1:7">
      <c r="A10635">
        <v>10634</v>
      </c>
      <c r="B10635" t="str">
        <f>"014809"</f>
        <v>0</v>
      </c>
      <c r="C10635" t="s">
        <v>15922</v>
      </c>
      <c r="D10635" t="s">
        <v>3408</v>
      </c>
      <c r="E10635" t="str">
        <f>"3401600608621"</f>
        <v>0</v>
      </c>
      <c r="F10635" t="str">
        <f>"001870"</f>
        <v>0</v>
      </c>
      <c r="G10635" t="s">
        <v>21</v>
      </c>
    </row>
    <row r="10636" spans="1:7">
      <c r="A10636">
        <v>10635</v>
      </c>
      <c r="B10636" t="str">
        <f>"016399"</f>
        <v>0</v>
      </c>
      <c r="C10636" t="s">
        <v>15923</v>
      </c>
      <c r="D10636" t="s">
        <v>15924</v>
      </c>
      <c r="E10636" t="str">
        <f>"3361000659404"</f>
        <v>0</v>
      </c>
      <c r="F10636" t="str">
        <f>"001870"</f>
        <v>0</v>
      </c>
      <c r="G10636" t="s">
        <v>21</v>
      </c>
    </row>
    <row r="10637" spans="1:7">
      <c r="A10637">
        <v>10636</v>
      </c>
      <c r="B10637" t="str">
        <f>"021263"</f>
        <v>0</v>
      </c>
      <c r="C10637" t="s">
        <v>15925</v>
      </c>
      <c r="D10637" t="s">
        <v>15926</v>
      </c>
      <c r="E10637" t="str">
        <f>"3400100542647"</f>
        <v>0</v>
      </c>
      <c r="F10637" t="str">
        <f>"001870"</f>
        <v>0</v>
      </c>
      <c r="G10637" t="s">
        <v>21</v>
      </c>
    </row>
    <row r="10638" spans="1:7">
      <c r="A10638">
        <v>10637</v>
      </c>
      <c r="B10638" t="str">
        <f>"021958"</f>
        <v>0</v>
      </c>
      <c r="C10638" t="s">
        <v>15927</v>
      </c>
      <c r="D10638" t="s">
        <v>15928</v>
      </c>
      <c r="E10638" t="str">
        <f>"3400101332999"</f>
        <v>0</v>
      </c>
      <c r="F10638" t="str">
        <f>"001870"</f>
        <v>0</v>
      </c>
      <c r="G10638" t="s">
        <v>21</v>
      </c>
    </row>
    <row r="10639" spans="1:7">
      <c r="A10639">
        <v>10638</v>
      </c>
      <c r="B10639" t="str">
        <f>"026565"</f>
        <v>0</v>
      </c>
      <c r="C10639" t="s">
        <v>15929</v>
      </c>
      <c r="D10639" t="s">
        <v>15930</v>
      </c>
      <c r="E10639" t="str">
        <f>"1401600028696"</f>
        <v>0</v>
      </c>
      <c r="F10639" t="str">
        <f>"001870"</f>
        <v>0</v>
      </c>
      <c r="G10639" t="s">
        <v>21</v>
      </c>
    </row>
    <row r="10640" spans="1:7">
      <c r="A10640">
        <v>10639</v>
      </c>
      <c r="B10640" t="str">
        <f>"021073"</f>
        <v>0</v>
      </c>
      <c r="C10640" t="s">
        <v>15931</v>
      </c>
      <c r="D10640" t="s">
        <v>15932</v>
      </c>
      <c r="E10640" t="str">
        <f>"3410102339776"</f>
        <v>0</v>
      </c>
      <c r="F10640" t="str">
        <f>"001870"</f>
        <v>0</v>
      </c>
      <c r="G10640" t="s">
        <v>21</v>
      </c>
    </row>
    <row r="10641" spans="1:7">
      <c r="A10641">
        <v>10640</v>
      </c>
      <c r="B10641" t="str">
        <f>"021959"</f>
        <v>0</v>
      </c>
      <c r="C10641" t="s">
        <v>15933</v>
      </c>
      <c r="D10641" t="s">
        <v>15934</v>
      </c>
      <c r="E10641" t="str">
        <f>"1419900042012"</f>
        <v>0</v>
      </c>
      <c r="F10641" t="str">
        <f>"001870"</f>
        <v>0</v>
      </c>
      <c r="G10641" t="s">
        <v>21</v>
      </c>
    </row>
    <row r="10642" spans="1:7">
      <c r="A10642">
        <v>10641</v>
      </c>
      <c r="B10642" t="str">
        <f>"022721"</f>
        <v>0</v>
      </c>
      <c r="C10642" t="s">
        <v>1792</v>
      </c>
      <c r="D10642" t="s">
        <v>15935</v>
      </c>
      <c r="E10642" t="str">
        <f>"5410100081891"</f>
        <v>0</v>
      </c>
      <c r="F10642" t="str">
        <f>"001870"</f>
        <v>0</v>
      </c>
      <c r="G10642" t="s">
        <v>21</v>
      </c>
    </row>
    <row r="10643" spans="1:7">
      <c r="A10643">
        <v>10642</v>
      </c>
      <c r="B10643" t="str">
        <f>"025678"</f>
        <v>0</v>
      </c>
      <c r="C10643" t="s">
        <v>15936</v>
      </c>
      <c r="D10643" t="s">
        <v>15937</v>
      </c>
      <c r="E10643" t="str">
        <f>"1419900121125"</f>
        <v>0</v>
      </c>
      <c r="F10643" t="str">
        <f>"001870"</f>
        <v>0</v>
      </c>
      <c r="G10643" t="s">
        <v>21</v>
      </c>
    </row>
    <row r="10644" spans="1:7">
      <c r="A10644">
        <v>10643</v>
      </c>
      <c r="B10644" t="str">
        <f>"026436"</f>
        <v>0</v>
      </c>
      <c r="C10644" t="s">
        <v>701</v>
      </c>
      <c r="D10644" t="s">
        <v>15938</v>
      </c>
      <c r="E10644" t="str">
        <f>"5410300027289"</f>
        <v>0</v>
      </c>
      <c r="F10644" t="str">
        <f>"001870"</f>
        <v>0</v>
      </c>
      <c r="G10644" t="s">
        <v>21</v>
      </c>
    </row>
    <row r="10645" spans="1:7">
      <c r="A10645">
        <v>10644</v>
      </c>
      <c r="B10645" t="str">
        <f>"026543"</f>
        <v>0</v>
      </c>
      <c r="C10645" t="s">
        <v>4943</v>
      </c>
      <c r="D10645" t="s">
        <v>15939</v>
      </c>
      <c r="E10645" t="str">
        <f>"1419900127808"</f>
        <v>0</v>
      </c>
      <c r="F10645" t="str">
        <f>"001870"</f>
        <v>0</v>
      </c>
      <c r="G10645" t="s">
        <v>21</v>
      </c>
    </row>
    <row r="10646" spans="1:7">
      <c r="A10646">
        <v>10645</v>
      </c>
      <c r="B10646" t="str">
        <f>"022489"</f>
        <v>0</v>
      </c>
      <c r="C10646" t="s">
        <v>15558</v>
      </c>
      <c r="D10646" t="s">
        <v>13566</v>
      </c>
      <c r="E10646" t="str">
        <f>"3409900566727"</f>
        <v>0</v>
      </c>
      <c r="F10646" t="str">
        <f>"001870"</f>
        <v>0</v>
      </c>
      <c r="G10646" t="s">
        <v>21</v>
      </c>
    </row>
    <row r="10647" spans="1:7">
      <c r="A10647">
        <v>10646</v>
      </c>
      <c r="B10647" t="str">
        <f>"024859"</f>
        <v>0</v>
      </c>
      <c r="C10647" t="s">
        <v>1392</v>
      </c>
      <c r="D10647" t="s">
        <v>15940</v>
      </c>
      <c r="E10647" t="str">
        <f>"1411400022244"</f>
        <v>0</v>
      </c>
      <c r="F10647" t="str">
        <f>"001870"</f>
        <v>0</v>
      </c>
      <c r="G10647" t="s">
        <v>21</v>
      </c>
    </row>
    <row r="10648" spans="1:7">
      <c r="A10648">
        <v>10647</v>
      </c>
      <c r="B10648" t="str">
        <f>"026251"</f>
        <v>0</v>
      </c>
      <c r="C10648" t="s">
        <v>15884</v>
      </c>
      <c r="D10648" t="s">
        <v>15941</v>
      </c>
      <c r="E10648" t="str">
        <f>"1421200029156"</f>
        <v>0</v>
      </c>
      <c r="F10648" t="str">
        <f>"001870"</f>
        <v>0</v>
      </c>
      <c r="G10648" t="s">
        <v>21</v>
      </c>
    </row>
    <row r="10649" spans="1:7">
      <c r="A10649">
        <v>10648</v>
      </c>
      <c r="B10649" t="str">
        <f>"026252"</f>
        <v>0</v>
      </c>
      <c r="C10649" t="s">
        <v>11280</v>
      </c>
      <c r="D10649" t="s">
        <v>15942</v>
      </c>
      <c r="E10649" t="str">
        <f>"1420900160611"</f>
        <v>0</v>
      </c>
      <c r="F10649" t="str">
        <f>"001870"</f>
        <v>0</v>
      </c>
      <c r="G10649" t="s">
        <v>21</v>
      </c>
    </row>
    <row r="10650" spans="1:7">
      <c r="A10650">
        <v>10649</v>
      </c>
      <c r="B10650" t="str">
        <f>"027250"</f>
        <v>0</v>
      </c>
      <c r="C10650" t="s">
        <v>15943</v>
      </c>
      <c r="D10650" t="s">
        <v>15944</v>
      </c>
      <c r="E10650" t="str">
        <f>"1429900081611"</f>
        <v>0</v>
      </c>
      <c r="F10650" t="str">
        <f>"001870"</f>
        <v>0</v>
      </c>
      <c r="G10650" t="s">
        <v>21</v>
      </c>
    </row>
    <row r="10651" spans="1:7">
      <c r="A10651">
        <v>10650</v>
      </c>
      <c r="B10651" t="str">
        <f>"027480"</f>
        <v>0</v>
      </c>
      <c r="C10651" t="s">
        <v>10232</v>
      </c>
      <c r="D10651" t="s">
        <v>15945</v>
      </c>
      <c r="E10651" t="str">
        <f>"3411400475849"</f>
        <v>0</v>
      </c>
      <c r="F10651" t="str">
        <f>"001870"</f>
        <v>0</v>
      </c>
      <c r="G10651" t="s">
        <v>21</v>
      </c>
    </row>
    <row r="10652" spans="1:7">
      <c r="A10652">
        <v>10651</v>
      </c>
      <c r="B10652" t="str">
        <f>"019514"</f>
        <v>0</v>
      </c>
      <c r="C10652" t="s">
        <v>15946</v>
      </c>
      <c r="D10652" t="s">
        <v>13595</v>
      </c>
      <c r="E10652" t="str">
        <f>"3439900048416"</f>
        <v>0</v>
      </c>
      <c r="F10652" t="str">
        <f>"001870"</f>
        <v>0</v>
      </c>
      <c r="G10652" t="s">
        <v>21</v>
      </c>
    </row>
    <row r="10653" spans="1:7">
      <c r="A10653">
        <v>10652</v>
      </c>
      <c r="B10653" t="str">
        <f>"024558"</f>
        <v>0</v>
      </c>
      <c r="C10653" t="s">
        <v>15947</v>
      </c>
      <c r="D10653" t="s">
        <v>14945</v>
      </c>
      <c r="E10653" t="str">
        <f>"3501600020909"</f>
        <v>0</v>
      </c>
      <c r="F10653" t="str">
        <f>"001870"</f>
        <v>0</v>
      </c>
      <c r="G10653" t="s">
        <v>21</v>
      </c>
    </row>
    <row r="10654" spans="1:7">
      <c r="A10654">
        <v>10653</v>
      </c>
      <c r="B10654" t="str">
        <f>"026932"</f>
        <v>0</v>
      </c>
      <c r="C10654" t="s">
        <v>1200</v>
      </c>
      <c r="D10654" t="s">
        <v>15948</v>
      </c>
      <c r="E10654" t="str">
        <f>"1549900294819"</f>
        <v>0</v>
      </c>
      <c r="F10654" t="str">
        <f>"001870"</f>
        <v>0</v>
      </c>
      <c r="G10654" t="s">
        <v>21</v>
      </c>
    </row>
    <row r="10655" spans="1:7">
      <c r="A10655">
        <v>10654</v>
      </c>
      <c r="B10655" t="str">
        <f>"026931"</f>
        <v>0</v>
      </c>
      <c r="C10655" t="s">
        <v>3005</v>
      </c>
      <c r="D10655" t="s">
        <v>15949</v>
      </c>
      <c r="E10655" t="str">
        <f>"8630784001138"</f>
        <v>0</v>
      </c>
      <c r="F10655" t="str">
        <f>"001870"</f>
        <v>0</v>
      </c>
      <c r="G10655" t="s">
        <v>21</v>
      </c>
    </row>
    <row r="10656" spans="1:7">
      <c r="A10656">
        <v>10655</v>
      </c>
      <c r="B10656" t="str">
        <f>"027249"</f>
        <v>0</v>
      </c>
      <c r="C10656" t="s">
        <v>15950</v>
      </c>
      <c r="D10656" t="s">
        <v>15951</v>
      </c>
      <c r="E10656" t="str">
        <f>"1650400095095"</f>
        <v>0</v>
      </c>
      <c r="F10656" t="str">
        <f>"001870"</f>
        <v>0</v>
      </c>
      <c r="G10656" t="s">
        <v>21</v>
      </c>
    </row>
    <row r="10657" spans="1:7">
      <c r="A10657">
        <v>10656</v>
      </c>
      <c r="B10657" t="str">
        <f>"000637"</f>
        <v>0</v>
      </c>
      <c r="C10657" t="s">
        <v>953</v>
      </c>
      <c r="D10657" t="s">
        <v>15952</v>
      </c>
      <c r="E10657" t="str">
        <f>"3410800044682"</f>
        <v>0</v>
      </c>
      <c r="F10657" t="str">
        <f>"001880"</f>
        <v>0</v>
      </c>
      <c r="G10657" t="s">
        <v>21</v>
      </c>
    </row>
    <row r="10658" spans="1:7">
      <c r="A10658">
        <v>10657</v>
      </c>
      <c r="B10658" t="str">
        <f>"000829"</f>
        <v>0</v>
      </c>
      <c r="C10658" t="s">
        <v>15953</v>
      </c>
      <c r="D10658" t="s">
        <v>15954</v>
      </c>
      <c r="E10658" t="str">
        <f>"3430301084107"</f>
        <v>0</v>
      </c>
      <c r="F10658" t="str">
        <f>"001880"</f>
        <v>0</v>
      </c>
      <c r="G10658" t="s">
        <v>21</v>
      </c>
    </row>
    <row r="10659" spans="1:7">
      <c r="A10659">
        <v>10658</v>
      </c>
      <c r="B10659" t="str">
        <f>"002576"</f>
        <v>0</v>
      </c>
      <c r="C10659" t="s">
        <v>15955</v>
      </c>
      <c r="D10659" t="s">
        <v>15956</v>
      </c>
      <c r="E10659" t="str">
        <f>"3439900022514"</f>
        <v>0</v>
      </c>
      <c r="F10659" t="str">
        <f>"001880"</f>
        <v>0</v>
      </c>
      <c r="G10659" t="s">
        <v>21</v>
      </c>
    </row>
    <row r="10660" spans="1:7">
      <c r="A10660">
        <v>10659</v>
      </c>
      <c r="B10660" t="str">
        <f>"004015"</f>
        <v>0</v>
      </c>
      <c r="C10660" t="s">
        <v>576</v>
      </c>
      <c r="D10660" t="s">
        <v>15957</v>
      </c>
      <c r="E10660" t="str">
        <f>"3439900145705"</f>
        <v>0</v>
      </c>
      <c r="F10660" t="str">
        <f>"001880"</f>
        <v>0</v>
      </c>
      <c r="G10660" t="s">
        <v>21</v>
      </c>
    </row>
    <row r="10661" spans="1:7">
      <c r="A10661">
        <v>10660</v>
      </c>
      <c r="B10661" t="str">
        <f>"004149"</f>
        <v>0</v>
      </c>
      <c r="C10661" t="s">
        <v>13401</v>
      </c>
      <c r="D10661" t="s">
        <v>11993</v>
      </c>
      <c r="E10661" t="str">
        <f>"5431090008471"</f>
        <v>0</v>
      </c>
      <c r="F10661" t="str">
        <f>"001880"</f>
        <v>0</v>
      </c>
      <c r="G10661" t="s">
        <v>21</v>
      </c>
    </row>
    <row r="10662" spans="1:7">
      <c r="A10662">
        <v>10661</v>
      </c>
      <c r="B10662" t="str">
        <f>"006018"</f>
        <v>0</v>
      </c>
      <c r="C10662" t="s">
        <v>15958</v>
      </c>
      <c r="D10662" t="s">
        <v>15959</v>
      </c>
      <c r="E10662" t="str">
        <f>"5401700018059"</f>
        <v>0</v>
      </c>
      <c r="F10662" t="str">
        <f>"001880"</f>
        <v>0</v>
      </c>
      <c r="G10662" t="s">
        <v>21</v>
      </c>
    </row>
    <row r="10663" spans="1:7">
      <c r="A10663">
        <v>10662</v>
      </c>
      <c r="B10663" t="str">
        <f>"006677"</f>
        <v>0</v>
      </c>
      <c r="C10663" t="s">
        <v>15960</v>
      </c>
      <c r="D10663" t="s">
        <v>15961</v>
      </c>
      <c r="E10663" t="str">
        <f>"3439900211643"</f>
        <v>0</v>
      </c>
      <c r="F10663" t="str">
        <f>"001880"</f>
        <v>0</v>
      </c>
      <c r="G10663" t="s">
        <v>21</v>
      </c>
    </row>
    <row r="10664" spans="1:7">
      <c r="A10664">
        <v>10663</v>
      </c>
      <c r="B10664" t="str">
        <f>"006764"</f>
        <v>0</v>
      </c>
      <c r="C10664" t="s">
        <v>5737</v>
      </c>
      <c r="D10664" t="s">
        <v>15962</v>
      </c>
      <c r="E10664" t="str">
        <f>"3400600319513"</f>
        <v>0</v>
      </c>
      <c r="F10664" t="str">
        <f>"001880"</f>
        <v>0</v>
      </c>
      <c r="G10664" t="s">
        <v>21</v>
      </c>
    </row>
    <row r="10665" spans="1:7">
      <c r="A10665">
        <v>10664</v>
      </c>
      <c r="B10665" t="str">
        <f>"007241"</f>
        <v>0</v>
      </c>
      <c r="C10665" t="s">
        <v>878</v>
      </c>
      <c r="D10665" t="s">
        <v>15963</v>
      </c>
      <c r="E10665" t="str">
        <f>"3430800110642"</f>
        <v>0</v>
      </c>
      <c r="F10665" t="str">
        <f>"001880"</f>
        <v>0</v>
      </c>
      <c r="G10665" t="s">
        <v>21</v>
      </c>
    </row>
    <row r="10666" spans="1:7">
      <c r="A10666">
        <v>10665</v>
      </c>
      <c r="B10666" t="str">
        <f>"007242"</f>
        <v>0</v>
      </c>
      <c r="C10666" t="s">
        <v>56</v>
      </c>
      <c r="D10666" t="s">
        <v>2926</v>
      </c>
      <c r="E10666" t="str">
        <f>"3439900139004"</f>
        <v>0</v>
      </c>
      <c r="F10666" t="str">
        <f>"001880"</f>
        <v>0</v>
      </c>
      <c r="G10666" t="s">
        <v>21</v>
      </c>
    </row>
    <row r="10667" spans="1:7">
      <c r="A10667">
        <v>10666</v>
      </c>
      <c r="B10667" t="str">
        <f>"007359"</f>
        <v>0</v>
      </c>
      <c r="C10667" t="s">
        <v>3354</v>
      </c>
      <c r="D10667" t="s">
        <v>15964</v>
      </c>
      <c r="E10667" t="str">
        <f>"3411700222806"</f>
        <v>0</v>
      </c>
      <c r="F10667" t="str">
        <f>"001880"</f>
        <v>0</v>
      </c>
      <c r="G10667" t="s">
        <v>21</v>
      </c>
    </row>
    <row r="10668" spans="1:7">
      <c r="A10668">
        <v>10667</v>
      </c>
      <c r="B10668" t="str">
        <f>"007670"</f>
        <v>0</v>
      </c>
      <c r="C10668" t="s">
        <v>15965</v>
      </c>
      <c r="D10668" t="s">
        <v>7130</v>
      </c>
      <c r="E10668" t="str">
        <f>"3430400092094"</f>
        <v>0</v>
      </c>
      <c r="F10668" t="str">
        <f>"001880"</f>
        <v>0</v>
      </c>
      <c r="G10668" t="s">
        <v>21</v>
      </c>
    </row>
    <row r="10669" spans="1:7">
      <c r="A10669">
        <v>10668</v>
      </c>
      <c r="B10669" t="str">
        <f>"007671"</f>
        <v>0</v>
      </c>
      <c r="C10669" t="s">
        <v>15966</v>
      </c>
      <c r="D10669" t="s">
        <v>7130</v>
      </c>
      <c r="E10669" t="str">
        <f>"3430400092108"</f>
        <v>0</v>
      </c>
      <c r="F10669" t="str">
        <f>"001880"</f>
        <v>0</v>
      </c>
      <c r="G10669" t="s">
        <v>21</v>
      </c>
    </row>
    <row r="10670" spans="1:7">
      <c r="A10670">
        <v>10669</v>
      </c>
      <c r="B10670" t="str">
        <f>"007963"</f>
        <v>0</v>
      </c>
      <c r="C10670" t="s">
        <v>217</v>
      </c>
      <c r="D10670" t="s">
        <v>15967</v>
      </c>
      <c r="E10670" t="str">
        <f>"3430700014960"</f>
        <v>0</v>
      </c>
      <c r="F10670" t="str">
        <f>"001880"</f>
        <v>0</v>
      </c>
      <c r="G10670" t="s">
        <v>21</v>
      </c>
    </row>
    <row r="10671" spans="1:7">
      <c r="A10671">
        <v>10670</v>
      </c>
      <c r="B10671" t="str">
        <f>"007967"</f>
        <v>0</v>
      </c>
      <c r="C10671" t="s">
        <v>3090</v>
      </c>
      <c r="D10671" t="s">
        <v>15968</v>
      </c>
      <c r="E10671" t="str">
        <f>"5430190008064"</f>
        <v>0</v>
      </c>
      <c r="F10671" t="str">
        <f>"001880"</f>
        <v>0</v>
      </c>
      <c r="G10671" t="s">
        <v>21</v>
      </c>
    </row>
    <row r="10672" spans="1:7">
      <c r="A10672">
        <v>10671</v>
      </c>
      <c r="B10672" t="str">
        <f>"007968"</f>
        <v>0</v>
      </c>
      <c r="C10672" t="s">
        <v>68</v>
      </c>
      <c r="D10672" t="s">
        <v>15969</v>
      </c>
      <c r="E10672" t="str">
        <f>"3430700366866"</f>
        <v>0</v>
      </c>
      <c r="F10672" t="str">
        <f>"001880"</f>
        <v>0</v>
      </c>
      <c r="G10672" t="s">
        <v>21</v>
      </c>
    </row>
    <row r="10673" spans="1:7">
      <c r="A10673">
        <v>10672</v>
      </c>
      <c r="B10673" t="str">
        <f>"008146"</f>
        <v>0</v>
      </c>
      <c r="C10673" t="s">
        <v>6897</v>
      </c>
      <c r="D10673" t="s">
        <v>15970</v>
      </c>
      <c r="E10673" t="str">
        <f>"3430500839353"</f>
        <v>0</v>
      </c>
      <c r="F10673" t="str">
        <f>"001880"</f>
        <v>0</v>
      </c>
      <c r="G10673" t="s">
        <v>21</v>
      </c>
    </row>
    <row r="10674" spans="1:7">
      <c r="A10674">
        <v>10673</v>
      </c>
      <c r="B10674" t="str">
        <f>"008650"</f>
        <v>0</v>
      </c>
      <c r="C10674" t="s">
        <v>798</v>
      </c>
      <c r="D10674" t="s">
        <v>15971</v>
      </c>
      <c r="E10674" t="str">
        <f>"3430700119435"</f>
        <v>0</v>
      </c>
      <c r="F10674" t="str">
        <f>"001880"</f>
        <v>0</v>
      </c>
      <c r="G10674" t="s">
        <v>21</v>
      </c>
    </row>
    <row r="10675" spans="1:7">
      <c r="A10675">
        <v>10674</v>
      </c>
      <c r="B10675" t="str">
        <f>"008652"</f>
        <v>0</v>
      </c>
      <c r="C10675" t="s">
        <v>15972</v>
      </c>
      <c r="D10675" t="s">
        <v>15973</v>
      </c>
      <c r="E10675" t="str">
        <f>"3430500032514"</f>
        <v>0</v>
      </c>
      <c r="F10675" t="str">
        <f>"001880"</f>
        <v>0</v>
      </c>
      <c r="G10675" t="s">
        <v>21</v>
      </c>
    </row>
    <row r="10676" spans="1:7">
      <c r="A10676">
        <v>10675</v>
      </c>
      <c r="B10676" t="str">
        <f>"008653"</f>
        <v>0</v>
      </c>
      <c r="C10676" t="s">
        <v>403</v>
      </c>
      <c r="D10676" t="s">
        <v>15974</v>
      </c>
      <c r="E10676" t="str">
        <f>"3430200203895"</f>
        <v>0</v>
      </c>
      <c r="F10676" t="str">
        <f>"001880"</f>
        <v>0</v>
      </c>
      <c r="G10676" t="s">
        <v>21</v>
      </c>
    </row>
    <row r="10677" spans="1:7">
      <c r="A10677">
        <v>10676</v>
      </c>
      <c r="B10677" t="str">
        <f>"008703"</f>
        <v>0</v>
      </c>
      <c r="C10677" t="s">
        <v>767</v>
      </c>
      <c r="D10677" t="s">
        <v>15975</v>
      </c>
      <c r="E10677" t="str">
        <f>"3430200296168"</f>
        <v>0</v>
      </c>
      <c r="F10677" t="str">
        <f>"001880"</f>
        <v>0</v>
      </c>
      <c r="G10677" t="s">
        <v>21</v>
      </c>
    </row>
    <row r="10678" spans="1:7">
      <c r="A10678">
        <v>10677</v>
      </c>
      <c r="B10678" t="str">
        <f>"008704"</f>
        <v>0</v>
      </c>
      <c r="C10678" t="s">
        <v>15976</v>
      </c>
      <c r="D10678" t="s">
        <v>15977</v>
      </c>
      <c r="E10678" t="str">
        <f>"5430200022102"</f>
        <v>0</v>
      </c>
      <c r="F10678" t="str">
        <f>"001880"</f>
        <v>0</v>
      </c>
      <c r="G10678" t="s">
        <v>21</v>
      </c>
    </row>
    <row r="10679" spans="1:7">
      <c r="A10679">
        <v>10678</v>
      </c>
      <c r="B10679" t="str">
        <f>"008709"</f>
        <v>0</v>
      </c>
      <c r="C10679" t="s">
        <v>326</v>
      </c>
      <c r="D10679" t="s">
        <v>15978</v>
      </c>
      <c r="E10679" t="str">
        <f>"3439900054891"</f>
        <v>0</v>
      </c>
      <c r="F10679" t="str">
        <f>"001880"</f>
        <v>0</v>
      </c>
      <c r="G10679" t="s">
        <v>21</v>
      </c>
    </row>
    <row r="10680" spans="1:7">
      <c r="A10680">
        <v>10679</v>
      </c>
      <c r="B10680" t="str">
        <f>"008969"</f>
        <v>0</v>
      </c>
      <c r="C10680" t="s">
        <v>2305</v>
      </c>
      <c r="D10680" t="s">
        <v>15979</v>
      </c>
      <c r="E10680" t="str">
        <f>"3430200413521"</f>
        <v>0</v>
      </c>
      <c r="F10680" t="str">
        <f>"001880"</f>
        <v>0</v>
      </c>
      <c r="G10680" t="s">
        <v>21</v>
      </c>
    </row>
    <row r="10681" spans="1:7">
      <c r="A10681">
        <v>10680</v>
      </c>
      <c r="B10681" t="str">
        <f>"009118"</f>
        <v>0</v>
      </c>
      <c r="C10681" t="s">
        <v>4039</v>
      </c>
      <c r="D10681" t="s">
        <v>15980</v>
      </c>
      <c r="E10681" t="str">
        <f>"3430500828572"</f>
        <v>0</v>
      </c>
      <c r="F10681" t="str">
        <f>"001880"</f>
        <v>0</v>
      </c>
      <c r="G10681" t="s">
        <v>21</v>
      </c>
    </row>
    <row r="10682" spans="1:7">
      <c r="A10682">
        <v>10681</v>
      </c>
      <c r="B10682" t="str">
        <f>"009120"</f>
        <v>0</v>
      </c>
      <c r="C10682" t="s">
        <v>445</v>
      </c>
      <c r="D10682" t="s">
        <v>15981</v>
      </c>
      <c r="E10682" t="str">
        <f>"3430500869902"</f>
        <v>0</v>
      </c>
      <c r="F10682" t="str">
        <f>"001880"</f>
        <v>0</v>
      </c>
      <c r="G10682" t="s">
        <v>21</v>
      </c>
    </row>
    <row r="10683" spans="1:7">
      <c r="A10683">
        <v>10682</v>
      </c>
      <c r="B10683" t="str">
        <f>"009955"</f>
        <v>0</v>
      </c>
      <c r="C10683" t="s">
        <v>3090</v>
      </c>
      <c r="D10683" t="s">
        <v>15982</v>
      </c>
      <c r="E10683" t="str">
        <f>"3149900335809"</f>
        <v>0</v>
      </c>
      <c r="F10683" t="str">
        <f>"001880"</f>
        <v>0</v>
      </c>
      <c r="G10683" t="s">
        <v>21</v>
      </c>
    </row>
    <row r="10684" spans="1:7">
      <c r="A10684">
        <v>10683</v>
      </c>
      <c r="B10684" t="str">
        <f>"009957"</f>
        <v>0</v>
      </c>
      <c r="C10684" t="s">
        <v>90</v>
      </c>
      <c r="D10684" t="s">
        <v>15983</v>
      </c>
      <c r="E10684" t="str">
        <f>"3430700069055"</f>
        <v>0</v>
      </c>
      <c r="F10684" t="str">
        <f>"001880"</f>
        <v>0</v>
      </c>
      <c r="G10684" t="s">
        <v>21</v>
      </c>
    </row>
    <row r="10685" spans="1:7">
      <c r="A10685">
        <v>10684</v>
      </c>
      <c r="B10685" t="str">
        <f>"010645"</f>
        <v>0</v>
      </c>
      <c r="C10685" t="s">
        <v>5377</v>
      </c>
      <c r="D10685" t="s">
        <v>6826</v>
      </c>
      <c r="E10685" t="str">
        <f>"3302000106490"</f>
        <v>0</v>
      </c>
      <c r="F10685" t="str">
        <f>"001880"</f>
        <v>0</v>
      </c>
      <c r="G10685" t="s">
        <v>21</v>
      </c>
    </row>
    <row r="10686" spans="1:7">
      <c r="A10686">
        <v>10685</v>
      </c>
      <c r="B10686" t="str">
        <f>"011457"</f>
        <v>0</v>
      </c>
      <c r="C10686" t="s">
        <v>15984</v>
      </c>
      <c r="D10686" t="s">
        <v>15985</v>
      </c>
      <c r="E10686" t="str">
        <f>"3140100026978"</f>
        <v>0</v>
      </c>
      <c r="F10686" t="str">
        <f>"001880"</f>
        <v>0</v>
      </c>
      <c r="G10686" t="s">
        <v>21</v>
      </c>
    </row>
    <row r="10687" spans="1:7">
      <c r="A10687">
        <v>10686</v>
      </c>
      <c r="B10687" t="str">
        <f>"012673"</f>
        <v>0</v>
      </c>
      <c r="C10687" t="s">
        <v>15986</v>
      </c>
      <c r="D10687" t="s">
        <v>15987</v>
      </c>
      <c r="E10687" t="str">
        <f>"3160100362595"</f>
        <v>0</v>
      </c>
      <c r="F10687" t="str">
        <f>"001880"</f>
        <v>0</v>
      </c>
      <c r="G10687" t="s">
        <v>21</v>
      </c>
    </row>
    <row r="10688" spans="1:7">
      <c r="A10688">
        <v>10687</v>
      </c>
      <c r="B10688" t="str">
        <f>"013880"</f>
        <v>0</v>
      </c>
      <c r="C10688" t="s">
        <v>7719</v>
      </c>
      <c r="D10688" t="s">
        <v>15988</v>
      </c>
      <c r="E10688" t="str">
        <f>"3430301048151"</f>
        <v>0</v>
      </c>
      <c r="F10688" t="str">
        <f>"001880"</f>
        <v>0</v>
      </c>
      <c r="G10688" t="s">
        <v>21</v>
      </c>
    </row>
    <row r="10689" spans="1:7">
      <c r="A10689">
        <v>10688</v>
      </c>
      <c r="B10689" t="str">
        <f>"014534"</f>
        <v>0</v>
      </c>
      <c r="C10689" t="s">
        <v>86</v>
      </c>
      <c r="D10689" t="s">
        <v>15989</v>
      </c>
      <c r="E10689" t="str">
        <f>"3430100132112"</f>
        <v>0</v>
      </c>
      <c r="F10689" t="str">
        <f>"001880"</f>
        <v>0</v>
      </c>
      <c r="G10689" t="s">
        <v>21</v>
      </c>
    </row>
    <row r="10690" spans="1:7">
      <c r="A10690">
        <v>10689</v>
      </c>
      <c r="B10690" t="str">
        <f>"014538"</f>
        <v>0</v>
      </c>
      <c r="C10690" t="s">
        <v>15990</v>
      </c>
      <c r="D10690" t="s">
        <v>15991</v>
      </c>
      <c r="E10690" t="str">
        <f>"3301500312918"</f>
        <v>0</v>
      </c>
      <c r="F10690" t="str">
        <f>"001880"</f>
        <v>0</v>
      </c>
      <c r="G10690" t="s">
        <v>21</v>
      </c>
    </row>
    <row r="10691" spans="1:7">
      <c r="A10691">
        <v>10690</v>
      </c>
      <c r="B10691" t="str">
        <f>"017813"</f>
        <v>0</v>
      </c>
      <c r="C10691" t="s">
        <v>15992</v>
      </c>
      <c r="D10691" t="s">
        <v>15993</v>
      </c>
      <c r="E10691" t="str">
        <f>"5430290000910"</f>
        <v>0</v>
      </c>
      <c r="F10691" t="str">
        <f>"001880"</f>
        <v>0</v>
      </c>
      <c r="G10691" t="s">
        <v>21</v>
      </c>
    </row>
    <row r="10692" spans="1:7">
      <c r="A10692">
        <v>10691</v>
      </c>
      <c r="B10692" t="str">
        <f>"019388"</f>
        <v>0</v>
      </c>
      <c r="C10692" t="s">
        <v>4401</v>
      </c>
      <c r="D10692" t="s">
        <v>15994</v>
      </c>
      <c r="E10692" t="str">
        <f>"3439900172389"</f>
        <v>0</v>
      </c>
      <c r="F10692" t="str">
        <f>"001880"</f>
        <v>0</v>
      </c>
      <c r="G10692" t="s">
        <v>21</v>
      </c>
    </row>
    <row r="10693" spans="1:7">
      <c r="A10693">
        <v>10692</v>
      </c>
      <c r="B10693" t="str">
        <f>"019881"</f>
        <v>0</v>
      </c>
      <c r="C10693" t="s">
        <v>46</v>
      </c>
      <c r="D10693" t="s">
        <v>15995</v>
      </c>
      <c r="E10693" t="str">
        <f>"3410102148610"</f>
        <v>0</v>
      </c>
      <c r="F10693" t="str">
        <f>"001880"</f>
        <v>0</v>
      </c>
      <c r="G10693" t="s">
        <v>21</v>
      </c>
    </row>
    <row r="10694" spans="1:7">
      <c r="A10694">
        <v>10693</v>
      </c>
      <c r="B10694" t="str">
        <f>"019955"</f>
        <v>0</v>
      </c>
      <c r="C10694" t="s">
        <v>516</v>
      </c>
      <c r="D10694" t="s">
        <v>15996</v>
      </c>
      <c r="E10694" t="str">
        <f>"3439900145381"</f>
        <v>0</v>
      </c>
      <c r="F10694" t="str">
        <f>"001880"</f>
        <v>0</v>
      </c>
      <c r="G10694" t="s">
        <v>21</v>
      </c>
    </row>
    <row r="10695" spans="1:7">
      <c r="A10695">
        <v>10694</v>
      </c>
      <c r="B10695" t="str">
        <f>"025353"</f>
        <v>0</v>
      </c>
      <c r="C10695" t="s">
        <v>15997</v>
      </c>
      <c r="D10695" t="s">
        <v>15998</v>
      </c>
      <c r="E10695" t="str">
        <f>"3439900027575"</f>
        <v>0</v>
      </c>
      <c r="F10695" t="str">
        <f>"001880"</f>
        <v>0</v>
      </c>
      <c r="G10695" t="s">
        <v>21</v>
      </c>
    </row>
    <row r="10696" spans="1:7">
      <c r="A10696">
        <v>10695</v>
      </c>
      <c r="B10696" t="str">
        <f>"026972"</f>
        <v>0</v>
      </c>
      <c r="C10696" t="s">
        <v>7378</v>
      </c>
      <c r="D10696" t="s">
        <v>15999</v>
      </c>
      <c r="E10696" t="str">
        <f>"3430900383161"</f>
        <v>0</v>
      </c>
      <c r="F10696" t="str">
        <f>"001880"</f>
        <v>0</v>
      </c>
      <c r="G10696" t="s">
        <v>21</v>
      </c>
    </row>
    <row r="10697" spans="1:7">
      <c r="A10697">
        <v>10696</v>
      </c>
      <c r="B10697" t="str">
        <f>"020243"</f>
        <v>0</v>
      </c>
      <c r="C10697" t="s">
        <v>16000</v>
      </c>
      <c r="D10697" t="s">
        <v>16001</v>
      </c>
      <c r="E10697" t="str">
        <f>"3430100809350"</f>
        <v>0</v>
      </c>
      <c r="F10697" t="str">
        <f>"001880"</f>
        <v>0</v>
      </c>
      <c r="G10697" t="s">
        <v>21</v>
      </c>
    </row>
    <row r="10698" spans="1:7">
      <c r="A10698">
        <v>10697</v>
      </c>
      <c r="B10698" t="str">
        <f>"026830"</f>
        <v>0</v>
      </c>
      <c r="C10698" t="s">
        <v>12458</v>
      </c>
      <c r="D10698" t="s">
        <v>16002</v>
      </c>
      <c r="E10698" t="str">
        <f>"5411990001359"</f>
        <v>0</v>
      </c>
      <c r="F10698" t="str">
        <f>"001880"</f>
        <v>0</v>
      </c>
      <c r="G10698" t="s">
        <v>21</v>
      </c>
    </row>
    <row r="10699" spans="1:7">
      <c r="A10699">
        <v>10698</v>
      </c>
      <c r="B10699" t="str">
        <f>"025523"</f>
        <v>0</v>
      </c>
      <c r="C10699" t="s">
        <v>16003</v>
      </c>
      <c r="D10699" t="s">
        <v>16004</v>
      </c>
      <c r="E10699" t="str">
        <f>"3430800106408"</f>
        <v>0</v>
      </c>
      <c r="F10699" t="str">
        <f>"001880"</f>
        <v>0</v>
      </c>
      <c r="G10699" t="s">
        <v>21</v>
      </c>
    </row>
    <row r="10700" spans="1:7">
      <c r="A10700">
        <v>10699</v>
      </c>
      <c r="B10700" t="str">
        <f>"011567"</f>
        <v>0</v>
      </c>
      <c r="C10700" t="s">
        <v>16005</v>
      </c>
      <c r="D10700" t="s">
        <v>16006</v>
      </c>
      <c r="E10700" t="str">
        <f>"3361200025778"</f>
        <v>0</v>
      </c>
      <c r="F10700" t="str">
        <f>"001880"</f>
        <v>0</v>
      </c>
      <c r="G10700" t="s">
        <v>21</v>
      </c>
    </row>
    <row r="10701" spans="1:7">
      <c r="A10701">
        <v>10700</v>
      </c>
      <c r="B10701" t="str">
        <f>"018119"</f>
        <v>0</v>
      </c>
      <c r="C10701" t="s">
        <v>3902</v>
      </c>
      <c r="D10701" t="s">
        <v>16007</v>
      </c>
      <c r="E10701" t="str">
        <f>"3401400339040"</f>
        <v>0</v>
      </c>
      <c r="F10701" t="str">
        <f>"001880"</f>
        <v>0</v>
      </c>
      <c r="G10701" t="s">
        <v>21</v>
      </c>
    </row>
    <row r="10702" spans="1:7">
      <c r="A10702">
        <v>10701</v>
      </c>
      <c r="B10702" t="str">
        <f>"020472"</f>
        <v>0</v>
      </c>
      <c r="C10702" t="s">
        <v>5212</v>
      </c>
      <c r="D10702" t="s">
        <v>16008</v>
      </c>
      <c r="E10702" t="str">
        <f>"3409900292601"</f>
        <v>0</v>
      </c>
      <c r="F10702" t="str">
        <f>"001880"</f>
        <v>0</v>
      </c>
      <c r="G10702" t="s">
        <v>21</v>
      </c>
    </row>
    <row r="10703" spans="1:7">
      <c r="A10703">
        <v>10702</v>
      </c>
      <c r="B10703" t="str">
        <f>"021029"</f>
        <v>0</v>
      </c>
      <c r="C10703" t="s">
        <v>802</v>
      </c>
      <c r="D10703" t="s">
        <v>16009</v>
      </c>
      <c r="E10703" t="str">
        <f>"3400600141846"</f>
        <v>0</v>
      </c>
      <c r="F10703" t="str">
        <f>"001880"</f>
        <v>0</v>
      </c>
      <c r="G10703" t="s">
        <v>21</v>
      </c>
    </row>
    <row r="10704" spans="1:7">
      <c r="A10704">
        <v>10703</v>
      </c>
      <c r="B10704" t="str">
        <f>"016653"</f>
        <v>0</v>
      </c>
      <c r="C10704" t="s">
        <v>5340</v>
      </c>
      <c r="D10704" t="s">
        <v>12528</v>
      </c>
      <c r="E10704" t="str">
        <f>"5450190017276"</f>
        <v>0</v>
      </c>
      <c r="F10704" t="str">
        <f>"001880"</f>
        <v>0</v>
      </c>
      <c r="G10704" t="s">
        <v>21</v>
      </c>
    </row>
    <row r="10705" spans="1:7">
      <c r="A10705">
        <v>10704</v>
      </c>
      <c r="B10705" t="str">
        <f>"023889"</f>
        <v>0</v>
      </c>
      <c r="C10705" t="s">
        <v>16010</v>
      </c>
      <c r="D10705" t="s">
        <v>16011</v>
      </c>
      <c r="E10705" t="str">
        <f>"3410102206491"</f>
        <v>0</v>
      </c>
      <c r="F10705" t="str">
        <f>"001880"</f>
        <v>0</v>
      </c>
      <c r="G10705" t="s">
        <v>21</v>
      </c>
    </row>
    <row r="10706" spans="1:7">
      <c r="A10706">
        <v>10705</v>
      </c>
      <c r="B10706" t="str">
        <f>"024684"</f>
        <v>0</v>
      </c>
      <c r="C10706" t="s">
        <v>14988</v>
      </c>
      <c r="D10706" t="s">
        <v>16012</v>
      </c>
      <c r="E10706" t="str">
        <f>"3720200034128"</f>
        <v>0</v>
      </c>
      <c r="F10706" t="str">
        <f>"001880"</f>
        <v>0</v>
      </c>
      <c r="G10706" t="s">
        <v>21</v>
      </c>
    </row>
    <row r="10707" spans="1:7">
      <c r="A10707">
        <v>10706</v>
      </c>
      <c r="B10707" t="str">
        <f>"027254"</f>
        <v>0</v>
      </c>
      <c r="C10707" t="s">
        <v>5962</v>
      </c>
      <c r="D10707" t="s">
        <v>16013</v>
      </c>
      <c r="E10707" t="str">
        <f>"1321300041701"</f>
        <v>0</v>
      </c>
      <c r="F10707" t="str">
        <f>"001880"</f>
        <v>0</v>
      </c>
      <c r="G10707" t="s">
        <v>21</v>
      </c>
    </row>
    <row r="10708" spans="1:7">
      <c r="A10708">
        <v>10707</v>
      </c>
      <c r="B10708" t="str">
        <f>"024312"</f>
        <v>0</v>
      </c>
      <c r="C10708" t="s">
        <v>16014</v>
      </c>
      <c r="D10708" t="s">
        <v>16015</v>
      </c>
      <c r="E10708" t="str">
        <f>"5400500019808"</f>
        <v>0</v>
      </c>
      <c r="F10708" t="str">
        <f>"001880"</f>
        <v>0</v>
      </c>
      <c r="G10708" t="s">
        <v>21</v>
      </c>
    </row>
    <row r="10709" spans="1:7">
      <c r="A10709">
        <v>10708</v>
      </c>
      <c r="B10709" t="str">
        <f>"011166"</f>
        <v>0</v>
      </c>
      <c r="C10709" t="s">
        <v>12270</v>
      </c>
      <c r="D10709" t="s">
        <v>16016</v>
      </c>
      <c r="E10709" t="str">
        <f>"5430190005251"</f>
        <v>0</v>
      </c>
      <c r="F10709" t="str">
        <f>"001880"</f>
        <v>0</v>
      </c>
      <c r="G10709" t="s">
        <v>21</v>
      </c>
    </row>
    <row r="10710" spans="1:7">
      <c r="A10710">
        <v>10709</v>
      </c>
      <c r="B10710" t="str">
        <f>"013573"</f>
        <v>0</v>
      </c>
      <c r="C10710" t="s">
        <v>16017</v>
      </c>
      <c r="D10710" t="s">
        <v>16018</v>
      </c>
      <c r="E10710" t="str">
        <f>"3939900178048"</f>
        <v>0</v>
      </c>
      <c r="F10710" t="str">
        <f>"001880"</f>
        <v>0</v>
      </c>
      <c r="G10710" t="s">
        <v>21</v>
      </c>
    </row>
    <row r="10711" spans="1:7">
      <c r="A10711">
        <v>10710</v>
      </c>
      <c r="B10711" t="str">
        <f>"013576"</f>
        <v>0</v>
      </c>
      <c r="C10711" t="s">
        <v>2777</v>
      </c>
      <c r="D10711" t="s">
        <v>16019</v>
      </c>
      <c r="E10711" t="str">
        <f>"3560300478810"</f>
        <v>0</v>
      </c>
      <c r="F10711" t="str">
        <f>"001880"</f>
        <v>0</v>
      </c>
      <c r="G10711" t="s">
        <v>21</v>
      </c>
    </row>
    <row r="10712" spans="1:7">
      <c r="A10712">
        <v>10711</v>
      </c>
      <c r="B10712" t="str">
        <f>"015186"</f>
        <v>0</v>
      </c>
      <c r="C10712" t="s">
        <v>16020</v>
      </c>
      <c r="D10712" t="s">
        <v>16021</v>
      </c>
      <c r="E10712" t="str">
        <f>"3410400077532"</f>
        <v>0</v>
      </c>
      <c r="F10712" t="str">
        <f>"001880"</f>
        <v>0</v>
      </c>
      <c r="G10712" t="s">
        <v>21</v>
      </c>
    </row>
    <row r="10713" spans="1:7">
      <c r="A10713">
        <v>10712</v>
      </c>
      <c r="B10713" t="str">
        <f>"016087"</f>
        <v>0</v>
      </c>
      <c r="C10713" t="s">
        <v>16022</v>
      </c>
      <c r="D10713" t="s">
        <v>16023</v>
      </c>
      <c r="E10713" t="str">
        <f>"3350100136399"</f>
        <v>0</v>
      </c>
      <c r="F10713" t="str">
        <f>"001880"</f>
        <v>0</v>
      </c>
      <c r="G10713" t="s">
        <v>21</v>
      </c>
    </row>
    <row r="10714" spans="1:7">
      <c r="A10714">
        <v>10713</v>
      </c>
      <c r="B10714" t="str">
        <f>"016364"</f>
        <v>0</v>
      </c>
      <c r="C10714" t="s">
        <v>13272</v>
      </c>
      <c r="D10714" t="s">
        <v>16024</v>
      </c>
      <c r="E10714" t="str">
        <f>"3430400266190"</f>
        <v>0</v>
      </c>
      <c r="F10714" t="str">
        <f>"001880"</f>
        <v>0</v>
      </c>
      <c r="G10714" t="s">
        <v>21</v>
      </c>
    </row>
    <row r="10715" spans="1:7">
      <c r="A10715">
        <v>10714</v>
      </c>
      <c r="B10715" t="str">
        <f>"017375"</f>
        <v>0</v>
      </c>
      <c r="C10715" t="s">
        <v>352</v>
      </c>
      <c r="D10715" t="s">
        <v>16025</v>
      </c>
      <c r="E10715" t="str">
        <f>"3420800177186"</f>
        <v>0</v>
      </c>
      <c r="F10715" t="str">
        <f>"001880"</f>
        <v>0</v>
      </c>
      <c r="G10715" t="s">
        <v>21</v>
      </c>
    </row>
    <row r="10716" spans="1:7">
      <c r="A10716">
        <v>10715</v>
      </c>
      <c r="B10716" t="str">
        <f>"017406"</f>
        <v>0</v>
      </c>
      <c r="C10716" t="s">
        <v>7253</v>
      </c>
      <c r="D10716" t="s">
        <v>6826</v>
      </c>
      <c r="E10716" t="str">
        <f>"3409900073003"</f>
        <v>0</v>
      </c>
      <c r="F10716" t="str">
        <f>"001880"</f>
        <v>0</v>
      </c>
      <c r="G10716" t="s">
        <v>21</v>
      </c>
    </row>
    <row r="10717" spans="1:7">
      <c r="A10717">
        <v>10716</v>
      </c>
      <c r="B10717" t="str">
        <f>"017490"</f>
        <v>0</v>
      </c>
      <c r="C10717" t="s">
        <v>16026</v>
      </c>
      <c r="D10717" t="s">
        <v>16027</v>
      </c>
      <c r="E10717" t="str">
        <f>"3410300273411"</f>
        <v>0</v>
      </c>
      <c r="F10717" t="str">
        <f>"001880"</f>
        <v>0</v>
      </c>
      <c r="G10717" t="s">
        <v>21</v>
      </c>
    </row>
    <row r="10718" spans="1:7">
      <c r="A10718">
        <v>10717</v>
      </c>
      <c r="B10718" t="str">
        <f>"017643"</f>
        <v>0</v>
      </c>
      <c r="C10718" t="s">
        <v>16028</v>
      </c>
      <c r="D10718" t="s">
        <v>3215</v>
      </c>
      <c r="E10718" t="str">
        <f>"3470500076520"</f>
        <v>0</v>
      </c>
      <c r="F10718" t="str">
        <f>"001880"</f>
        <v>0</v>
      </c>
      <c r="G10718" t="s">
        <v>21</v>
      </c>
    </row>
    <row r="10719" spans="1:7">
      <c r="A10719">
        <v>10718</v>
      </c>
      <c r="B10719" t="str">
        <f>"017644"</f>
        <v>0</v>
      </c>
      <c r="C10719" t="s">
        <v>341</v>
      </c>
      <c r="D10719" t="s">
        <v>15993</v>
      </c>
      <c r="E10719" t="str">
        <f>"3430100300198"</f>
        <v>0</v>
      </c>
      <c r="F10719" t="str">
        <f>"001880"</f>
        <v>0</v>
      </c>
      <c r="G10719" t="s">
        <v>21</v>
      </c>
    </row>
    <row r="10720" spans="1:7">
      <c r="A10720">
        <v>10719</v>
      </c>
      <c r="B10720" t="str">
        <f>"018140"</f>
        <v>0</v>
      </c>
      <c r="C10720" t="s">
        <v>16029</v>
      </c>
      <c r="D10720" t="s">
        <v>15993</v>
      </c>
      <c r="E10720" t="str">
        <f>"3430200257383"</f>
        <v>0</v>
      </c>
      <c r="F10720" t="str">
        <f>"001880"</f>
        <v>0</v>
      </c>
      <c r="G10720" t="s">
        <v>21</v>
      </c>
    </row>
    <row r="10721" spans="1:7">
      <c r="A10721">
        <v>10720</v>
      </c>
      <c r="B10721" t="str">
        <f>"018160"</f>
        <v>0</v>
      </c>
      <c r="C10721" t="s">
        <v>3212</v>
      </c>
      <c r="D10721" t="s">
        <v>16030</v>
      </c>
      <c r="E10721" t="str">
        <f>"3420100210628"</f>
        <v>0</v>
      </c>
      <c r="F10721" t="str">
        <f>"001880"</f>
        <v>0</v>
      </c>
      <c r="G10721" t="s">
        <v>21</v>
      </c>
    </row>
    <row r="10722" spans="1:7">
      <c r="A10722">
        <v>10721</v>
      </c>
      <c r="B10722" t="str">
        <f>"018444"</f>
        <v>0</v>
      </c>
      <c r="C10722" t="s">
        <v>16031</v>
      </c>
      <c r="D10722" t="s">
        <v>16032</v>
      </c>
      <c r="E10722" t="str">
        <f>"3439900149735"</f>
        <v>0</v>
      </c>
      <c r="F10722" t="str">
        <f>"001880"</f>
        <v>0</v>
      </c>
      <c r="G10722" t="s">
        <v>21</v>
      </c>
    </row>
    <row r="10723" spans="1:7">
      <c r="A10723">
        <v>10722</v>
      </c>
      <c r="B10723" t="str">
        <f>"018617"</f>
        <v>0</v>
      </c>
      <c r="C10723" t="s">
        <v>16033</v>
      </c>
      <c r="D10723" t="s">
        <v>16034</v>
      </c>
      <c r="E10723" t="str">
        <f>"3449900017162"</f>
        <v>0</v>
      </c>
      <c r="F10723" t="str">
        <f>"001880"</f>
        <v>0</v>
      </c>
      <c r="G10723" t="s">
        <v>21</v>
      </c>
    </row>
    <row r="10724" spans="1:7">
      <c r="A10724">
        <v>10723</v>
      </c>
      <c r="B10724" t="str">
        <f>"018812"</f>
        <v>0</v>
      </c>
      <c r="C10724" t="s">
        <v>2345</v>
      </c>
      <c r="D10724" t="s">
        <v>16035</v>
      </c>
      <c r="E10724" t="str">
        <f>"3469900306024"</f>
        <v>0</v>
      </c>
      <c r="F10724" t="str">
        <f>"001880"</f>
        <v>0</v>
      </c>
      <c r="G10724" t="s">
        <v>21</v>
      </c>
    </row>
    <row r="10725" spans="1:7">
      <c r="A10725">
        <v>10724</v>
      </c>
      <c r="B10725" t="str">
        <f>"018838"</f>
        <v>0</v>
      </c>
      <c r="C10725" t="s">
        <v>16036</v>
      </c>
      <c r="D10725" t="s">
        <v>5468</v>
      </c>
      <c r="E10725" t="str">
        <f>"3550100641059"</f>
        <v>0</v>
      </c>
      <c r="F10725" t="str">
        <f>"001880"</f>
        <v>0</v>
      </c>
      <c r="G10725" t="s">
        <v>21</v>
      </c>
    </row>
    <row r="10726" spans="1:7">
      <c r="A10726">
        <v>10725</v>
      </c>
      <c r="B10726" t="str">
        <f>"018839"</f>
        <v>0</v>
      </c>
      <c r="C10726" t="s">
        <v>16037</v>
      </c>
      <c r="D10726" t="s">
        <v>16038</v>
      </c>
      <c r="E10726" t="str">
        <f>"3430100127089"</f>
        <v>0</v>
      </c>
      <c r="F10726" t="str">
        <f>"001880"</f>
        <v>0</v>
      </c>
      <c r="G10726" t="s">
        <v>21</v>
      </c>
    </row>
    <row r="10727" spans="1:7">
      <c r="A10727">
        <v>10726</v>
      </c>
      <c r="B10727" t="str">
        <f>"019097"</f>
        <v>0</v>
      </c>
      <c r="C10727" t="s">
        <v>1781</v>
      </c>
      <c r="D10727" t="s">
        <v>16039</v>
      </c>
      <c r="E10727" t="str">
        <f>"3430500061620"</f>
        <v>0</v>
      </c>
      <c r="F10727" t="str">
        <f>"001880"</f>
        <v>0</v>
      </c>
      <c r="G10727" t="s">
        <v>21</v>
      </c>
    </row>
    <row r="10728" spans="1:7">
      <c r="A10728">
        <v>10727</v>
      </c>
      <c r="B10728" t="str">
        <f>"019215"</f>
        <v>0</v>
      </c>
      <c r="C10728" t="s">
        <v>5887</v>
      </c>
      <c r="D10728" t="s">
        <v>16038</v>
      </c>
      <c r="E10728" t="str">
        <f>"3410101902396"</f>
        <v>0</v>
      </c>
      <c r="F10728" t="str">
        <f>"001880"</f>
        <v>0</v>
      </c>
      <c r="G10728" t="s">
        <v>21</v>
      </c>
    </row>
    <row r="10729" spans="1:7">
      <c r="A10729">
        <v>10728</v>
      </c>
      <c r="B10729" t="str">
        <f>"019592"</f>
        <v>0</v>
      </c>
      <c r="C10729" t="s">
        <v>1849</v>
      </c>
      <c r="D10729" t="s">
        <v>16040</v>
      </c>
      <c r="E10729" t="str">
        <f>"3430101051426"</f>
        <v>0</v>
      </c>
      <c r="F10729" t="str">
        <f>"001880"</f>
        <v>0</v>
      </c>
      <c r="G10729" t="s">
        <v>21</v>
      </c>
    </row>
    <row r="10730" spans="1:7">
      <c r="A10730">
        <v>10729</v>
      </c>
      <c r="B10730" t="str">
        <f>"020422"</f>
        <v>0</v>
      </c>
      <c r="C10730" t="s">
        <v>5091</v>
      </c>
      <c r="D10730" t="s">
        <v>16041</v>
      </c>
      <c r="E10730" t="str">
        <f>"3430501483951"</f>
        <v>0</v>
      </c>
      <c r="F10730" t="str">
        <f>"001880"</f>
        <v>0</v>
      </c>
      <c r="G10730" t="s">
        <v>21</v>
      </c>
    </row>
    <row r="10731" spans="1:7">
      <c r="A10731">
        <v>10730</v>
      </c>
      <c r="B10731" t="str">
        <f>"020793"</f>
        <v>0</v>
      </c>
      <c r="C10731" t="s">
        <v>16042</v>
      </c>
      <c r="D10731" t="s">
        <v>16043</v>
      </c>
      <c r="E10731" t="str">
        <f>"5430100036098"</f>
        <v>0</v>
      </c>
      <c r="F10731" t="str">
        <f>"001880"</f>
        <v>0</v>
      </c>
      <c r="G10731" t="s">
        <v>21</v>
      </c>
    </row>
    <row r="10732" spans="1:7">
      <c r="A10732">
        <v>10731</v>
      </c>
      <c r="B10732" t="str">
        <f>"020843"</f>
        <v>0</v>
      </c>
      <c r="C10732" t="s">
        <v>878</v>
      </c>
      <c r="D10732" t="s">
        <v>16044</v>
      </c>
      <c r="E10732" t="str">
        <f>"3819900120164"</f>
        <v>0</v>
      </c>
      <c r="F10732" t="str">
        <f>"001880"</f>
        <v>0</v>
      </c>
      <c r="G10732" t="s">
        <v>21</v>
      </c>
    </row>
    <row r="10733" spans="1:7">
      <c r="A10733">
        <v>10732</v>
      </c>
      <c r="B10733" t="str">
        <f>"021028"</f>
        <v>0</v>
      </c>
      <c r="C10733" t="s">
        <v>878</v>
      </c>
      <c r="D10733" t="s">
        <v>16045</v>
      </c>
      <c r="E10733" t="str">
        <f>"3100202209796"</f>
        <v>0</v>
      </c>
      <c r="F10733" t="str">
        <f>"001880"</f>
        <v>0</v>
      </c>
      <c r="G10733" t="s">
        <v>21</v>
      </c>
    </row>
    <row r="10734" spans="1:7">
      <c r="A10734">
        <v>10733</v>
      </c>
      <c r="B10734" t="str">
        <f>"021057"</f>
        <v>0</v>
      </c>
      <c r="C10734" t="s">
        <v>114</v>
      </c>
      <c r="D10734" t="s">
        <v>16046</v>
      </c>
      <c r="E10734" t="str">
        <f>"3430200487311"</f>
        <v>0</v>
      </c>
      <c r="F10734" t="str">
        <f>"001880"</f>
        <v>0</v>
      </c>
      <c r="G10734" t="s">
        <v>21</v>
      </c>
    </row>
    <row r="10735" spans="1:7">
      <c r="A10735">
        <v>10734</v>
      </c>
      <c r="B10735" t="str">
        <f>"021535"</f>
        <v>0</v>
      </c>
      <c r="C10735" t="s">
        <v>4924</v>
      </c>
      <c r="D10735" t="s">
        <v>16047</v>
      </c>
      <c r="E10735" t="str">
        <f>"3430100368639"</f>
        <v>0</v>
      </c>
      <c r="F10735" t="str">
        <f>"001880"</f>
        <v>0</v>
      </c>
      <c r="G10735" t="s">
        <v>21</v>
      </c>
    </row>
    <row r="10736" spans="1:7">
      <c r="A10736">
        <v>10735</v>
      </c>
      <c r="B10736" t="str">
        <f>"022013"</f>
        <v>0</v>
      </c>
      <c r="C10736" t="s">
        <v>16048</v>
      </c>
      <c r="D10736" t="s">
        <v>16049</v>
      </c>
      <c r="E10736" t="str">
        <f>"3411200418973"</f>
        <v>0</v>
      </c>
      <c r="F10736" t="str">
        <f>"001880"</f>
        <v>0</v>
      </c>
      <c r="G10736" t="s">
        <v>21</v>
      </c>
    </row>
    <row r="10737" spans="1:7">
      <c r="A10737">
        <v>10736</v>
      </c>
      <c r="B10737" t="str">
        <f>"022103"</f>
        <v>0</v>
      </c>
      <c r="C10737" t="s">
        <v>16050</v>
      </c>
      <c r="D10737" t="s">
        <v>16051</v>
      </c>
      <c r="E10737" t="str">
        <f>"8430288002701"</f>
        <v>0</v>
      </c>
      <c r="F10737" t="str">
        <f>"001880"</f>
        <v>0</v>
      </c>
      <c r="G10737" t="s">
        <v>21</v>
      </c>
    </row>
    <row r="10738" spans="1:7">
      <c r="A10738">
        <v>10737</v>
      </c>
      <c r="B10738" t="str">
        <f>"022724"</f>
        <v>0</v>
      </c>
      <c r="C10738" t="s">
        <v>16052</v>
      </c>
      <c r="D10738" t="s">
        <v>16053</v>
      </c>
      <c r="E10738" t="str">
        <f>"3430100157158"</f>
        <v>0</v>
      </c>
      <c r="F10738" t="str">
        <f>"001880"</f>
        <v>0</v>
      </c>
      <c r="G10738" t="s">
        <v>21</v>
      </c>
    </row>
    <row r="10739" spans="1:7">
      <c r="A10739">
        <v>10738</v>
      </c>
      <c r="B10739" t="str">
        <f>"022771"</f>
        <v>0</v>
      </c>
      <c r="C10739" t="s">
        <v>16054</v>
      </c>
      <c r="D10739" t="s">
        <v>16055</v>
      </c>
      <c r="E10739" t="str">
        <f>"3439900021291"</f>
        <v>0</v>
      </c>
      <c r="F10739" t="str">
        <f>"001880"</f>
        <v>0</v>
      </c>
      <c r="G10739" t="s">
        <v>21</v>
      </c>
    </row>
    <row r="10740" spans="1:7">
      <c r="A10740">
        <v>10739</v>
      </c>
      <c r="B10740" t="str">
        <f>"023370"</f>
        <v>0</v>
      </c>
      <c r="C10740" t="s">
        <v>16056</v>
      </c>
      <c r="D10740" t="s">
        <v>16057</v>
      </c>
      <c r="E10740" t="str">
        <f>"3470500083011"</f>
        <v>0</v>
      </c>
      <c r="F10740" t="str">
        <f>"001880"</f>
        <v>0</v>
      </c>
      <c r="G10740" t="s">
        <v>21</v>
      </c>
    </row>
    <row r="10741" spans="1:7">
      <c r="A10741">
        <v>10740</v>
      </c>
      <c r="B10741" t="str">
        <f>"024701"</f>
        <v>0</v>
      </c>
      <c r="C10741" t="s">
        <v>5863</v>
      </c>
      <c r="D10741" t="s">
        <v>16058</v>
      </c>
      <c r="E10741" t="str">
        <f>"3480300347287"</f>
        <v>0</v>
      </c>
      <c r="F10741" t="str">
        <f>"001880"</f>
        <v>0</v>
      </c>
      <c r="G10741" t="s">
        <v>21</v>
      </c>
    </row>
    <row r="10742" spans="1:7">
      <c r="A10742">
        <v>10741</v>
      </c>
      <c r="B10742" t="str">
        <f>"025352"</f>
        <v>0</v>
      </c>
      <c r="C10742" t="s">
        <v>8806</v>
      </c>
      <c r="D10742" t="s">
        <v>16059</v>
      </c>
      <c r="E10742" t="str">
        <f>"5430500050225"</f>
        <v>0</v>
      </c>
      <c r="F10742" t="str">
        <f>"001880"</f>
        <v>0</v>
      </c>
      <c r="G10742" t="s">
        <v>21</v>
      </c>
    </row>
    <row r="10743" spans="1:7">
      <c r="A10743">
        <v>10742</v>
      </c>
      <c r="B10743" t="str">
        <f>"025957"</f>
        <v>0</v>
      </c>
      <c r="C10743" t="s">
        <v>16060</v>
      </c>
      <c r="D10743" t="s">
        <v>16061</v>
      </c>
      <c r="E10743" t="str">
        <f>"1430200168571"</f>
        <v>0</v>
      </c>
      <c r="F10743" t="str">
        <f>"001880"</f>
        <v>0</v>
      </c>
      <c r="G10743" t="s">
        <v>21</v>
      </c>
    </row>
    <row r="10744" spans="1:7">
      <c r="A10744">
        <v>10743</v>
      </c>
      <c r="B10744" t="str">
        <f>"025987"</f>
        <v>0</v>
      </c>
      <c r="C10744" t="s">
        <v>16062</v>
      </c>
      <c r="D10744" t="s">
        <v>16063</v>
      </c>
      <c r="E10744" t="str">
        <f>"3439900086474"</f>
        <v>0</v>
      </c>
      <c r="F10744" t="str">
        <f>"001880"</f>
        <v>0</v>
      </c>
      <c r="G10744" t="s">
        <v>21</v>
      </c>
    </row>
    <row r="10745" spans="1:7">
      <c r="A10745">
        <v>10744</v>
      </c>
      <c r="B10745" t="str">
        <f>"026234"</f>
        <v>0</v>
      </c>
      <c r="C10745" t="s">
        <v>16064</v>
      </c>
      <c r="D10745" t="s">
        <v>8311</v>
      </c>
      <c r="E10745" t="str">
        <f>"1439900199868"</f>
        <v>0</v>
      </c>
      <c r="F10745" t="str">
        <f>"001880"</f>
        <v>0</v>
      </c>
      <c r="G10745" t="s">
        <v>21</v>
      </c>
    </row>
    <row r="10746" spans="1:7">
      <c r="A10746">
        <v>10745</v>
      </c>
      <c r="B10746" t="str">
        <f>"026260"</f>
        <v>0</v>
      </c>
      <c r="C10746" t="s">
        <v>16065</v>
      </c>
      <c r="D10746" t="s">
        <v>16066</v>
      </c>
      <c r="E10746" t="str">
        <f>"1439900071705"</f>
        <v>0</v>
      </c>
      <c r="F10746" t="str">
        <f>"001880"</f>
        <v>0</v>
      </c>
      <c r="G10746" t="s">
        <v>21</v>
      </c>
    </row>
    <row r="10747" spans="1:7">
      <c r="A10747">
        <v>10746</v>
      </c>
      <c r="B10747" t="str">
        <f>"025114"</f>
        <v>0</v>
      </c>
      <c r="C10747" t="s">
        <v>16067</v>
      </c>
      <c r="D10747" t="s">
        <v>16068</v>
      </c>
      <c r="E10747" t="str">
        <f>"3460400053056"</f>
        <v>0</v>
      </c>
      <c r="F10747" t="str">
        <f>"001880"</f>
        <v>0</v>
      </c>
      <c r="G10747" t="s">
        <v>21</v>
      </c>
    </row>
    <row r="10748" spans="1:7">
      <c r="A10748">
        <v>10747</v>
      </c>
      <c r="B10748" t="str">
        <f>"027252"</f>
        <v>0</v>
      </c>
      <c r="C10748" t="s">
        <v>16069</v>
      </c>
      <c r="D10748" t="s">
        <v>16070</v>
      </c>
      <c r="E10748" t="str">
        <f>"1640600138081"</f>
        <v>0</v>
      </c>
      <c r="F10748" t="str">
        <f>"001880"</f>
        <v>0</v>
      </c>
      <c r="G10748" t="s">
        <v>21</v>
      </c>
    </row>
    <row r="10749" spans="1:7">
      <c r="A10749">
        <v>10748</v>
      </c>
      <c r="B10749" t="str">
        <f>"026732"</f>
        <v>0</v>
      </c>
      <c r="C10749" t="s">
        <v>16071</v>
      </c>
      <c r="D10749" t="s">
        <v>10258</v>
      </c>
      <c r="E10749" t="str">
        <f>"1840700031066"</f>
        <v>0</v>
      </c>
      <c r="F10749" t="str">
        <f>"001880"</f>
        <v>0</v>
      </c>
      <c r="G10749" t="s">
        <v>21</v>
      </c>
    </row>
    <row r="10750" spans="1:7">
      <c r="A10750">
        <v>10749</v>
      </c>
      <c r="B10750" t="str">
        <f>"017073"</f>
        <v>0</v>
      </c>
      <c r="C10750" t="s">
        <v>16072</v>
      </c>
      <c r="D10750" t="s">
        <v>16073</v>
      </c>
      <c r="E10750" t="str">
        <f>"3300100521438"</f>
        <v>0</v>
      </c>
      <c r="F10750" t="str">
        <f>"001880"</f>
        <v>0</v>
      </c>
      <c r="G10750" t="s">
        <v>21</v>
      </c>
    </row>
    <row r="10751" spans="1:7">
      <c r="A10751">
        <v>10750</v>
      </c>
      <c r="B10751" t="str">
        <f>"007966"</f>
        <v>0</v>
      </c>
      <c r="C10751" t="s">
        <v>433</v>
      </c>
      <c r="D10751" t="s">
        <v>16074</v>
      </c>
      <c r="E10751" t="str">
        <f>"5430200022111"</f>
        <v>0</v>
      </c>
      <c r="F10751" t="str">
        <f>"001880"</f>
        <v>0</v>
      </c>
      <c r="G10751" t="s">
        <v>21</v>
      </c>
    </row>
    <row r="10752" spans="1:7">
      <c r="A10752">
        <v>10751</v>
      </c>
      <c r="B10752" t="str">
        <f>"017450"</f>
        <v>0</v>
      </c>
      <c r="C10752" t="s">
        <v>391</v>
      </c>
      <c r="D10752" t="s">
        <v>16075</v>
      </c>
      <c r="E10752" t="str">
        <f>"3930100304415"</f>
        <v>0</v>
      </c>
      <c r="F10752" t="str">
        <f>"001880"</f>
        <v>0</v>
      </c>
      <c r="G10752" t="s">
        <v>21</v>
      </c>
    </row>
    <row r="10753" spans="1:7">
      <c r="A10753">
        <v>10752</v>
      </c>
      <c r="B10753" t="str">
        <f>"020739"</f>
        <v>0</v>
      </c>
      <c r="C10753" t="s">
        <v>16076</v>
      </c>
      <c r="D10753" t="s">
        <v>16077</v>
      </c>
      <c r="E10753" t="str">
        <f>"3430100057790"</f>
        <v>0</v>
      </c>
      <c r="F10753" t="str">
        <f>"001880"</f>
        <v>0</v>
      </c>
      <c r="G10753" t="s">
        <v>21</v>
      </c>
    </row>
    <row r="10754" spans="1:7">
      <c r="A10754">
        <v>10753</v>
      </c>
      <c r="B10754" t="str">
        <f>"022866"</f>
        <v>0</v>
      </c>
      <c r="C10754" t="s">
        <v>5181</v>
      </c>
      <c r="D10754" t="s">
        <v>16078</v>
      </c>
      <c r="E10754" t="str">
        <f>"1480800018316"</f>
        <v>0</v>
      </c>
      <c r="F10754" t="str">
        <f>"001880"</f>
        <v>0</v>
      </c>
      <c r="G10754" t="s">
        <v>21</v>
      </c>
    </row>
    <row r="10755" spans="1:7">
      <c r="A10755">
        <v>10754</v>
      </c>
      <c r="B10755" t="str">
        <f>"027534"</f>
        <v>0</v>
      </c>
      <c r="C10755" t="s">
        <v>16079</v>
      </c>
      <c r="D10755" t="s">
        <v>16080</v>
      </c>
      <c r="E10755" t="str">
        <f>"1430600081481"</f>
        <v>0</v>
      </c>
      <c r="F10755" t="str">
        <f>"001880"</f>
        <v>0</v>
      </c>
      <c r="G10755" t="s">
        <v>21</v>
      </c>
    </row>
    <row r="10756" spans="1:7">
      <c r="A10756">
        <v>10755</v>
      </c>
      <c r="B10756" t="str">
        <f>"027565"</f>
        <v>0</v>
      </c>
      <c r="C10756" t="s">
        <v>16081</v>
      </c>
      <c r="D10756" t="s">
        <v>16082</v>
      </c>
      <c r="E10756" t="str">
        <f>"1450300005665"</f>
        <v>0</v>
      </c>
      <c r="F10756" t="str">
        <f>"001880"</f>
        <v>0</v>
      </c>
      <c r="G10756" t="s">
        <v>21</v>
      </c>
    </row>
    <row r="10757" spans="1:7">
      <c r="A10757">
        <v>10756</v>
      </c>
      <c r="B10757" t="str">
        <f>"003494"</f>
        <v>0</v>
      </c>
      <c r="C10757" t="s">
        <v>16083</v>
      </c>
      <c r="D10757" t="s">
        <v>16084</v>
      </c>
      <c r="E10757" t="str">
        <f>"3150400063119"</f>
        <v>0</v>
      </c>
      <c r="F10757" t="str">
        <f>"001890"</f>
        <v>0</v>
      </c>
      <c r="G10757" t="s">
        <v>21</v>
      </c>
    </row>
    <row r="10758" spans="1:7">
      <c r="A10758">
        <v>10757</v>
      </c>
      <c r="B10758" t="str">
        <f>"003495"</f>
        <v>0</v>
      </c>
      <c r="C10758" t="s">
        <v>9442</v>
      </c>
      <c r="D10758" t="s">
        <v>16085</v>
      </c>
      <c r="E10758" t="str">
        <f>"3150400103820"</f>
        <v>0</v>
      </c>
      <c r="F10758" t="str">
        <f>"001890"</f>
        <v>0</v>
      </c>
      <c r="G10758" t="s">
        <v>21</v>
      </c>
    </row>
    <row r="10759" spans="1:7">
      <c r="A10759">
        <v>10758</v>
      </c>
      <c r="B10759" t="str">
        <f>"003497"</f>
        <v>0</v>
      </c>
      <c r="C10759" t="s">
        <v>16086</v>
      </c>
      <c r="D10759" t="s">
        <v>16087</v>
      </c>
      <c r="E10759" t="str">
        <f>"5150299000621"</f>
        <v>0</v>
      </c>
      <c r="F10759" t="str">
        <f>"001890"</f>
        <v>0</v>
      </c>
      <c r="G10759" t="s">
        <v>21</v>
      </c>
    </row>
    <row r="10760" spans="1:7">
      <c r="A10760">
        <v>10759</v>
      </c>
      <c r="B10760" t="str">
        <f>"003731"</f>
        <v>0</v>
      </c>
      <c r="C10760" t="s">
        <v>1162</v>
      </c>
      <c r="D10760" t="s">
        <v>16088</v>
      </c>
      <c r="E10760" t="str">
        <f>"3180200101246"</f>
        <v>0</v>
      </c>
      <c r="F10760" t="str">
        <f>"001890"</f>
        <v>0</v>
      </c>
      <c r="G10760" t="s">
        <v>21</v>
      </c>
    </row>
    <row r="10761" spans="1:7">
      <c r="A10761">
        <v>10760</v>
      </c>
      <c r="B10761" t="str">
        <f>"005720"</f>
        <v>0</v>
      </c>
      <c r="C10761" t="s">
        <v>429</v>
      </c>
      <c r="D10761" t="s">
        <v>16089</v>
      </c>
      <c r="E10761" t="str">
        <f>"3430100410686"</f>
        <v>0</v>
      </c>
      <c r="F10761" t="str">
        <f>"001890"</f>
        <v>0</v>
      </c>
      <c r="G10761" t="s">
        <v>21</v>
      </c>
    </row>
    <row r="10762" spans="1:7">
      <c r="A10762">
        <v>10761</v>
      </c>
      <c r="B10762" t="str">
        <f>"007741"</f>
        <v>0</v>
      </c>
      <c r="C10762" t="s">
        <v>4866</v>
      </c>
      <c r="D10762" t="s">
        <v>16090</v>
      </c>
      <c r="E10762" t="str">
        <f>"3149900521246"</f>
        <v>0</v>
      </c>
      <c r="F10762" t="str">
        <f>"001890"</f>
        <v>0</v>
      </c>
      <c r="G10762" t="s">
        <v>21</v>
      </c>
    </row>
    <row r="10763" spans="1:7">
      <c r="A10763">
        <v>10762</v>
      </c>
      <c r="B10763" t="str">
        <f>"008187"</f>
        <v>0</v>
      </c>
      <c r="C10763" t="s">
        <v>5203</v>
      </c>
      <c r="D10763" t="s">
        <v>16091</v>
      </c>
      <c r="E10763" t="str">
        <f>"3150500182951"</f>
        <v>0</v>
      </c>
      <c r="F10763" t="str">
        <f>"001890"</f>
        <v>0</v>
      </c>
      <c r="G10763" t="s">
        <v>21</v>
      </c>
    </row>
    <row r="10764" spans="1:7">
      <c r="A10764">
        <v>10763</v>
      </c>
      <c r="B10764" t="str">
        <f>"008422"</f>
        <v>0</v>
      </c>
      <c r="C10764" t="s">
        <v>391</v>
      </c>
      <c r="D10764" t="s">
        <v>16092</v>
      </c>
      <c r="E10764" t="str">
        <f>"3309900748915"</f>
        <v>0</v>
      </c>
      <c r="F10764" t="str">
        <f>"001890"</f>
        <v>0</v>
      </c>
      <c r="G10764" t="s">
        <v>21</v>
      </c>
    </row>
    <row r="10765" spans="1:7">
      <c r="A10765">
        <v>10764</v>
      </c>
      <c r="B10765" t="str">
        <f>"008776"</f>
        <v>0</v>
      </c>
      <c r="C10765" t="s">
        <v>16093</v>
      </c>
      <c r="D10765" t="s">
        <v>16094</v>
      </c>
      <c r="E10765" t="str">
        <f>"3150500039147"</f>
        <v>0</v>
      </c>
      <c r="F10765" t="str">
        <f>"001890"</f>
        <v>0</v>
      </c>
      <c r="G10765" t="s">
        <v>21</v>
      </c>
    </row>
    <row r="10766" spans="1:7">
      <c r="A10766">
        <v>10765</v>
      </c>
      <c r="B10766" t="str">
        <f>"010091"</f>
        <v>0</v>
      </c>
      <c r="C10766" t="s">
        <v>311</v>
      </c>
      <c r="D10766" t="s">
        <v>16095</v>
      </c>
      <c r="E10766" t="str">
        <f>"5230190002360"</f>
        <v>0</v>
      </c>
      <c r="F10766" t="str">
        <f>"001890"</f>
        <v>0</v>
      </c>
      <c r="G10766" t="s">
        <v>21</v>
      </c>
    </row>
    <row r="10767" spans="1:7">
      <c r="A10767">
        <v>10766</v>
      </c>
      <c r="B10767" t="str">
        <f>"011053"</f>
        <v>0</v>
      </c>
      <c r="C10767" t="s">
        <v>32</v>
      </c>
      <c r="D10767" t="s">
        <v>16096</v>
      </c>
      <c r="E10767" t="str">
        <f>"3159900075912"</f>
        <v>0</v>
      </c>
      <c r="F10767" t="str">
        <f>"001890"</f>
        <v>0</v>
      </c>
      <c r="G10767" t="s">
        <v>21</v>
      </c>
    </row>
    <row r="10768" spans="1:7">
      <c r="A10768">
        <v>10767</v>
      </c>
      <c r="B10768" t="str">
        <f>"011847"</f>
        <v>0</v>
      </c>
      <c r="C10768" t="s">
        <v>9525</v>
      </c>
      <c r="D10768" t="s">
        <v>16097</v>
      </c>
      <c r="E10768" t="str">
        <f>"3180200277093"</f>
        <v>0</v>
      </c>
      <c r="F10768" t="str">
        <f>"001890"</f>
        <v>0</v>
      </c>
      <c r="G10768" t="s">
        <v>21</v>
      </c>
    </row>
    <row r="10769" spans="1:7">
      <c r="A10769">
        <v>10768</v>
      </c>
      <c r="B10769" t="str">
        <f>"013424"</f>
        <v>0</v>
      </c>
      <c r="C10769" t="s">
        <v>2349</v>
      </c>
      <c r="D10769" t="s">
        <v>16098</v>
      </c>
      <c r="E10769" t="str">
        <f>"3101100265817"</f>
        <v>0</v>
      </c>
      <c r="F10769" t="str">
        <f>"001890"</f>
        <v>0</v>
      </c>
      <c r="G10769" t="s">
        <v>21</v>
      </c>
    </row>
    <row r="10770" spans="1:7">
      <c r="A10770">
        <v>10769</v>
      </c>
      <c r="B10770" t="str">
        <f>"014063"</f>
        <v>0</v>
      </c>
      <c r="C10770" t="s">
        <v>939</v>
      </c>
      <c r="D10770" t="s">
        <v>16099</v>
      </c>
      <c r="E10770" t="str">
        <f>"3141100050446"</f>
        <v>0</v>
      </c>
      <c r="F10770" t="str">
        <f>"001890"</f>
        <v>0</v>
      </c>
      <c r="G10770" t="s">
        <v>21</v>
      </c>
    </row>
    <row r="10771" spans="1:7">
      <c r="A10771">
        <v>10770</v>
      </c>
      <c r="B10771" t="str">
        <f>"015325"</f>
        <v>0</v>
      </c>
      <c r="C10771" t="s">
        <v>16100</v>
      </c>
      <c r="D10771" t="s">
        <v>7224</v>
      </c>
      <c r="E10771" t="str">
        <f>"3150600307313"</f>
        <v>0</v>
      </c>
      <c r="F10771" t="str">
        <f>"001890"</f>
        <v>0</v>
      </c>
      <c r="G10771" t="s">
        <v>21</v>
      </c>
    </row>
    <row r="10772" spans="1:7">
      <c r="A10772">
        <v>10771</v>
      </c>
      <c r="B10772" t="str">
        <f>"015382"</f>
        <v>0</v>
      </c>
      <c r="C10772" t="s">
        <v>939</v>
      </c>
      <c r="D10772" t="s">
        <v>16101</v>
      </c>
      <c r="E10772" t="str">
        <f>"3170600495349"</f>
        <v>0</v>
      </c>
      <c r="F10772" t="str">
        <f>"001890"</f>
        <v>0</v>
      </c>
      <c r="G10772" t="s">
        <v>21</v>
      </c>
    </row>
    <row r="10773" spans="1:7">
      <c r="A10773">
        <v>10772</v>
      </c>
      <c r="B10773" t="str">
        <f>"016723"</f>
        <v>0</v>
      </c>
      <c r="C10773" t="s">
        <v>16102</v>
      </c>
      <c r="D10773" t="s">
        <v>16103</v>
      </c>
      <c r="E10773" t="str">
        <f>"3101900270165"</f>
        <v>0</v>
      </c>
      <c r="F10773" t="str">
        <f>"001890"</f>
        <v>0</v>
      </c>
      <c r="G10773" t="s">
        <v>21</v>
      </c>
    </row>
    <row r="10774" spans="1:7">
      <c r="A10774">
        <v>10773</v>
      </c>
      <c r="B10774" t="str">
        <f>"016801"</f>
        <v>0</v>
      </c>
      <c r="C10774" t="s">
        <v>16104</v>
      </c>
      <c r="D10774" t="s">
        <v>16105</v>
      </c>
      <c r="E10774" t="str">
        <f>"3729800102866"</f>
        <v>0</v>
      </c>
      <c r="F10774" t="str">
        <f>"001890"</f>
        <v>0</v>
      </c>
      <c r="G10774" t="s">
        <v>21</v>
      </c>
    </row>
    <row r="10775" spans="1:7">
      <c r="A10775">
        <v>10774</v>
      </c>
      <c r="B10775" t="str">
        <f>"018764"</f>
        <v>0</v>
      </c>
      <c r="C10775" t="s">
        <v>311</v>
      </c>
      <c r="D10775" t="s">
        <v>16106</v>
      </c>
      <c r="E10775" t="str">
        <f>"5190699002486"</f>
        <v>0</v>
      </c>
      <c r="F10775" t="str">
        <f>"001890"</f>
        <v>0</v>
      </c>
      <c r="G10775" t="s">
        <v>21</v>
      </c>
    </row>
    <row r="10776" spans="1:7">
      <c r="A10776">
        <v>10775</v>
      </c>
      <c r="B10776" t="str">
        <f>"018972"</f>
        <v>0</v>
      </c>
      <c r="C10776" t="s">
        <v>514</v>
      </c>
      <c r="D10776" t="s">
        <v>16107</v>
      </c>
      <c r="E10776" t="str">
        <f>"3150400159647"</f>
        <v>0</v>
      </c>
      <c r="F10776" t="str">
        <f>"001890"</f>
        <v>0</v>
      </c>
      <c r="G10776" t="s">
        <v>21</v>
      </c>
    </row>
    <row r="10777" spans="1:7">
      <c r="A10777">
        <v>10776</v>
      </c>
      <c r="B10777" t="str">
        <f>"020634"</f>
        <v>0</v>
      </c>
      <c r="C10777" t="s">
        <v>587</v>
      </c>
      <c r="D10777" t="s">
        <v>11896</v>
      </c>
      <c r="E10777" t="str">
        <f>"5150500005371"</f>
        <v>0</v>
      </c>
      <c r="F10777" t="str">
        <f>"001890"</f>
        <v>0</v>
      </c>
      <c r="G10777" t="s">
        <v>21</v>
      </c>
    </row>
    <row r="10778" spans="1:7">
      <c r="A10778">
        <v>10777</v>
      </c>
      <c r="B10778" t="str">
        <f>"017984"</f>
        <v>0</v>
      </c>
      <c r="C10778" t="s">
        <v>10880</v>
      </c>
      <c r="D10778" t="s">
        <v>12821</v>
      </c>
      <c r="E10778" t="str">
        <f>"3150200144905"</f>
        <v>0</v>
      </c>
      <c r="F10778" t="str">
        <f>"001890"</f>
        <v>0</v>
      </c>
      <c r="G10778" t="s">
        <v>21</v>
      </c>
    </row>
    <row r="10779" spans="1:7">
      <c r="A10779">
        <v>10778</v>
      </c>
      <c r="B10779" t="str">
        <f>"017985"</f>
        <v>0</v>
      </c>
      <c r="C10779" t="s">
        <v>16108</v>
      </c>
      <c r="D10779" t="s">
        <v>1448</v>
      </c>
      <c r="E10779" t="str">
        <f>"3150500027891"</f>
        <v>0</v>
      </c>
      <c r="F10779" t="str">
        <f>"001890"</f>
        <v>0</v>
      </c>
      <c r="G10779" t="s">
        <v>21</v>
      </c>
    </row>
    <row r="10780" spans="1:7">
      <c r="A10780">
        <v>10779</v>
      </c>
      <c r="B10780" t="str">
        <f>"023717"</f>
        <v>0</v>
      </c>
      <c r="C10780" t="s">
        <v>11442</v>
      </c>
      <c r="D10780" t="s">
        <v>16109</v>
      </c>
      <c r="E10780" t="str">
        <f>"3150400085988"</f>
        <v>0</v>
      </c>
      <c r="F10780" t="str">
        <f>"001890"</f>
        <v>0</v>
      </c>
      <c r="G10780" t="s">
        <v>21</v>
      </c>
    </row>
    <row r="10781" spans="1:7">
      <c r="A10781">
        <v>10780</v>
      </c>
      <c r="B10781" t="str">
        <f>"020698"</f>
        <v>0</v>
      </c>
      <c r="C10781" t="s">
        <v>16110</v>
      </c>
      <c r="D10781" t="s">
        <v>16111</v>
      </c>
      <c r="E10781" t="str">
        <f>"3130200324954"</f>
        <v>0</v>
      </c>
      <c r="F10781" t="str">
        <f>"001890"</f>
        <v>0</v>
      </c>
      <c r="G10781" t="s">
        <v>21</v>
      </c>
    </row>
    <row r="10782" spans="1:7">
      <c r="A10782">
        <v>10781</v>
      </c>
      <c r="B10782" t="str">
        <f>"022614"</f>
        <v>0</v>
      </c>
      <c r="C10782" t="s">
        <v>11816</v>
      </c>
      <c r="D10782" t="s">
        <v>16112</v>
      </c>
      <c r="E10782" t="str">
        <f>"3140800243645"</f>
        <v>0</v>
      </c>
      <c r="F10782" t="str">
        <f>"001890"</f>
        <v>0</v>
      </c>
      <c r="G10782" t="s">
        <v>21</v>
      </c>
    </row>
    <row r="10783" spans="1:7">
      <c r="A10783">
        <v>10782</v>
      </c>
      <c r="B10783" t="str">
        <f>"025989"</f>
        <v>0</v>
      </c>
      <c r="C10783" t="s">
        <v>16113</v>
      </c>
      <c r="D10783" t="s">
        <v>16114</v>
      </c>
      <c r="E10783" t="str">
        <f>"1141200084354"</f>
        <v>0</v>
      </c>
      <c r="F10783" t="str">
        <f>"001890"</f>
        <v>0</v>
      </c>
      <c r="G10783" t="s">
        <v>21</v>
      </c>
    </row>
    <row r="10784" spans="1:7">
      <c r="A10784">
        <v>10783</v>
      </c>
      <c r="B10784" t="str">
        <f>"026256"</f>
        <v>0</v>
      </c>
      <c r="C10784" t="s">
        <v>16115</v>
      </c>
      <c r="D10784" t="s">
        <v>16116</v>
      </c>
      <c r="E10784" t="str">
        <f>"3150500025294"</f>
        <v>0</v>
      </c>
      <c r="F10784" t="str">
        <f>"001890"</f>
        <v>0</v>
      </c>
      <c r="G10784" t="s">
        <v>21</v>
      </c>
    </row>
    <row r="10785" spans="1:7">
      <c r="A10785">
        <v>10784</v>
      </c>
      <c r="B10785" t="str">
        <f>"011906"</f>
        <v>0</v>
      </c>
      <c r="C10785" t="s">
        <v>16117</v>
      </c>
      <c r="D10785" t="s">
        <v>11896</v>
      </c>
      <c r="E10785" t="str">
        <f>"3150500315730"</f>
        <v>0</v>
      </c>
      <c r="F10785" t="str">
        <f>"001890"</f>
        <v>0</v>
      </c>
      <c r="G10785" t="s">
        <v>21</v>
      </c>
    </row>
    <row r="10786" spans="1:7">
      <c r="A10786">
        <v>10785</v>
      </c>
      <c r="B10786" t="str">
        <f>"012417"</f>
        <v>0</v>
      </c>
      <c r="C10786" t="s">
        <v>16118</v>
      </c>
      <c r="D10786" t="s">
        <v>1932</v>
      </c>
      <c r="E10786" t="str">
        <f>"3150700010002"</f>
        <v>0</v>
      </c>
      <c r="F10786" t="str">
        <f>"001890"</f>
        <v>0</v>
      </c>
      <c r="G10786" t="s">
        <v>21</v>
      </c>
    </row>
    <row r="10787" spans="1:7">
      <c r="A10787">
        <v>10786</v>
      </c>
      <c r="B10787" t="str">
        <f>"012656"</f>
        <v>0</v>
      </c>
      <c r="C10787" t="s">
        <v>86</v>
      </c>
      <c r="D10787" t="s">
        <v>2074</v>
      </c>
      <c r="E10787" t="str">
        <f>"3150600647068"</f>
        <v>0</v>
      </c>
      <c r="F10787" t="str">
        <f>"001890"</f>
        <v>0</v>
      </c>
      <c r="G10787" t="s">
        <v>21</v>
      </c>
    </row>
    <row r="10788" spans="1:7">
      <c r="A10788">
        <v>10787</v>
      </c>
      <c r="B10788" t="str">
        <f>"013989"</f>
        <v>0</v>
      </c>
      <c r="C10788" t="s">
        <v>12071</v>
      </c>
      <c r="D10788" t="s">
        <v>16119</v>
      </c>
      <c r="E10788" t="str">
        <f>"3180100293569"</f>
        <v>0</v>
      </c>
      <c r="F10788" t="str">
        <f>"001890"</f>
        <v>0</v>
      </c>
      <c r="G10788" t="s">
        <v>21</v>
      </c>
    </row>
    <row r="10789" spans="1:7">
      <c r="A10789">
        <v>10788</v>
      </c>
      <c r="B10789" t="str">
        <f>"014849"</f>
        <v>0</v>
      </c>
      <c r="C10789" t="s">
        <v>16120</v>
      </c>
      <c r="D10789" t="s">
        <v>4688</v>
      </c>
      <c r="E10789" t="str">
        <f>"3150100176538"</f>
        <v>0</v>
      </c>
      <c r="F10789" t="str">
        <f>"001890"</f>
        <v>0</v>
      </c>
      <c r="G10789" t="s">
        <v>21</v>
      </c>
    </row>
    <row r="10790" spans="1:7">
      <c r="A10790">
        <v>10789</v>
      </c>
      <c r="B10790" t="str">
        <f>"019041"</f>
        <v>0</v>
      </c>
      <c r="C10790" t="s">
        <v>16121</v>
      </c>
      <c r="D10790" t="s">
        <v>9428</v>
      </c>
      <c r="E10790" t="str">
        <f>"3140100056338"</f>
        <v>0</v>
      </c>
      <c r="F10790" t="str">
        <f>"001890"</f>
        <v>0</v>
      </c>
      <c r="G10790" t="s">
        <v>21</v>
      </c>
    </row>
    <row r="10791" spans="1:7">
      <c r="A10791">
        <v>10790</v>
      </c>
      <c r="B10791" t="str">
        <f>"019109"</f>
        <v>0</v>
      </c>
      <c r="C10791" t="s">
        <v>16122</v>
      </c>
      <c r="D10791" t="s">
        <v>16123</v>
      </c>
      <c r="E10791" t="str">
        <f>"3150600464681"</f>
        <v>0</v>
      </c>
      <c r="F10791" t="str">
        <f>"001890"</f>
        <v>0</v>
      </c>
      <c r="G10791" t="s">
        <v>21</v>
      </c>
    </row>
    <row r="10792" spans="1:7">
      <c r="A10792">
        <v>10791</v>
      </c>
      <c r="B10792" t="str">
        <f>"020035"</f>
        <v>0</v>
      </c>
      <c r="C10792" t="s">
        <v>5347</v>
      </c>
      <c r="D10792" t="s">
        <v>16124</v>
      </c>
      <c r="E10792" t="str">
        <f>"3150200076268"</f>
        <v>0</v>
      </c>
      <c r="F10792" t="str">
        <f>"001890"</f>
        <v>0</v>
      </c>
      <c r="G10792" t="s">
        <v>21</v>
      </c>
    </row>
    <row r="10793" spans="1:7">
      <c r="A10793">
        <v>10792</v>
      </c>
      <c r="B10793" t="str">
        <f>"020929"</f>
        <v>0</v>
      </c>
      <c r="C10793" t="s">
        <v>16125</v>
      </c>
      <c r="D10793" t="s">
        <v>16126</v>
      </c>
      <c r="E10793" t="str">
        <f>"3150600169913"</f>
        <v>0</v>
      </c>
      <c r="F10793" t="str">
        <f>"001890"</f>
        <v>0</v>
      </c>
      <c r="G10793" t="s">
        <v>21</v>
      </c>
    </row>
    <row r="10794" spans="1:7">
      <c r="A10794">
        <v>10793</v>
      </c>
      <c r="B10794" t="str">
        <f>"021559"</f>
        <v>0</v>
      </c>
      <c r="C10794" t="s">
        <v>4757</v>
      </c>
      <c r="D10794" t="s">
        <v>16127</v>
      </c>
      <c r="E10794" t="str">
        <f>"3730200012809"</f>
        <v>0</v>
      </c>
      <c r="F10794" t="str">
        <f>"001890"</f>
        <v>0</v>
      </c>
      <c r="G10794" t="s">
        <v>21</v>
      </c>
    </row>
    <row r="10795" spans="1:7">
      <c r="A10795">
        <v>10794</v>
      </c>
      <c r="B10795" t="str">
        <f>"022261"</f>
        <v>0</v>
      </c>
      <c r="C10795" t="s">
        <v>16128</v>
      </c>
      <c r="D10795" t="s">
        <v>16129</v>
      </c>
      <c r="E10795" t="str">
        <f>"3160600584651"</f>
        <v>0</v>
      </c>
      <c r="F10795" t="str">
        <f>"001890"</f>
        <v>0</v>
      </c>
      <c r="G10795" t="s">
        <v>21</v>
      </c>
    </row>
    <row r="10796" spans="1:7">
      <c r="A10796">
        <v>10795</v>
      </c>
      <c r="B10796" t="str">
        <f>"022461"</f>
        <v>0</v>
      </c>
      <c r="C10796" t="s">
        <v>7405</v>
      </c>
      <c r="D10796" t="s">
        <v>16130</v>
      </c>
      <c r="E10796" t="str">
        <f>"3150400238555"</f>
        <v>0</v>
      </c>
      <c r="F10796" t="str">
        <f>"001890"</f>
        <v>0</v>
      </c>
      <c r="G10796" t="s">
        <v>21</v>
      </c>
    </row>
    <row r="10797" spans="1:7">
      <c r="A10797">
        <v>10796</v>
      </c>
      <c r="B10797" t="str">
        <f>"023711"</f>
        <v>0</v>
      </c>
      <c r="C10797" t="s">
        <v>76</v>
      </c>
      <c r="D10797" t="s">
        <v>16131</v>
      </c>
      <c r="E10797" t="str">
        <f>"1150600053455"</f>
        <v>0</v>
      </c>
      <c r="F10797" t="str">
        <f>"001890"</f>
        <v>0</v>
      </c>
      <c r="G10797" t="s">
        <v>21</v>
      </c>
    </row>
    <row r="10798" spans="1:7">
      <c r="A10798">
        <v>10797</v>
      </c>
      <c r="B10798" t="str">
        <f>"023766"</f>
        <v>0</v>
      </c>
      <c r="C10798" t="s">
        <v>2060</v>
      </c>
      <c r="D10798" t="s">
        <v>16132</v>
      </c>
      <c r="E10798" t="str">
        <f>"1150600017734"</f>
        <v>0</v>
      </c>
      <c r="F10798" t="str">
        <f>"001890"</f>
        <v>0</v>
      </c>
      <c r="G10798" t="s">
        <v>21</v>
      </c>
    </row>
    <row r="10799" spans="1:7">
      <c r="A10799">
        <v>10798</v>
      </c>
      <c r="B10799" t="str">
        <f>"023919"</f>
        <v>0</v>
      </c>
      <c r="C10799" t="s">
        <v>4182</v>
      </c>
      <c r="D10799" t="s">
        <v>14168</v>
      </c>
      <c r="E10799" t="str">
        <f>"1150600010713"</f>
        <v>0</v>
      </c>
      <c r="F10799" t="str">
        <f>"001890"</f>
        <v>0</v>
      </c>
      <c r="G10799" t="s">
        <v>21</v>
      </c>
    </row>
    <row r="10800" spans="1:7">
      <c r="A10800">
        <v>10799</v>
      </c>
      <c r="B10800" t="str">
        <f>"024140"</f>
        <v>0</v>
      </c>
      <c r="C10800" t="s">
        <v>16133</v>
      </c>
      <c r="D10800" t="s">
        <v>16134</v>
      </c>
      <c r="E10800" t="str">
        <f>"1150600060486"</f>
        <v>0</v>
      </c>
      <c r="F10800" t="str">
        <f>"001890"</f>
        <v>0</v>
      </c>
      <c r="G10800" t="s">
        <v>21</v>
      </c>
    </row>
    <row r="10801" spans="1:7">
      <c r="A10801">
        <v>10800</v>
      </c>
      <c r="B10801" t="str">
        <f>"024224"</f>
        <v>0</v>
      </c>
      <c r="C10801" t="s">
        <v>16135</v>
      </c>
      <c r="D10801" t="s">
        <v>16136</v>
      </c>
      <c r="E10801" t="str">
        <f>"3169700071981"</f>
        <v>0</v>
      </c>
      <c r="F10801" t="str">
        <f>"001890"</f>
        <v>0</v>
      </c>
      <c r="G10801" t="s">
        <v>21</v>
      </c>
    </row>
    <row r="10802" spans="1:7">
      <c r="A10802">
        <v>10801</v>
      </c>
      <c r="B10802" t="str">
        <f>"024744"</f>
        <v>0</v>
      </c>
      <c r="C10802" t="s">
        <v>16137</v>
      </c>
      <c r="D10802" t="s">
        <v>16138</v>
      </c>
      <c r="E10802" t="str">
        <f>"1150600013313"</f>
        <v>0</v>
      </c>
      <c r="F10802" t="str">
        <f>"001890"</f>
        <v>0</v>
      </c>
      <c r="G10802" t="s">
        <v>21</v>
      </c>
    </row>
    <row r="10803" spans="1:7">
      <c r="A10803">
        <v>10802</v>
      </c>
      <c r="B10803" t="str">
        <f>"025486"</f>
        <v>0</v>
      </c>
      <c r="C10803" t="s">
        <v>8918</v>
      </c>
      <c r="D10803" t="s">
        <v>16139</v>
      </c>
      <c r="E10803" t="str">
        <f>"3720100779083"</f>
        <v>0</v>
      </c>
      <c r="F10803" t="str">
        <f>"001890"</f>
        <v>0</v>
      </c>
      <c r="G10803" t="s">
        <v>21</v>
      </c>
    </row>
    <row r="10804" spans="1:7">
      <c r="A10804">
        <v>10803</v>
      </c>
      <c r="B10804" t="str">
        <f>"025755"</f>
        <v>0</v>
      </c>
      <c r="C10804" t="s">
        <v>16140</v>
      </c>
      <c r="D10804" t="s">
        <v>16141</v>
      </c>
      <c r="E10804" t="str">
        <f>"3159900026636"</f>
        <v>0</v>
      </c>
      <c r="F10804" t="str">
        <f>"001890"</f>
        <v>0</v>
      </c>
      <c r="G10804" t="s">
        <v>21</v>
      </c>
    </row>
    <row r="10805" spans="1:7">
      <c r="A10805">
        <v>10804</v>
      </c>
      <c r="B10805" t="str">
        <f>"026048"</f>
        <v>0</v>
      </c>
      <c r="C10805" t="s">
        <v>16142</v>
      </c>
      <c r="D10805" t="s">
        <v>16143</v>
      </c>
      <c r="E10805" t="str">
        <f>"1670400105473"</f>
        <v>0</v>
      </c>
      <c r="F10805" t="str">
        <f>"001890"</f>
        <v>0</v>
      </c>
      <c r="G10805" t="s">
        <v>21</v>
      </c>
    </row>
    <row r="10806" spans="1:7">
      <c r="A10806">
        <v>10805</v>
      </c>
      <c r="B10806" t="str">
        <f>"015537"</f>
        <v>0</v>
      </c>
      <c r="C10806" t="s">
        <v>1315</v>
      </c>
      <c r="D10806" t="s">
        <v>16144</v>
      </c>
      <c r="E10806" t="str">
        <f>"3179900034302"</f>
        <v>0</v>
      </c>
      <c r="F10806" t="str">
        <f>"001890"</f>
        <v>0</v>
      </c>
      <c r="G10806" t="s">
        <v>21</v>
      </c>
    </row>
    <row r="10807" spans="1:7">
      <c r="A10807">
        <v>10806</v>
      </c>
      <c r="B10807" t="str">
        <f>"020699"</f>
        <v>0</v>
      </c>
      <c r="C10807" t="s">
        <v>16145</v>
      </c>
      <c r="D10807" t="s">
        <v>16146</v>
      </c>
      <c r="E10807" t="str">
        <f>"3170400246485"</f>
        <v>0</v>
      </c>
      <c r="F10807" t="str">
        <f>"001890"</f>
        <v>0</v>
      </c>
      <c r="G10807" t="s">
        <v>21</v>
      </c>
    </row>
    <row r="10808" spans="1:7">
      <c r="A10808">
        <v>10807</v>
      </c>
      <c r="B10808" t="str">
        <f>"021720"</f>
        <v>0</v>
      </c>
      <c r="C10808" t="s">
        <v>1718</v>
      </c>
      <c r="D10808" t="s">
        <v>821</v>
      </c>
      <c r="E10808" t="str">
        <f>"3190600216377"</f>
        <v>0</v>
      </c>
      <c r="F10808" t="str">
        <f>"001890"</f>
        <v>0</v>
      </c>
      <c r="G10808" t="s">
        <v>21</v>
      </c>
    </row>
    <row r="10809" spans="1:7">
      <c r="A10809">
        <v>10808</v>
      </c>
      <c r="B10809" t="str">
        <f>"026052"</f>
        <v>0</v>
      </c>
      <c r="C10809" t="s">
        <v>16147</v>
      </c>
      <c r="D10809" t="s">
        <v>16148</v>
      </c>
      <c r="E10809" t="str">
        <f>"3601000086894"</f>
        <v>0</v>
      </c>
      <c r="F10809" t="str">
        <f>"001890"</f>
        <v>0</v>
      </c>
      <c r="G10809" t="s">
        <v>21</v>
      </c>
    </row>
    <row r="10810" spans="1:7">
      <c r="A10810">
        <v>10809</v>
      </c>
      <c r="B10810" t="str">
        <f>"026259"</f>
        <v>0</v>
      </c>
      <c r="C10810" t="s">
        <v>16149</v>
      </c>
      <c r="D10810" t="s">
        <v>16150</v>
      </c>
      <c r="E10810" t="str">
        <f>"1610400041599"</f>
        <v>0</v>
      </c>
      <c r="F10810" t="str">
        <f>"001890"</f>
        <v>0</v>
      </c>
      <c r="G10810" t="s">
        <v>21</v>
      </c>
    </row>
    <row r="10811" spans="1:7">
      <c r="A10811">
        <v>10810</v>
      </c>
      <c r="B10811" t="str">
        <f>"026934"</f>
        <v>0</v>
      </c>
      <c r="C10811" t="s">
        <v>16151</v>
      </c>
      <c r="D10811" t="s">
        <v>16152</v>
      </c>
      <c r="E10811" t="str">
        <f>"1209700152894"</f>
        <v>0</v>
      </c>
      <c r="F10811" t="str">
        <f>"001890"</f>
        <v>0</v>
      </c>
      <c r="G10811" t="s">
        <v>21</v>
      </c>
    </row>
    <row r="10812" spans="1:7">
      <c r="A10812">
        <v>10811</v>
      </c>
      <c r="B10812" t="str">
        <f>"026437"</f>
        <v>0</v>
      </c>
      <c r="C10812" t="s">
        <v>16153</v>
      </c>
      <c r="D10812" t="s">
        <v>9357</v>
      </c>
      <c r="E10812" t="str">
        <f>"1710100119893"</f>
        <v>0</v>
      </c>
      <c r="F10812" t="str">
        <f>"001890"</f>
        <v>0</v>
      </c>
      <c r="G10812" t="s">
        <v>21</v>
      </c>
    </row>
    <row r="10813" spans="1:7">
      <c r="A10813">
        <v>10812</v>
      </c>
      <c r="B10813" t="str">
        <f>"025682"</f>
        <v>0</v>
      </c>
      <c r="C10813" t="s">
        <v>2543</v>
      </c>
      <c r="D10813" t="s">
        <v>16154</v>
      </c>
      <c r="E10813" t="str">
        <f>"1729800115848"</f>
        <v>0</v>
      </c>
      <c r="F10813" t="str">
        <f>"001890"</f>
        <v>0</v>
      </c>
      <c r="G10813" t="s">
        <v>21</v>
      </c>
    </row>
    <row r="10814" spans="1:7">
      <c r="A10814">
        <v>10813</v>
      </c>
      <c r="B10814" t="str">
        <f>"000613"</f>
        <v>0</v>
      </c>
      <c r="C10814" t="s">
        <v>16155</v>
      </c>
      <c r="D10814" t="s">
        <v>16156</v>
      </c>
      <c r="E10814" t="str">
        <f>"3412000009035"</f>
        <v>0</v>
      </c>
      <c r="F10814" t="str">
        <f>"001900"</f>
        <v>0</v>
      </c>
      <c r="G10814" t="s">
        <v>21</v>
      </c>
    </row>
    <row r="10815" spans="1:7">
      <c r="A10815">
        <v>10814</v>
      </c>
      <c r="B10815" t="str">
        <f>"002958"</f>
        <v>0</v>
      </c>
      <c r="C10815" t="s">
        <v>2288</v>
      </c>
      <c r="D10815" t="s">
        <v>16157</v>
      </c>
      <c r="E10815" t="str">
        <f>"3419900305494"</f>
        <v>0</v>
      </c>
      <c r="F10815" t="str">
        <f>"001900"</f>
        <v>0</v>
      </c>
      <c r="G10815" t="s">
        <v>21</v>
      </c>
    </row>
    <row r="10816" spans="1:7">
      <c r="A10816">
        <v>10815</v>
      </c>
      <c r="B10816" t="str">
        <f>"003235"</f>
        <v>0</v>
      </c>
      <c r="C10816" t="s">
        <v>16158</v>
      </c>
      <c r="D10816" t="s">
        <v>15995</v>
      </c>
      <c r="E10816" t="str">
        <f>"3419900537671"</f>
        <v>0</v>
      </c>
      <c r="F10816" t="str">
        <f>"001900"</f>
        <v>0</v>
      </c>
      <c r="G10816" t="s">
        <v>21</v>
      </c>
    </row>
    <row r="10817" spans="1:7">
      <c r="A10817">
        <v>10816</v>
      </c>
      <c r="B10817" t="str">
        <f>"004278"</f>
        <v>0</v>
      </c>
      <c r="C10817" t="s">
        <v>16159</v>
      </c>
      <c r="D10817" t="s">
        <v>16160</v>
      </c>
      <c r="E10817" t="str">
        <f>"3410101903881"</f>
        <v>0</v>
      </c>
      <c r="F10817" t="str">
        <f>"001900"</f>
        <v>0</v>
      </c>
      <c r="G10817" t="s">
        <v>21</v>
      </c>
    </row>
    <row r="10818" spans="1:7">
      <c r="A10818">
        <v>10817</v>
      </c>
      <c r="B10818" t="str">
        <f>"004629"</f>
        <v>0</v>
      </c>
      <c r="C10818" t="s">
        <v>10028</v>
      </c>
      <c r="D10818" t="s">
        <v>16161</v>
      </c>
      <c r="E10818" t="str">
        <f>"4311400001731"</f>
        <v>0</v>
      </c>
      <c r="F10818" t="str">
        <f>"001900"</f>
        <v>0</v>
      </c>
      <c r="G10818" t="s">
        <v>21</v>
      </c>
    </row>
    <row r="10819" spans="1:7">
      <c r="A10819">
        <v>10818</v>
      </c>
      <c r="B10819" t="str">
        <f>"004882"</f>
        <v>0</v>
      </c>
      <c r="C10819" t="s">
        <v>341</v>
      </c>
      <c r="D10819" t="s">
        <v>16162</v>
      </c>
      <c r="E10819" t="str">
        <f>"3419900152990"</f>
        <v>0</v>
      </c>
      <c r="F10819" t="str">
        <f>"001900"</f>
        <v>0</v>
      </c>
      <c r="G10819" t="s">
        <v>21</v>
      </c>
    </row>
    <row r="10820" spans="1:7">
      <c r="A10820">
        <v>10819</v>
      </c>
      <c r="B10820" t="str">
        <f>"005009"</f>
        <v>0</v>
      </c>
      <c r="C10820" t="s">
        <v>508</v>
      </c>
      <c r="D10820" t="s">
        <v>16163</v>
      </c>
      <c r="E10820" t="str">
        <f>"3411900382211"</f>
        <v>0</v>
      </c>
      <c r="F10820" t="str">
        <f>"001900"</f>
        <v>0</v>
      </c>
      <c r="G10820" t="s">
        <v>21</v>
      </c>
    </row>
    <row r="10821" spans="1:7">
      <c r="A10821">
        <v>10820</v>
      </c>
      <c r="B10821" t="str">
        <f>"005770"</f>
        <v>0</v>
      </c>
      <c r="C10821" t="s">
        <v>9970</v>
      </c>
      <c r="D10821" t="s">
        <v>16164</v>
      </c>
      <c r="E10821" t="str">
        <f>"3411000030718"</f>
        <v>0</v>
      </c>
      <c r="F10821" t="str">
        <f>"001900"</f>
        <v>0</v>
      </c>
      <c r="G10821" t="s">
        <v>21</v>
      </c>
    </row>
    <row r="10822" spans="1:7">
      <c r="A10822">
        <v>10821</v>
      </c>
      <c r="B10822" t="str">
        <f>"005907"</f>
        <v>0</v>
      </c>
      <c r="C10822" t="s">
        <v>3073</v>
      </c>
      <c r="D10822" t="s">
        <v>16165</v>
      </c>
      <c r="E10822" t="str">
        <f>"3410101872616"</f>
        <v>0</v>
      </c>
      <c r="F10822" t="str">
        <f>"001900"</f>
        <v>0</v>
      </c>
      <c r="G10822" t="s">
        <v>21</v>
      </c>
    </row>
    <row r="10823" spans="1:7">
      <c r="A10823">
        <v>10822</v>
      </c>
      <c r="B10823" t="str">
        <f>"006514"</f>
        <v>0</v>
      </c>
      <c r="C10823" t="s">
        <v>16166</v>
      </c>
      <c r="D10823" t="s">
        <v>16167</v>
      </c>
      <c r="E10823" t="str">
        <f>"3400500091081"</f>
        <v>0</v>
      </c>
      <c r="F10823" t="str">
        <f>"001900"</f>
        <v>0</v>
      </c>
      <c r="G10823" t="s">
        <v>21</v>
      </c>
    </row>
    <row r="10824" spans="1:7">
      <c r="A10824">
        <v>10823</v>
      </c>
      <c r="B10824" t="str">
        <f>"007244"</f>
        <v>0</v>
      </c>
      <c r="C10824" t="s">
        <v>154</v>
      </c>
      <c r="D10824" t="s">
        <v>16168</v>
      </c>
      <c r="E10824" t="str">
        <f>"3330401670017"</f>
        <v>0</v>
      </c>
      <c r="F10824" t="str">
        <f>"001900"</f>
        <v>0</v>
      </c>
      <c r="G10824" t="s">
        <v>21</v>
      </c>
    </row>
    <row r="10825" spans="1:7">
      <c r="A10825">
        <v>10824</v>
      </c>
      <c r="B10825" t="str">
        <f>"007246"</f>
        <v>0</v>
      </c>
      <c r="C10825" t="s">
        <v>1792</v>
      </c>
      <c r="D10825" t="s">
        <v>16169</v>
      </c>
      <c r="E10825" t="str">
        <f>"3411700221991"</f>
        <v>0</v>
      </c>
      <c r="F10825" t="str">
        <f>"001900"</f>
        <v>0</v>
      </c>
      <c r="G10825" t="s">
        <v>21</v>
      </c>
    </row>
    <row r="10826" spans="1:7">
      <c r="A10826">
        <v>10825</v>
      </c>
      <c r="B10826" t="str">
        <f>"007247"</f>
        <v>0</v>
      </c>
      <c r="C10826" t="s">
        <v>16170</v>
      </c>
      <c r="D10826" t="s">
        <v>16171</v>
      </c>
      <c r="E10826" t="str">
        <f>"3411700138864"</f>
        <v>0</v>
      </c>
      <c r="F10826" t="str">
        <f>"001900"</f>
        <v>0</v>
      </c>
      <c r="G10826" t="s">
        <v>21</v>
      </c>
    </row>
    <row r="10827" spans="1:7">
      <c r="A10827">
        <v>10826</v>
      </c>
      <c r="B10827" t="str">
        <f>"007451"</f>
        <v>0</v>
      </c>
      <c r="C10827" t="s">
        <v>5158</v>
      </c>
      <c r="D10827" t="s">
        <v>16172</v>
      </c>
      <c r="E10827" t="str">
        <f>"3411100407341"</f>
        <v>0</v>
      </c>
      <c r="F10827" t="str">
        <f>"001900"</f>
        <v>0</v>
      </c>
      <c r="G10827" t="s">
        <v>21</v>
      </c>
    </row>
    <row r="10828" spans="1:7">
      <c r="A10828">
        <v>10827</v>
      </c>
      <c r="B10828" t="str">
        <f>"007962"</f>
        <v>0</v>
      </c>
      <c r="C10828" t="s">
        <v>16173</v>
      </c>
      <c r="D10828" t="s">
        <v>16174</v>
      </c>
      <c r="E10828" t="str">
        <f>"3430700016211"</f>
        <v>0</v>
      </c>
      <c r="F10828" t="str">
        <f>"001900"</f>
        <v>0</v>
      </c>
      <c r="G10828" t="s">
        <v>21</v>
      </c>
    </row>
    <row r="10829" spans="1:7">
      <c r="A10829">
        <v>10828</v>
      </c>
      <c r="B10829" t="str">
        <f>"008071"</f>
        <v>0</v>
      </c>
      <c r="C10829" t="s">
        <v>16175</v>
      </c>
      <c r="D10829" t="s">
        <v>16176</v>
      </c>
      <c r="E10829" t="str">
        <f>"3410800222335"</f>
        <v>0</v>
      </c>
      <c r="F10829" t="str">
        <f>"001900"</f>
        <v>0</v>
      </c>
      <c r="G10829" t="s">
        <v>21</v>
      </c>
    </row>
    <row r="10830" spans="1:7">
      <c r="A10830">
        <v>10829</v>
      </c>
      <c r="B10830" t="str">
        <f>"008079"</f>
        <v>0</v>
      </c>
      <c r="C10830" t="s">
        <v>3303</v>
      </c>
      <c r="D10830" t="s">
        <v>2431</v>
      </c>
      <c r="E10830" t="str">
        <f>"3411700049047"</f>
        <v>0</v>
      </c>
      <c r="F10830" t="str">
        <f>"001900"</f>
        <v>0</v>
      </c>
      <c r="G10830" t="s">
        <v>21</v>
      </c>
    </row>
    <row r="10831" spans="1:7">
      <c r="A10831">
        <v>10830</v>
      </c>
      <c r="B10831" t="str">
        <f>"008080"</f>
        <v>0</v>
      </c>
      <c r="C10831" t="s">
        <v>4928</v>
      </c>
      <c r="D10831" t="s">
        <v>16177</v>
      </c>
      <c r="E10831" t="str">
        <f>"3360300141001"</f>
        <v>0</v>
      </c>
      <c r="F10831" t="str">
        <f>"001900"</f>
        <v>0</v>
      </c>
      <c r="G10831" t="s">
        <v>21</v>
      </c>
    </row>
    <row r="10832" spans="1:7">
      <c r="A10832">
        <v>10831</v>
      </c>
      <c r="B10832" t="str">
        <f>"008083"</f>
        <v>0</v>
      </c>
      <c r="C10832" t="s">
        <v>16178</v>
      </c>
      <c r="D10832" t="s">
        <v>16179</v>
      </c>
      <c r="E10832" t="str">
        <f>"3410401056857"</f>
        <v>0</v>
      </c>
      <c r="F10832" t="str">
        <f>"001900"</f>
        <v>0</v>
      </c>
      <c r="G10832" t="s">
        <v>21</v>
      </c>
    </row>
    <row r="10833" spans="1:7">
      <c r="A10833">
        <v>10832</v>
      </c>
      <c r="B10833" t="str">
        <f>"008086"</f>
        <v>0</v>
      </c>
      <c r="C10833" t="s">
        <v>36</v>
      </c>
      <c r="D10833" t="s">
        <v>16180</v>
      </c>
      <c r="E10833" t="str">
        <f>"3411800429372"</f>
        <v>0</v>
      </c>
      <c r="F10833" t="str">
        <f>"001900"</f>
        <v>0</v>
      </c>
      <c r="G10833" t="s">
        <v>21</v>
      </c>
    </row>
    <row r="10834" spans="1:7">
      <c r="A10834">
        <v>10833</v>
      </c>
      <c r="B10834" t="str">
        <f>"008107"</f>
        <v>0</v>
      </c>
      <c r="C10834" t="s">
        <v>44</v>
      </c>
      <c r="D10834" t="s">
        <v>16181</v>
      </c>
      <c r="E10834" t="str">
        <f>"5410490006288"</f>
        <v>0</v>
      </c>
      <c r="F10834" t="str">
        <f>"001900"</f>
        <v>0</v>
      </c>
      <c r="G10834" t="s">
        <v>21</v>
      </c>
    </row>
    <row r="10835" spans="1:7">
      <c r="A10835">
        <v>10834</v>
      </c>
      <c r="B10835" t="str">
        <f>"008233"</f>
        <v>0</v>
      </c>
      <c r="C10835" t="s">
        <v>8384</v>
      </c>
      <c r="D10835" t="s">
        <v>16182</v>
      </c>
      <c r="E10835" t="str">
        <f>"3480800008571"</f>
        <v>0</v>
      </c>
      <c r="F10835" t="str">
        <f>"001900"</f>
        <v>0</v>
      </c>
      <c r="G10835" t="s">
        <v>21</v>
      </c>
    </row>
    <row r="10836" spans="1:7">
      <c r="A10836">
        <v>10835</v>
      </c>
      <c r="B10836" t="str">
        <f>"008368"</f>
        <v>0</v>
      </c>
      <c r="C10836" t="s">
        <v>16183</v>
      </c>
      <c r="D10836" t="s">
        <v>16184</v>
      </c>
      <c r="E10836" t="str">
        <f>"3410101242931"</f>
        <v>0</v>
      </c>
      <c r="F10836" t="str">
        <f>"001900"</f>
        <v>0</v>
      </c>
      <c r="G10836" t="s">
        <v>21</v>
      </c>
    </row>
    <row r="10837" spans="1:7">
      <c r="A10837">
        <v>10836</v>
      </c>
      <c r="B10837" t="str">
        <f>"008370"</f>
        <v>0</v>
      </c>
      <c r="C10837" t="s">
        <v>684</v>
      </c>
      <c r="D10837" t="s">
        <v>16185</v>
      </c>
      <c r="E10837" t="str">
        <f>"3411700530942"</f>
        <v>0</v>
      </c>
      <c r="F10837" t="str">
        <f>"001900"</f>
        <v>0</v>
      </c>
      <c r="G10837" t="s">
        <v>21</v>
      </c>
    </row>
    <row r="10838" spans="1:7">
      <c r="A10838">
        <v>10837</v>
      </c>
      <c r="B10838" t="str">
        <f>"008389"</f>
        <v>0</v>
      </c>
      <c r="C10838" t="s">
        <v>16186</v>
      </c>
      <c r="D10838" t="s">
        <v>16187</v>
      </c>
      <c r="E10838" t="str">
        <f>"3411000053645"</f>
        <v>0</v>
      </c>
      <c r="F10838" t="str">
        <f>"001900"</f>
        <v>0</v>
      </c>
      <c r="G10838" t="s">
        <v>21</v>
      </c>
    </row>
    <row r="10839" spans="1:7">
      <c r="A10839">
        <v>10838</v>
      </c>
      <c r="B10839" t="str">
        <f>"008710"</f>
        <v>0</v>
      </c>
      <c r="C10839" t="s">
        <v>16188</v>
      </c>
      <c r="D10839" t="s">
        <v>16189</v>
      </c>
      <c r="E10839" t="str">
        <f>"3410600706584"</f>
        <v>0</v>
      </c>
      <c r="F10839" t="str">
        <f>"001900"</f>
        <v>0</v>
      </c>
      <c r="G10839" t="s">
        <v>21</v>
      </c>
    </row>
    <row r="10840" spans="1:7">
      <c r="A10840">
        <v>10839</v>
      </c>
      <c r="B10840" t="str">
        <f>"008755"</f>
        <v>0</v>
      </c>
      <c r="C10840" t="s">
        <v>16190</v>
      </c>
      <c r="D10840" t="s">
        <v>16191</v>
      </c>
      <c r="E10840" t="str">
        <f>"3410400534097"</f>
        <v>0</v>
      </c>
      <c r="F10840" t="str">
        <f>"001900"</f>
        <v>0</v>
      </c>
      <c r="G10840" t="s">
        <v>21</v>
      </c>
    </row>
    <row r="10841" spans="1:7">
      <c r="A10841">
        <v>10840</v>
      </c>
      <c r="B10841" t="str">
        <f>"008844"</f>
        <v>0</v>
      </c>
      <c r="C10841" t="s">
        <v>16192</v>
      </c>
      <c r="D10841" t="s">
        <v>16193</v>
      </c>
      <c r="E10841" t="str">
        <f>"3461400071390"</f>
        <v>0</v>
      </c>
      <c r="F10841" t="str">
        <f>"001900"</f>
        <v>0</v>
      </c>
      <c r="G10841" t="s">
        <v>21</v>
      </c>
    </row>
    <row r="10842" spans="1:7">
      <c r="A10842">
        <v>10841</v>
      </c>
      <c r="B10842" t="str">
        <f>"008941"</f>
        <v>0</v>
      </c>
      <c r="C10842" t="s">
        <v>16194</v>
      </c>
      <c r="D10842" t="s">
        <v>16195</v>
      </c>
      <c r="E10842" t="str">
        <f>"3410900193264"</f>
        <v>0</v>
      </c>
      <c r="F10842" t="str">
        <f>"001900"</f>
        <v>0</v>
      </c>
      <c r="G10842" t="s">
        <v>21</v>
      </c>
    </row>
    <row r="10843" spans="1:7">
      <c r="A10843">
        <v>10842</v>
      </c>
      <c r="B10843" t="str">
        <f>"009245"</f>
        <v>0</v>
      </c>
      <c r="C10843" t="s">
        <v>98</v>
      </c>
      <c r="D10843" t="s">
        <v>8090</v>
      </c>
      <c r="E10843" t="str">
        <f>"3411900007160"</f>
        <v>0</v>
      </c>
      <c r="F10843" t="str">
        <f>"001900"</f>
        <v>0</v>
      </c>
      <c r="G10843" t="s">
        <v>21</v>
      </c>
    </row>
    <row r="10844" spans="1:7">
      <c r="A10844">
        <v>10843</v>
      </c>
      <c r="B10844" t="str">
        <f>"009435"</f>
        <v>0</v>
      </c>
      <c r="C10844" t="s">
        <v>16196</v>
      </c>
      <c r="D10844" t="s">
        <v>16197</v>
      </c>
      <c r="E10844" t="str">
        <f>"3411800067349"</f>
        <v>0</v>
      </c>
      <c r="F10844" t="str">
        <f>"001900"</f>
        <v>0</v>
      </c>
      <c r="G10844" t="s">
        <v>21</v>
      </c>
    </row>
    <row r="10845" spans="1:7">
      <c r="A10845">
        <v>10844</v>
      </c>
      <c r="B10845" t="str">
        <f>"009436"</f>
        <v>0</v>
      </c>
      <c r="C10845" t="s">
        <v>16198</v>
      </c>
      <c r="D10845" t="s">
        <v>16199</v>
      </c>
      <c r="E10845" t="str">
        <f>"3400200211308"</f>
        <v>0</v>
      </c>
      <c r="F10845" t="str">
        <f>"001900"</f>
        <v>0</v>
      </c>
      <c r="G10845" t="s">
        <v>21</v>
      </c>
    </row>
    <row r="10846" spans="1:7">
      <c r="A10846">
        <v>10845</v>
      </c>
      <c r="B10846" t="str">
        <f>"009437"</f>
        <v>0</v>
      </c>
      <c r="C10846" t="s">
        <v>4225</v>
      </c>
      <c r="D10846" t="s">
        <v>16200</v>
      </c>
      <c r="E10846" t="str">
        <f>"3410101956275"</f>
        <v>0</v>
      </c>
      <c r="F10846" t="str">
        <f>"001900"</f>
        <v>0</v>
      </c>
      <c r="G10846" t="s">
        <v>21</v>
      </c>
    </row>
    <row r="10847" spans="1:7">
      <c r="A10847">
        <v>10846</v>
      </c>
      <c r="B10847" t="str">
        <f>"009464"</f>
        <v>0</v>
      </c>
      <c r="C10847" t="s">
        <v>433</v>
      </c>
      <c r="D10847" t="s">
        <v>16201</v>
      </c>
      <c r="E10847" t="str">
        <f>"3320901068910"</f>
        <v>0</v>
      </c>
      <c r="F10847" t="str">
        <f>"001900"</f>
        <v>0</v>
      </c>
      <c r="G10847" t="s">
        <v>21</v>
      </c>
    </row>
    <row r="10848" spans="1:7">
      <c r="A10848">
        <v>10847</v>
      </c>
      <c r="B10848" t="str">
        <f>"009534"</f>
        <v>0</v>
      </c>
      <c r="C10848" t="s">
        <v>2758</v>
      </c>
      <c r="D10848" t="s">
        <v>16202</v>
      </c>
      <c r="E10848" t="str">
        <f>"3411800434473"</f>
        <v>0</v>
      </c>
      <c r="F10848" t="str">
        <f>"001900"</f>
        <v>0</v>
      </c>
      <c r="G10848" t="s">
        <v>21</v>
      </c>
    </row>
    <row r="10849" spans="1:7">
      <c r="A10849">
        <v>10848</v>
      </c>
      <c r="B10849" t="str">
        <f>"009700"</f>
        <v>0</v>
      </c>
      <c r="C10849" t="s">
        <v>6323</v>
      </c>
      <c r="D10849" t="s">
        <v>16203</v>
      </c>
      <c r="E10849" t="str">
        <f>"4410100010627"</f>
        <v>0</v>
      </c>
      <c r="F10849" t="str">
        <f>"001900"</f>
        <v>0</v>
      </c>
      <c r="G10849" t="s">
        <v>21</v>
      </c>
    </row>
    <row r="10850" spans="1:7">
      <c r="A10850">
        <v>10849</v>
      </c>
      <c r="B10850" t="str">
        <f>"009870"</f>
        <v>0</v>
      </c>
      <c r="C10850" t="s">
        <v>9970</v>
      </c>
      <c r="D10850" t="s">
        <v>16204</v>
      </c>
      <c r="E10850" t="str">
        <f>"3411900510309"</f>
        <v>0</v>
      </c>
      <c r="F10850" t="str">
        <f>"001900"</f>
        <v>0</v>
      </c>
      <c r="G10850" t="s">
        <v>21</v>
      </c>
    </row>
    <row r="10851" spans="1:7">
      <c r="A10851">
        <v>10850</v>
      </c>
      <c r="B10851" t="str">
        <f>"009921"</f>
        <v>0</v>
      </c>
      <c r="C10851" t="s">
        <v>590</v>
      </c>
      <c r="D10851" t="s">
        <v>10159</v>
      </c>
      <c r="E10851" t="str">
        <f>"3411200762755"</f>
        <v>0</v>
      </c>
      <c r="F10851" t="str">
        <f>"001900"</f>
        <v>0</v>
      </c>
      <c r="G10851" t="s">
        <v>21</v>
      </c>
    </row>
    <row r="10852" spans="1:7">
      <c r="A10852">
        <v>10851</v>
      </c>
      <c r="B10852" t="str">
        <f>"010339"</f>
        <v>0</v>
      </c>
      <c r="C10852" t="s">
        <v>16205</v>
      </c>
      <c r="D10852" t="s">
        <v>16206</v>
      </c>
      <c r="E10852" t="str">
        <f>"5410190041142"</f>
        <v>0</v>
      </c>
      <c r="F10852" t="str">
        <f>"001900"</f>
        <v>0</v>
      </c>
      <c r="G10852" t="s">
        <v>21</v>
      </c>
    </row>
    <row r="10853" spans="1:7">
      <c r="A10853">
        <v>10852</v>
      </c>
      <c r="B10853" t="str">
        <f>"010342"</f>
        <v>0</v>
      </c>
      <c r="C10853" t="s">
        <v>16207</v>
      </c>
      <c r="D10853" t="s">
        <v>16208</v>
      </c>
      <c r="E10853" t="str">
        <f>"3411100482238"</f>
        <v>0</v>
      </c>
      <c r="F10853" t="str">
        <f>"001900"</f>
        <v>0</v>
      </c>
      <c r="G10853" t="s">
        <v>21</v>
      </c>
    </row>
    <row r="10854" spans="1:7">
      <c r="A10854">
        <v>10853</v>
      </c>
      <c r="B10854" t="str">
        <f>"010343"</f>
        <v>0</v>
      </c>
      <c r="C10854" t="s">
        <v>6323</v>
      </c>
      <c r="D10854" t="s">
        <v>16209</v>
      </c>
      <c r="E10854" t="str">
        <f>"3300700086881"</f>
        <v>0</v>
      </c>
      <c r="F10854" t="str">
        <f>"001900"</f>
        <v>0</v>
      </c>
      <c r="G10854" t="s">
        <v>21</v>
      </c>
    </row>
    <row r="10855" spans="1:7">
      <c r="A10855">
        <v>10854</v>
      </c>
      <c r="B10855" t="str">
        <f>"010437"</f>
        <v>0</v>
      </c>
      <c r="C10855" t="s">
        <v>5135</v>
      </c>
      <c r="D10855" t="s">
        <v>16210</v>
      </c>
      <c r="E10855" t="str">
        <f>"3411000048943"</f>
        <v>0</v>
      </c>
      <c r="F10855" t="str">
        <f>"001900"</f>
        <v>0</v>
      </c>
      <c r="G10855" t="s">
        <v>21</v>
      </c>
    </row>
    <row r="10856" spans="1:7">
      <c r="A10856">
        <v>10855</v>
      </c>
      <c r="B10856" t="str">
        <f>"010504"</f>
        <v>0</v>
      </c>
      <c r="C10856" t="s">
        <v>239</v>
      </c>
      <c r="D10856" t="s">
        <v>4244</v>
      </c>
      <c r="E10856" t="str">
        <f>"3360300069636"</f>
        <v>0</v>
      </c>
      <c r="F10856" t="str">
        <f>"001900"</f>
        <v>0</v>
      </c>
      <c r="G10856" t="s">
        <v>21</v>
      </c>
    </row>
    <row r="10857" spans="1:7">
      <c r="A10857">
        <v>10856</v>
      </c>
      <c r="B10857" t="str">
        <f>"010550"</f>
        <v>0</v>
      </c>
      <c r="C10857" t="s">
        <v>5112</v>
      </c>
      <c r="D10857" t="s">
        <v>16211</v>
      </c>
      <c r="E10857" t="str">
        <f>"3411600068431"</f>
        <v>0</v>
      </c>
      <c r="F10857" t="str">
        <f>"001900"</f>
        <v>0</v>
      </c>
      <c r="G10857" t="s">
        <v>21</v>
      </c>
    </row>
    <row r="10858" spans="1:7">
      <c r="A10858">
        <v>10857</v>
      </c>
      <c r="B10858" t="str">
        <f>"010551"</f>
        <v>0</v>
      </c>
      <c r="C10858" t="s">
        <v>4444</v>
      </c>
      <c r="D10858" t="s">
        <v>7742</v>
      </c>
      <c r="E10858" t="str">
        <f>"3411900006937"</f>
        <v>0</v>
      </c>
      <c r="F10858" t="str">
        <f>"001900"</f>
        <v>0</v>
      </c>
      <c r="G10858" t="s">
        <v>21</v>
      </c>
    </row>
    <row r="10859" spans="1:7">
      <c r="A10859">
        <v>10858</v>
      </c>
      <c r="B10859" t="str">
        <f>"010892"</f>
        <v>0</v>
      </c>
      <c r="C10859" t="s">
        <v>11710</v>
      </c>
      <c r="D10859" t="s">
        <v>16212</v>
      </c>
      <c r="E10859" t="str">
        <f>"3419900302860"</f>
        <v>0</v>
      </c>
      <c r="F10859" t="str">
        <f>"001900"</f>
        <v>0</v>
      </c>
      <c r="G10859" t="s">
        <v>21</v>
      </c>
    </row>
    <row r="10860" spans="1:7">
      <c r="A10860">
        <v>10859</v>
      </c>
      <c r="B10860" t="str">
        <f>"012449"</f>
        <v>0</v>
      </c>
      <c r="C10860" t="s">
        <v>6305</v>
      </c>
      <c r="D10860" t="s">
        <v>16213</v>
      </c>
      <c r="E10860" t="str">
        <f>"3410400021464"</f>
        <v>0</v>
      </c>
      <c r="F10860" t="str">
        <f>"001900"</f>
        <v>0</v>
      </c>
      <c r="G10860" t="s">
        <v>21</v>
      </c>
    </row>
    <row r="10861" spans="1:7">
      <c r="A10861">
        <v>10860</v>
      </c>
      <c r="B10861" t="str">
        <f>"012563"</f>
        <v>0</v>
      </c>
      <c r="C10861" t="s">
        <v>13086</v>
      </c>
      <c r="D10861" t="s">
        <v>16214</v>
      </c>
      <c r="E10861" t="str">
        <f>"3301500859615"</f>
        <v>0</v>
      </c>
      <c r="F10861" t="str">
        <f>"001900"</f>
        <v>0</v>
      </c>
      <c r="G10861" t="s">
        <v>21</v>
      </c>
    </row>
    <row r="10862" spans="1:7">
      <c r="A10862">
        <v>10861</v>
      </c>
      <c r="B10862" t="str">
        <f>"013055"</f>
        <v>0</v>
      </c>
      <c r="C10862" t="s">
        <v>8989</v>
      </c>
      <c r="D10862" t="s">
        <v>14952</v>
      </c>
      <c r="E10862" t="str">
        <f>"3840200636038"</f>
        <v>0</v>
      </c>
      <c r="F10862" t="str">
        <f>"001900"</f>
        <v>0</v>
      </c>
      <c r="G10862" t="s">
        <v>21</v>
      </c>
    </row>
    <row r="10863" spans="1:7">
      <c r="A10863">
        <v>10862</v>
      </c>
      <c r="B10863" t="str">
        <f>"013057"</f>
        <v>0</v>
      </c>
      <c r="C10863" t="s">
        <v>15432</v>
      </c>
      <c r="D10863" t="s">
        <v>16215</v>
      </c>
      <c r="E10863" t="str">
        <f>"5310900031202"</f>
        <v>0</v>
      </c>
      <c r="F10863" t="str">
        <f>"001900"</f>
        <v>0</v>
      </c>
      <c r="G10863" t="s">
        <v>21</v>
      </c>
    </row>
    <row r="10864" spans="1:7">
      <c r="A10864">
        <v>10863</v>
      </c>
      <c r="B10864" t="str">
        <f>"013173"</f>
        <v>0</v>
      </c>
      <c r="C10864" t="s">
        <v>16216</v>
      </c>
      <c r="D10864" t="s">
        <v>16217</v>
      </c>
      <c r="E10864" t="str">
        <f>"3309800349776"</f>
        <v>0</v>
      </c>
      <c r="F10864" t="str">
        <f>"001900"</f>
        <v>0</v>
      </c>
      <c r="G10864" t="s">
        <v>21</v>
      </c>
    </row>
    <row r="10865" spans="1:7">
      <c r="A10865">
        <v>10864</v>
      </c>
      <c r="B10865" t="str">
        <f>"013766"</f>
        <v>0</v>
      </c>
      <c r="C10865" t="s">
        <v>520</v>
      </c>
      <c r="D10865" t="s">
        <v>16218</v>
      </c>
      <c r="E10865" t="str">
        <f>"3560200292650"</f>
        <v>0</v>
      </c>
      <c r="F10865" t="str">
        <f>"001900"</f>
        <v>0</v>
      </c>
      <c r="G10865" t="s">
        <v>21</v>
      </c>
    </row>
    <row r="10866" spans="1:7">
      <c r="A10866">
        <v>10865</v>
      </c>
      <c r="B10866" t="str">
        <f>"013768"</f>
        <v>0</v>
      </c>
      <c r="C10866" t="s">
        <v>16219</v>
      </c>
      <c r="D10866" t="s">
        <v>16220</v>
      </c>
      <c r="E10866" t="str">
        <f>"3440400199492"</f>
        <v>0</v>
      </c>
      <c r="F10866" t="str">
        <f>"001900"</f>
        <v>0</v>
      </c>
      <c r="G10866" t="s">
        <v>21</v>
      </c>
    </row>
    <row r="10867" spans="1:7">
      <c r="A10867">
        <v>10866</v>
      </c>
      <c r="B10867" t="str">
        <f>"014949"</f>
        <v>0</v>
      </c>
      <c r="C10867" t="s">
        <v>8939</v>
      </c>
      <c r="D10867" t="s">
        <v>16221</v>
      </c>
      <c r="E10867" t="str">
        <f>"3419900077033"</f>
        <v>0</v>
      </c>
      <c r="F10867" t="str">
        <f>"001900"</f>
        <v>0</v>
      </c>
      <c r="G10867" t="s">
        <v>21</v>
      </c>
    </row>
    <row r="10868" spans="1:7">
      <c r="A10868">
        <v>10867</v>
      </c>
      <c r="B10868" t="str">
        <f>"016367"</f>
        <v>0</v>
      </c>
      <c r="C10868" t="s">
        <v>16222</v>
      </c>
      <c r="D10868" t="s">
        <v>16223</v>
      </c>
      <c r="E10868" t="str">
        <f>"3900400020994"</f>
        <v>0</v>
      </c>
      <c r="F10868" t="str">
        <f>"001900"</f>
        <v>0</v>
      </c>
      <c r="G10868" t="s">
        <v>21</v>
      </c>
    </row>
    <row r="10869" spans="1:7">
      <c r="A10869">
        <v>10868</v>
      </c>
      <c r="B10869" t="str">
        <f>"016372"</f>
        <v>0</v>
      </c>
      <c r="C10869" t="s">
        <v>2942</v>
      </c>
      <c r="D10869" t="s">
        <v>15453</v>
      </c>
      <c r="E10869" t="str">
        <f>"3900101066771"</f>
        <v>0</v>
      </c>
      <c r="F10869" t="str">
        <f>"001900"</f>
        <v>0</v>
      </c>
      <c r="G10869" t="s">
        <v>21</v>
      </c>
    </row>
    <row r="10870" spans="1:7">
      <c r="A10870">
        <v>10869</v>
      </c>
      <c r="B10870" t="str">
        <f>"016401"</f>
        <v>0</v>
      </c>
      <c r="C10870" t="s">
        <v>447</v>
      </c>
      <c r="D10870" t="s">
        <v>16224</v>
      </c>
      <c r="E10870" t="str">
        <f>"3410101659378"</f>
        <v>0</v>
      </c>
      <c r="F10870" t="str">
        <f>"001900"</f>
        <v>0</v>
      </c>
      <c r="G10870" t="s">
        <v>21</v>
      </c>
    </row>
    <row r="10871" spans="1:7">
      <c r="A10871">
        <v>10870</v>
      </c>
      <c r="B10871" t="str">
        <f>"017816"</f>
        <v>0</v>
      </c>
      <c r="C10871" t="s">
        <v>4249</v>
      </c>
      <c r="D10871" t="s">
        <v>16221</v>
      </c>
      <c r="E10871" t="str">
        <f>"3450200825501"</f>
        <v>0</v>
      </c>
      <c r="F10871" t="str">
        <f>"001900"</f>
        <v>0</v>
      </c>
      <c r="G10871" t="s">
        <v>21</v>
      </c>
    </row>
    <row r="10872" spans="1:7">
      <c r="A10872">
        <v>10871</v>
      </c>
      <c r="B10872" t="str">
        <f>"018985"</f>
        <v>0</v>
      </c>
      <c r="C10872" t="s">
        <v>1988</v>
      </c>
      <c r="D10872" t="s">
        <v>16225</v>
      </c>
      <c r="E10872" t="str">
        <f>"3469900139390"</f>
        <v>0</v>
      </c>
      <c r="F10872" t="str">
        <f>"001900"</f>
        <v>0</v>
      </c>
      <c r="G10872" t="s">
        <v>21</v>
      </c>
    </row>
    <row r="10873" spans="1:7">
      <c r="A10873">
        <v>10872</v>
      </c>
      <c r="B10873" t="str">
        <f>"019555"</f>
        <v>0</v>
      </c>
      <c r="C10873" t="s">
        <v>16226</v>
      </c>
      <c r="D10873" t="s">
        <v>7926</v>
      </c>
      <c r="E10873" t="str">
        <f>"3411200197772"</f>
        <v>0</v>
      </c>
      <c r="F10873" t="str">
        <f>"001900"</f>
        <v>0</v>
      </c>
      <c r="G10873" t="s">
        <v>21</v>
      </c>
    </row>
    <row r="10874" spans="1:7">
      <c r="A10874">
        <v>10873</v>
      </c>
      <c r="B10874" t="str">
        <f>"021731"</f>
        <v>0</v>
      </c>
      <c r="C10874" t="s">
        <v>2607</v>
      </c>
      <c r="D10874" t="s">
        <v>5280</v>
      </c>
      <c r="E10874" t="str">
        <f>"3410100654372"</f>
        <v>0</v>
      </c>
      <c r="F10874" t="str">
        <f>"001900"</f>
        <v>0</v>
      </c>
      <c r="G10874" t="s">
        <v>21</v>
      </c>
    </row>
    <row r="10875" spans="1:7">
      <c r="A10875">
        <v>10874</v>
      </c>
      <c r="B10875" t="str">
        <f>"021803"</f>
        <v>0</v>
      </c>
      <c r="C10875" t="s">
        <v>16227</v>
      </c>
      <c r="D10875" t="s">
        <v>16228</v>
      </c>
      <c r="E10875" t="str">
        <f>"5410190024582"</f>
        <v>0</v>
      </c>
      <c r="F10875" t="str">
        <f>"001900"</f>
        <v>0</v>
      </c>
      <c r="G10875" t="s">
        <v>21</v>
      </c>
    </row>
    <row r="10876" spans="1:7">
      <c r="A10876">
        <v>10875</v>
      </c>
      <c r="B10876" t="str">
        <f>"021819"</f>
        <v>0</v>
      </c>
      <c r="C10876" t="s">
        <v>12052</v>
      </c>
      <c r="D10876" t="s">
        <v>16229</v>
      </c>
      <c r="E10876" t="str">
        <f>"3440300219335"</f>
        <v>0</v>
      </c>
      <c r="F10876" t="str">
        <f>"001900"</f>
        <v>0</v>
      </c>
      <c r="G10876" t="s">
        <v>21</v>
      </c>
    </row>
    <row r="10877" spans="1:7">
      <c r="A10877">
        <v>10876</v>
      </c>
      <c r="B10877" t="str">
        <f>"022104"</f>
        <v>0</v>
      </c>
      <c r="C10877" t="s">
        <v>1849</v>
      </c>
      <c r="D10877" t="s">
        <v>16230</v>
      </c>
      <c r="E10877" t="str">
        <f>"3410400534089"</f>
        <v>0</v>
      </c>
      <c r="F10877" t="str">
        <f>"001900"</f>
        <v>0</v>
      </c>
      <c r="G10877" t="s">
        <v>21</v>
      </c>
    </row>
    <row r="10878" spans="1:7">
      <c r="A10878">
        <v>10877</v>
      </c>
      <c r="B10878" t="str">
        <f>"023931"</f>
        <v>0</v>
      </c>
      <c r="C10878" t="s">
        <v>941</v>
      </c>
      <c r="D10878" t="s">
        <v>16231</v>
      </c>
      <c r="E10878" t="str">
        <f>"3410101872543"</f>
        <v>0</v>
      </c>
      <c r="F10878" t="str">
        <f>"001900"</f>
        <v>0</v>
      </c>
      <c r="G10878" t="s">
        <v>21</v>
      </c>
    </row>
    <row r="10879" spans="1:7">
      <c r="A10879">
        <v>10878</v>
      </c>
      <c r="B10879" t="str">
        <f>"006286"</f>
        <v>0</v>
      </c>
      <c r="C10879" t="s">
        <v>10403</v>
      </c>
      <c r="D10879" t="s">
        <v>11296</v>
      </c>
      <c r="E10879" t="str">
        <f>"3410400722373"</f>
        <v>0</v>
      </c>
      <c r="F10879" t="str">
        <f>"001900"</f>
        <v>0</v>
      </c>
      <c r="G10879" t="s">
        <v>21</v>
      </c>
    </row>
    <row r="10880" spans="1:7">
      <c r="A10880">
        <v>10879</v>
      </c>
      <c r="B10880" t="str">
        <f>"023653"</f>
        <v>0</v>
      </c>
      <c r="C10880" t="s">
        <v>1190</v>
      </c>
      <c r="D10880" t="s">
        <v>16232</v>
      </c>
      <c r="E10880" t="str">
        <f>"3410500283193"</f>
        <v>0</v>
      </c>
      <c r="F10880" t="str">
        <f>"001900"</f>
        <v>0</v>
      </c>
      <c r="G10880" t="s">
        <v>21</v>
      </c>
    </row>
    <row r="10881" spans="1:7">
      <c r="A10881">
        <v>10880</v>
      </c>
      <c r="B10881" t="str">
        <f>"007702"</f>
        <v>0</v>
      </c>
      <c r="C10881" t="s">
        <v>3303</v>
      </c>
      <c r="D10881" t="s">
        <v>16233</v>
      </c>
      <c r="E10881" t="str">
        <f>"3410100281622"</f>
        <v>0</v>
      </c>
      <c r="F10881" t="str">
        <f>"001900"</f>
        <v>0</v>
      </c>
      <c r="G10881" t="s">
        <v>21</v>
      </c>
    </row>
    <row r="10882" spans="1:7">
      <c r="A10882">
        <v>10881</v>
      </c>
      <c r="B10882" t="str">
        <f>"021213"</f>
        <v>0</v>
      </c>
      <c r="C10882" t="s">
        <v>12170</v>
      </c>
      <c r="D10882" t="s">
        <v>16234</v>
      </c>
      <c r="E10882" t="str">
        <f>"3410101301252"</f>
        <v>0</v>
      </c>
      <c r="F10882" t="str">
        <f>"001900"</f>
        <v>0</v>
      </c>
      <c r="G10882" t="s">
        <v>21</v>
      </c>
    </row>
    <row r="10883" spans="1:7">
      <c r="A10883">
        <v>10882</v>
      </c>
      <c r="B10883" t="str">
        <f>"007703"</f>
        <v>0</v>
      </c>
      <c r="C10883" t="s">
        <v>16235</v>
      </c>
      <c r="D10883" t="s">
        <v>16236</v>
      </c>
      <c r="E10883" t="str">
        <f>"3100504002710"</f>
        <v>0</v>
      </c>
      <c r="F10883" t="str">
        <f>"001900"</f>
        <v>0</v>
      </c>
      <c r="G10883" t="s">
        <v>21</v>
      </c>
    </row>
    <row r="10884" spans="1:7">
      <c r="A10884">
        <v>10883</v>
      </c>
      <c r="B10884" t="str">
        <f>"023903"</f>
        <v>0</v>
      </c>
      <c r="C10884" t="s">
        <v>16237</v>
      </c>
      <c r="D10884" t="s">
        <v>16238</v>
      </c>
      <c r="E10884" t="str">
        <f>"1101500063930"</f>
        <v>0</v>
      </c>
      <c r="F10884" t="str">
        <f>"001900"</f>
        <v>0</v>
      </c>
      <c r="G10884" t="s">
        <v>21</v>
      </c>
    </row>
    <row r="10885" spans="1:7">
      <c r="A10885">
        <v>10884</v>
      </c>
      <c r="B10885" t="str">
        <f>"022528"</f>
        <v>0</v>
      </c>
      <c r="C10885" t="s">
        <v>2103</v>
      </c>
      <c r="D10885" t="s">
        <v>16239</v>
      </c>
      <c r="E10885" t="str">
        <f>"3410102239569"</f>
        <v>0</v>
      </c>
      <c r="F10885" t="str">
        <f>"001900"</f>
        <v>0</v>
      </c>
      <c r="G10885" t="s">
        <v>21</v>
      </c>
    </row>
    <row r="10886" spans="1:7">
      <c r="A10886">
        <v>10885</v>
      </c>
      <c r="B10886" t="str">
        <f>"026835"</f>
        <v>0</v>
      </c>
      <c r="C10886" t="s">
        <v>4903</v>
      </c>
      <c r="D10886" t="s">
        <v>16240</v>
      </c>
      <c r="E10886" t="str">
        <f>"1501100087404"</f>
        <v>0</v>
      </c>
      <c r="F10886" t="str">
        <f>"001900"</f>
        <v>0</v>
      </c>
      <c r="G10886" t="s">
        <v>21</v>
      </c>
    </row>
    <row r="10887" spans="1:7">
      <c r="A10887">
        <v>10886</v>
      </c>
      <c r="B10887" t="str">
        <f>"026945"</f>
        <v>0</v>
      </c>
      <c r="C10887" t="s">
        <v>10731</v>
      </c>
      <c r="D10887" t="s">
        <v>16241</v>
      </c>
      <c r="E10887" t="str">
        <f>"1560300031118"</f>
        <v>0</v>
      </c>
      <c r="F10887" t="str">
        <f>"001900"</f>
        <v>0</v>
      </c>
      <c r="G10887" t="s">
        <v>21</v>
      </c>
    </row>
    <row r="10888" spans="1:7">
      <c r="A10888">
        <v>10887</v>
      </c>
      <c r="B10888" t="str">
        <f>"027263"</f>
        <v>0</v>
      </c>
      <c r="C10888" t="s">
        <v>12670</v>
      </c>
      <c r="D10888" t="s">
        <v>16242</v>
      </c>
      <c r="E10888" t="str">
        <f>"1219800145741"</f>
        <v>0</v>
      </c>
      <c r="F10888" t="str">
        <f>"001900"</f>
        <v>0</v>
      </c>
      <c r="G10888" t="s">
        <v>21</v>
      </c>
    </row>
    <row r="10889" spans="1:7">
      <c r="A10889">
        <v>10888</v>
      </c>
      <c r="B10889" t="str">
        <f>"026939"</f>
        <v>0</v>
      </c>
      <c r="C10889" t="s">
        <v>16243</v>
      </c>
      <c r="D10889" t="s">
        <v>16244</v>
      </c>
      <c r="E10889" t="str">
        <f>"1100800856667"</f>
        <v>0</v>
      </c>
      <c r="F10889" t="str">
        <f>"001900"</f>
        <v>0</v>
      </c>
      <c r="G10889" t="s">
        <v>21</v>
      </c>
    </row>
    <row r="10890" spans="1:7">
      <c r="A10890">
        <v>10889</v>
      </c>
      <c r="B10890" t="str">
        <f>"026443"</f>
        <v>0</v>
      </c>
      <c r="C10890" t="s">
        <v>16245</v>
      </c>
      <c r="D10890" t="s">
        <v>16246</v>
      </c>
      <c r="E10890" t="str">
        <f>"1100500603313"</f>
        <v>0</v>
      </c>
      <c r="F10890" t="str">
        <f>"001900"</f>
        <v>0</v>
      </c>
      <c r="G10890" t="s">
        <v>21</v>
      </c>
    </row>
    <row r="10891" spans="1:7">
      <c r="A10891">
        <v>10890</v>
      </c>
      <c r="B10891" t="str">
        <f>"027262"</f>
        <v>0</v>
      </c>
      <c r="C10891" t="s">
        <v>16247</v>
      </c>
      <c r="D10891" t="s">
        <v>9459</v>
      </c>
      <c r="E10891" t="str">
        <f>"1149900133479"</f>
        <v>0</v>
      </c>
      <c r="F10891" t="str">
        <f>"001900"</f>
        <v>0</v>
      </c>
      <c r="G10891" t="s">
        <v>21</v>
      </c>
    </row>
    <row r="10892" spans="1:7">
      <c r="A10892">
        <v>10891</v>
      </c>
      <c r="B10892" t="str">
        <f>"027260"</f>
        <v>0</v>
      </c>
      <c r="C10892" t="s">
        <v>16248</v>
      </c>
      <c r="D10892" t="s">
        <v>7960</v>
      </c>
      <c r="E10892" t="str">
        <f>"1340500016289"</f>
        <v>0</v>
      </c>
      <c r="F10892" t="str">
        <f>"001900"</f>
        <v>0</v>
      </c>
      <c r="G10892" t="s">
        <v>21</v>
      </c>
    </row>
    <row r="10893" spans="1:7">
      <c r="A10893">
        <v>10892</v>
      </c>
      <c r="B10893" t="str">
        <f>"010340"</f>
        <v>0</v>
      </c>
      <c r="C10893" t="s">
        <v>2216</v>
      </c>
      <c r="D10893" t="s">
        <v>16249</v>
      </c>
      <c r="E10893" t="str">
        <f>"3411900501873"</f>
        <v>0</v>
      </c>
      <c r="F10893" t="str">
        <f>"001900"</f>
        <v>0</v>
      </c>
      <c r="G10893" t="s">
        <v>21</v>
      </c>
    </row>
    <row r="10894" spans="1:7">
      <c r="A10894">
        <v>10893</v>
      </c>
      <c r="B10894" t="str">
        <f>"026938"</f>
        <v>0</v>
      </c>
      <c r="C10894" t="s">
        <v>2200</v>
      </c>
      <c r="D10894" t="s">
        <v>16250</v>
      </c>
      <c r="E10894" t="str">
        <f>"1301300138489"</f>
        <v>0</v>
      </c>
      <c r="F10894" t="str">
        <f>"001900"</f>
        <v>0</v>
      </c>
      <c r="G10894" t="s">
        <v>21</v>
      </c>
    </row>
    <row r="10895" spans="1:7">
      <c r="A10895">
        <v>10894</v>
      </c>
      <c r="B10895" t="str">
        <f>"024874"</f>
        <v>0</v>
      </c>
      <c r="C10895" t="s">
        <v>16251</v>
      </c>
      <c r="D10895" t="s">
        <v>16252</v>
      </c>
      <c r="E10895" t="str">
        <f>"3310800371510"</f>
        <v>0</v>
      </c>
      <c r="F10895" t="str">
        <f>"001900"</f>
        <v>0</v>
      </c>
      <c r="G10895" t="s">
        <v>21</v>
      </c>
    </row>
    <row r="10896" spans="1:7">
      <c r="A10896">
        <v>10895</v>
      </c>
      <c r="B10896" t="str">
        <f>"027011"</f>
        <v>0</v>
      </c>
      <c r="C10896" t="s">
        <v>2994</v>
      </c>
      <c r="D10896" t="s">
        <v>16253</v>
      </c>
      <c r="E10896" t="str">
        <f>"1340500223152"</f>
        <v>0</v>
      </c>
      <c r="F10896" t="str">
        <f>"001900"</f>
        <v>0</v>
      </c>
      <c r="G10896" t="s">
        <v>21</v>
      </c>
    </row>
    <row r="10897" spans="1:7">
      <c r="A10897">
        <v>10896</v>
      </c>
      <c r="B10897" t="str">
        <f>"025488"</f>
        <v>0</v>
      </c>
      <c r="C10897" t="s">
        <v>16254</v>
      </c>
      <c r="D10897" t="s">
        <v>5796</v>
      </c>
      <c r="E10897" t="str">
        <f>"1361300019935"</f>
        <v>0</v>
      </c>
      <c r="F10897" t="str">
        <f>"001900"</f>
        <v>0</v>
      </c>
      <c r="G10897" t="s">
        <v>21</v>
      </c>
    </row>
    <row r="10898" spans="1:7">
      <c r="A10898">
        <v>10897</v>
      </c>
      <c r="B10898" t="str">
        <f>"023891"</f>
        <v>0</v>
      </c>
      <c r="C10898" t="s">
        <v>8078</v>
      </c>
      <c r="D10898" t="s">
        <v>16255</v>
      </c>
      <c r="E10898" t="str">
        <f>"3411300479257"</f>
        <v>0</v>
      </c>
      <c r="F10898" t="str">
        <f>"001900"</f>
        <v>0</v>
      </c>
      <c r="G10898" t="s">
        <v>21</v>
      </c>
    </row>
    <row r="10899" spans="1:7">
      <c r="A10899">
        <v>10898</v>
      </c>
      <c r="B10899" t="str">
        <f>"025610"</f>
        <v>0</v>
      </c>
      <c r="C10899" t="s">
        <v>16256</v>
      </c>
      <c r="D10899" t="s">
        <v>16257</v>
      </c>
      <c r="E10899" t="str">
        <f>"1411300007235"</f>
        <v>0</v>
      </c>
      <c r="F10899" t="str">
        <f>"001900"</f>
        <v>0</v>
      </c>
      <c r="G10899" t="s">
        <v>21</v>
      </c>
    </row>
    <row r="10900" spans="1:7">
      <c r="A10900">
        <v>10899</v>
      </c>
      <c r="B10900" t="str">
        <f>"013448"</f>
        <v>0</v>
      </c>
      <c r="C10900" t="s">
        <v>3040</v>
      </c>
      <c r="D10900" t="s">
        <v>16258</v>
      </c>
      <c r="E10900" t="str">
        <f>"3430200027370"</f>
        <v>0</v>
      </c>
      <c r="F10900" t="str">
        <f>"001900"</f>
        <v>0</v>
      </c>
      <c r="G10900" t="s">
        <v>21</v>
      </c>
    </row>
    <row r="10901" spans="1:7">
      <c r="A10901">
        <v>10900</v>
      </c>
      <c r="B10901" t="str">
        <f>"023672"</f>
        <v>0</v>
      </c>
      <c r="C10901" t="s">
        <v>8309</v>
      </c>
      <c r="D10901" t="s">
        <v>16259</v>
      </c>
      <c r="E10901" t="str">
        <f>"3410102415961"</f>
        <v>0</v>
      </c>
      <c r="F10901" t="str">
        <f>"001900"</f>
        <v>0</v>
      </c>
      <c r="G10901" t="s">
        <v>21</v>
      </c>
    </row>
    <row r="10902" spans="1:7">
      <c r="A10902">
        <v>10901</v>
      </c>
      <c r="B10902" t="str">
        <f>"024868"</f>
        <v>0</v>
      </c>
      <c r="C10902" t="s">
        <v>16260</v>
      </c>
      <c r="D10902" t="s">
        <v>16261</v>
      </c>
      <c r="E10902" t="str">
        <f>"3400800145837"</f>
        <v>0</v>
      </c>
      <c r="F10902" t="str">
        <f>"001900"</f>
        <v>0</v>
      </c>
      <c r="G10902" t="s">
        <v>21</v>
      </c>
    </row>
    <row r="10903" spans="1:7">
      <c r="A10903">
        <v>10902</v>
      </c>
      <c r="B10903" t="str">
        <f>"025358"</f>
        <v>0</v>
      </c>
      <c r="C10903" t="s">
        <v>16262</v>
      </c>
      <c r="D10903" t="s">
        <v>16263</v>
      </c>
      <c r="E10903" t="str">
        <f>"1401000014015"</f>
        <v>0</v>
      </c>
      <c r="F10903" t="str">
        <f>"001900"</f>
        <v>0</v>
      </c>
      <c r="G10903" t="s">
        <v>21</v>
      </c>
    </row>
    <row r="10904" spans="1:7">
      <c r="A10904">
        <v>10903</v>
      </c>
      <c r="B10904" t="str">
        <f>"025685"</f>
        <v>0</v>
      </c>
      <c r="C10904" t="s">
        <v>16264</v>
      </c>
      <c r="D10904" t="s">
        <v>16265</v>
      </c>
      <c r="E10904" t="str">
        <f>"1101999003851"</f>
        <v>0</v>
      </c>
      <c r="F10904" t="str">
        <f>"001900"</f>
        <v>0</v>
      </c>
      <c r="G10904" t="s">
        <v>21</v>
      </c>
    </row>
    <row r="10905" spans="1:7">
      <c r="A10905">
        <v>10904</v>
      </c>
      <c r="B10905" t="str">
        <f>"026262"</f>
        <v>0</v>
      </c>
      <c r="C10905" t="s">
        <v>16266</v>
      </c>
      <c r="D10905" t="s">
        <v>16267</v>
      </c>
      <c r="E10905" t="str">
        <f>"1309900088706"</f>
        <v>0</v>
      </c>
      <c r="F10905" t="str">
        <f>"001900"</f>
        <v>0</v>
      </c>
      <c r="G10905" t="s">
        <v>21</v>
      </c>
    </row>
    <row r="10906" spans="1:7">
      <c r="A10906">
        <v>10905</v>
      </c>
      <c r="B10906" t="str">
        <f>"026446"</f>
        <v>0</v>
      </c>
      <c r="C10906" t="s">
        <v>12882</v>
      </c>
      <c r="D10906" t="s">
        <v>16268</v>
      </c>
      <c r="E10906" t="str">
        <f>"1101400404671"</f>
        <v>0</v>
      </c>
      <c r="F10906" t="str">
        <f>"001900"</f>
        <v>0</v>
      </c>
      <c r="G10906" t="s">
        <v>21</v>
      </c>
    </row>
    <row r="10907" spans="1:7">
      <c r="A10907">
        <v>10906</v>
      </c>
      <c r="B10907" t="str">
        <f>"026450"</f>
        <v>0</v>
      </c>
      <c r="C10907" t="s">
        <v>16269</v>
      </c>
      <c r="D10907" t="s">
        <v>13555</v>
      </c>
      <c r="E10907" t="str">
        <f>"1409900541108"</f>
        <v>0</v>
      </c>
      <c r="F10907" t="str">
        <f>"001900"</f>
        <v>0</v>
      </c>
      <c r="G10907" t="s">
        <v>21</v>
      </c>
    </row>
    <row r="10908" spans="1:7">
      <c r="A10908">
        <v>10907</v>
      </c>
      <c r="B10908" t="str">
        <f>"026947"</f>
        <v>0</v>
      </c>
      <c r="C10908" t="s">
        <v>1244</v>
      </c>
      <c r="D10908" t="s">
        <v>16270</v>
      </c>
      <c r="E10908" t="str">
        <f>"1319900141607"</f>
        <v>0</v>
      </c>
      <c r="F10908" t="str">
        <f>"001900"</f>
        <v>0</v>
      </c>
      <c r="G10908" t="s">
        <v>21</v>
      </c>
    </row>
    <row r="10909" spans="1:7">
      <c r="A10909">
        <v>10908</v>
      </c>
      <c r="B10909" t="str">
        <f>"027446"</f>
        <v>0</v>
      </c>
      <c r="C10909" t="s">
        <v>8983</v>
      </c>
      <c r="D10909" t="s">
        <v>16271</v>
      </c>
      <c r="E10909" t="str">
        <f>"1400800006644"</f>
        <v>0</v>
      </c>
      <c r="F10909" t="str">
        <f>"001900"</f>
        <v>0</v>
      </c>
      <c r="G10909" t="s">
        <v>21</v>
      </c>
    </row>
    <row r="10910" spans="1:7">
      <c r="A10910">
        <v>10909</v>
      </c>
      <c r="B10910" t="str">
        <f>"008972"</f>
        <v>0</v>
      </c>
      <c r="C10910" t="s">
        <v>2894</v>
      </c>
      <c r="D10910" t="s">
        <v>16272</v>
      </c>
      <c r="E10910" t="str">
        <f>"3510101145829"</f>
        <v>0</v>
      </c>
      <c r="F10910" t="str">
        <f>"001900"</f>
        <v>0</v>
      </c>
      <c r="G10910" t="s">
        <v>21</v>
      </c>
    </row>
    <row r="10911" spans="1:7">
      <c r="A10911">
        <v>10910</v>
      </c>
      <c r="B10911" t="str">
        <f>"008981"</f>
        <v>0</v>
      </c>
      <c r="C10911" t="s">
        <v>16273</v>
      </c>
      <c r="D10911" t="s">
        <v>16274</v>
      </c>
      <c r="E10911" t="str">
        <f>"3410500162019"</f>
        <v>0</v>
      </c>
      <c r="F10911" t="str">
        <f>"001900"</f>
        <v>0</v>
      </c>
      <c r="G10911" t="s">
        <v>21</v>
      </c>
    </row>
    <row r="10912" spans="1:7">
      <c r="A10912">
        <v>10911</v>
      </c>
      <c r="B10912" t="str">
        <f>"008985"</f>
        <v>0</v>
      </c>
      <c r="C10912" t="s">
        <v>1162</v>
      </c>
      <c r="D10912" t="s">
        <v>16275</v>
      </c>
      <c r="E10912" t="str">
        <f>"3411900026211"</f>
        <v>0</v>
      </c>
      <c r="F10912" t="str">
        <f>"001900"</f>
        <v>0</v>
      </c>
      <c r="G10912" t="s">
        <v>21</v>
      </c>
    </row>
    <row r="10913" spans="1:7">
      <c r="A10913">
        <v>10912</v>
      </c>
      <c r="B10913" t="str">
        <f>"009124"</f>
        <v>0</v>
      </c>
      <c r="C10913" t="s">
        <v>16276</v>
      </c>
      <c r="D10913" t="s">
        <v>16277</v>
      </c>
      <c r="E10913" t="str">
        <f>"3411900500001"</f>
        <v>0</v>
      </c>
      <c r="F10913" t="str">
        <f>"001900"</f>
        <v>0</v>
      </c>
      <c r="G10913" t="s">
        <v>21</v>
      </c>
    </row>
    <row r="10914" spans="1:7">
      <c r="A10914">
        <v>10913</v>
      </c>
      <c r="B10914" t="str">
        <f>"009532"</f>
        <v>0</v>
      </c>
      <c r="C10914" t="s">
        <v>16278</v>
      </c>
      <c r="D10914" t="s">
        <v>16279</v>
      </c>
      <c r="E10914" t="str">
        <f>"3410400511909"</f>
        <v>0</v>
      </c>
      <c r="F10914" t="str">
        <f>"001900"</f>
        <v>0</v>
      </c>
      <c r="G10914" t="s">
        <v>21</v>
      </c>
    </row>
    <row r="10915" spans="1:7">
      <c r="A10915">
        <v>10914</v>
      </c>
      <c r="B10915" t="str">
        <f>"009576"</f>
        <v>0</v>
      </c>
      <c r="C10915" t="s">
        <v>8062</v>
      </c>
      <c r="D10915" t="s">
        <v>1133</v>
      </c>
      <c r="E10915" t="str">
        <f>"5411990006725"</f>
        <v>0</v>
      </c>
      <c r="F10915" t="str">
        <f>"001900"</f>
        <v>0</v>
      </c>
      <c r="G10915" t="s">
        <v>21</v>
      </c>
    </row>
    <row r="10916" spans="1:7">
      <c r="A10916">
        <v>10915</v>
      </c>
      <c r="B10916" t="str">
        <f>"009869"</f>
        <v>0</v>
      </c>
      <c r="C10916" t="s">
        <v>1356</v>
      </c>
      <c r="D10916" t="s">
        <v>16280</v>
      </c>
      <c r="E10916" t="str">
        <f>"3410101902485"</f>
        <v>0</v>
      </c>
      <c r="F10916" t="str">
        <f>"001900"</f>
        <v>0</v>
      </c>
      <c r="G10916" t="s">
        <v>21</v>
      </c>
    </row>
    <row r="10917" spans="1:7">
      <c r="A10917">
        <v>10916</v>
      </c>
      <c r="B10917" t="str">
        <f>"010161"</f>
        <v>0</v>
      </c>
      <c r="C10917" t="s">
        <v>13414</v>
      </c>
      <c r="D10917" t="s">
        <v>16281</v>
      </c>
      <c r="E10917" t="str">
        <f>"3410300014890"</f>
        <v>0</v>
      </c>
      <c r="F10917" t="str">
        <f>"001900"</f>
        <v>0</v>
      </c>
      <c r="G10917" t="s">
        <v>21</v>
      </c>
    </row>
    <row r="10918" spans="1:7">
      <c r="A10918">
        <v>10917</v>
      </c>
      <c r="B10918" t="str">
        <f>"010334"</f>
        <v>0</v>
      </c>
      <c r="C10918" t="s">
        <v>4969</v>
      </c>
      <c r="D10918" t="s">
        <v>16282</v>
      </c>
      <c r="E10918" t="str">
        <f>"3519900044550"</f>
        <v>0</v>
      </c>
      <c r="F10918" t="str">
        <f>"001900"</f>
        <v>0</v>
      </c>
      <c r="G10918" t="s">
        <v>21</v>
      </c>
    </row>
    <row r="10919" spans="1:7">
      <c r="A10919">
        <v>10918</v>
      </c>
      <c r="B10919" t="str">
        <f>"010500"</f>
        <v>0</v>
      </c>
      <c r="C10919" t="s">
        <v>13766</v>
      </c>
      <c r="D10919" t="s">
        <v>16283</v>
      </c>
      <c r="E10919" t="str">
        <f>"3411400918511"</f>
        <v>0</v>
      </c>
      <c r="F10919" t="str">
        <f>"001900"</f>
        <v>0</v>
      </c>
      <c r="G10919" t="s">
        <v>21</v>
      </c>
    </row>
    <row r="10920" spans="1:7">
      <c r="A10920">
        <v>10919</v>
      </c>
      <c r="B10920" t="str">
        <f>"010503"</f>
        <v>0</v>
      </c>
      <c r="C10920" t="s">
        <v>215</v>
      </c>
      <c r="D10920" t="s">
        <v>16284</v>
      </c>
      <c r="E10920" t="str">
        <f>"3360300139626"</f>
        <v>0</v>
      </c>
      <c r="F10920" t="str">
        <f>"001900"</f>
        <v>0</v>
      </c>
      <c r="G10920" t="s">
        <v>21</v>
      </c>
    </row>
    <row r="10921" spans="1:7">
      <c r="A10921">
        <v>10920</v>
      </c>
      <c r="B10921" t="str">
        <f>"011296"</f>
        <v>0</v>
      </c>
      <c r="C10921" t="s">
        <v>470</v>
      </c>
      <c r="D10921" t="s">
        <v>16285</v>
      </c>
      <c r="E10921" t="str">
        <f>"3412100075820"</f>
        <v>0</v>
      </c>
      <c r="F10921" t="str">
        <f>"001900"</f>
        <v>0</v>
      </c>
      <c r="G10921" t="s">
        <v>21</v>
      </c>
    </row>
    <row r="10922" spans="1:7">
      <c r="A10922">
        <v>10921</v>
      </c>
      <c r="B10922" t="str">
        <f>"012027"</f>
        <v>0</v>
      </c>
      <c r="C10922" t="s">
        <v>16286</v>
      </c>
      <c r="D10922" t="s">
        <v>16287</v>
      </c>
      <c r="E10922" t="str">
        <f>"3411700011015"</f>
        <v>0</v>
      </c>
      <c r="F10922" t="str">
        <f>"001900"</f>
        <v>0</v>
      </c>
      <c r="G10922" t="s">
        <v>21</v>
      </c>
    </row>
    <row r="10923" spans="1:7">
      <c r="A10923">
        <v>10922</v>
      </c>
      <c r="B10923" t="str">
        <f>"012096"</f>
        <v>0</v>
      </c>
      <c r="C10923" t="s">
        <v>2911</v>
      </c>
      <c r="D10923" t="s">
        <v>16288</v>
      </c>
      <c r="E10923" t="str">
        <f>"3401700584333"</f>
        <v>0</v>
      </c>
      <c r="F10923" t="str">
        <f>"001900"</f>
        <v>0</v>
      </c>
      <c r="G10923" t="s">
        <v>21</v>
      </c>
    </row>
    <row r="10924" spans="1:7">
      <c r="A10924">
        <v>10923</v>
      </c>
      <c r="B10924" t="str">
        <f>"012450"</f>
        <v>0</v>
      </c>
      <c r="C10924" t="s">
        <v>352</v>
      </c>
      <c r="D10924" t="s">
        <v>16289</v>
      </c>
      <c r="E10924" t="str">
        <f>"3500500538093"</f>
        <v>0</v>
      </c>
      <c r="F10924" t="str">
        <f>"001900"</f>
        <v>0</v>
      </c>
      <c r="G10924" t="s">
        <v>21</v>
      </c>
    </row>
    <row r="10925" spans="1:7">
      <c r="A10925">
        <v>10924</v>
      </c>
      <c r="B10925" t="str">
        <f>"012454"</f>
        <v>0</v>
      </c>
      <c r="C10925" t="s">
        <v>659</v>
      </c>
      <c r="D10925" t="s">
        <v>5438</v>
      </c>
      <c r="E10925" t="str">
        <f>"5410490001383"</f>
        <v>0</v>
      </c>
      <c r="F10925" t="str">
        <f>"001900"</f>
        <v>0</v>
      </c>
      <c r="G10925" t="s">
        <v>21</v>
      </c>
    </row>
    <row r="10926" spans="1:7">
      <c r="A10926">
        <v>10925</v>
      </c>
      <c r="B10926" t="str">
        <f>"012548"</f>
        <v>0</v>
      </c>
      <c r="C10926" t="s">
        <v>16290</v>
      </c>
      <c r="D10926" t="s">
        <v>16291</v>
      </c>
      <c r="E10926" t="str">
        <f>"3401100009699"</f>
        <v>0</v>
      </c>
      <c r="F10926" t="str">
        <f>"001900"</f>
        <v>0</v>
      </c>
      <c r="G10926" t="s">
        <v>21</v>
      </c>
    </row>
    <row r="10927" spans="1:7">
      <c r="A10927">
        <v>10926</v>
      </c>
      <c r="B10927" t="str">
        <f>"013237"</f>
        <v>0</v>
      </c>
      <c r="C10927" t="s">
        <v>46</v>
      </c>
      <c r="D10927" t="s">
        <v>1999</v>
      </c>
      <c r="E10927" t="str">
        <f>"3550600109305"</f>
        <v>0</v>
      </c>
      <c r="F10927" t="str">
        <f>"001900"</f>
        <v>0</v>
      </c>
      <c r="G10927" t="s">
        <v>21</v>
      </c>
    </row>
    <row r="10928" spans="1:7">
      <c r="A10928">
        <v>10927</v>
      </c>
      <c r="B10928" t="str">
        <f>"013238"</f>
        <v>0</v>
      </c>
      <c r="C10928" t="s">
        <v>2014</v>
      </c>
      <c r="D10928" t="s">
        <v>10177</v>
      </c>
      <c r="E10928" t="str">
        <f>"3550600307093"</f>
        <v>0</v>
      </c>
      <c r="F10928" t="str">
        <f>"001900"</f>
        <v>0</v>
      </c>
      <c r="G10928" t="s">
        <v>21</v>
      </c>
    </row>
    <row r="10929" spans="1:7">
      <c r="A10929">
        <v>10928</v>
      </c>
      <c r="B10929" t="str">
        <f>"013283"</f>
        <v>0</v>
      </c>
      <c r="C10929" t="s">
        <v>2447</v>
      </c>
      <c r="D10929" t="s">
        <v>16292</v>
      </c>
      <c r="E10929" t="str">
        <f>"3411700821688"</f>
        <v>0</v>
      </c>
      <c r="F10929" t="str">
        <f>"001900"</f>
        <v>0</v>
      </c>
      <c r="G10929" t="s">
        <v>21</v>
      </c>
    </row>
    <row r="10930" spans="1:7">
      <c r="A10930">
        <v>10929</v>
      </c>
      <c r="B10930" t="str">
        <f>"013405"</f>
        <v>0</v>
      </c>
      <c r="C10930" t="s">
        <v>789</v>
      </c>
      <c r="D10930" t="s">
        <v>15303</v>
      </c>
      <c r="E10930" t="str">
        <f>"3180500611291"</f>
        <v>0</v>
      </c>
      <c r="F10930" t="str">
        <f>"001900"</f>
        <v>0</v>
      </c>
      <c r="G10930" t="s">
        <v>21</v>
      </c>
    </row>
    <row r="10931" spans="1:7">
      <c r="A10931">
        <v>10930</v>
      </c>
      <c r="B10931" t="str">
        <f>"013442"</f>
        <v>0</v>
      </c>
      <c r="C10931" t="s">
        <v>16293</v>
      </c>
      <c r="D10931" t="s">
        <v>14952</v>
      </c>
      <c r="E10931" t="str">
        <f>"3501200300505"</f>
        <v>0</v>
      </c>
      <c r="F10931" t="str">
        <f>"001900"</f>
        <v>0</v>
      </c>
      <c r="G10931" t="s">
        <v>21</v>
      </c>
    </row>
    <row r="10932" spans="1:7">
      <c r="A10932">
        <v>10931</v>
      </c>
      <c r="B10932" t="str">
        <f>"013618"</f>
        <v>0</v>
      </c>
      <c r="C10932" t="s">
        <v>16294</v>
      </c>
      <c r="D10932" t="s">
        <v>16295</v>
      </c>
      <c r="E10932" t="str">
        <f>"3411700080505"</f>
        <v>0</v>
      </c>
      <c r="F10932" t="str">
        <f>"001900"</f>
        <v>0</v>
      </c>
      <c r="G10932" t="s">
        <v>21</v>
      </c>
    </row>
    <row r="10933" spans="1:7">
      <c r="A10933">
        <v>10932</v>
      </c>
      <c r="B10933" t="str">
        <f>"013652"</f>
        <v>0</v>
      </c>
      <c r="C10933" t="s">
        <v>239</v>
      </c>
      <c r="D10933" t="s">
        <v>16296</v>
      </c>
      <c r="E10933" t="str">
        <f>"3501300040734"</f>
        <v>0</v>
      </c>
      <c r="F10933" t="str">
        <f>"001900"</f>
        <v>0</v>
      </c>
      <c r="G10933" t="s">
        <v>21</v>
      </c>
    </row>
    <row r="10934" spans="1:7">
      <c r="A10934">
        <v>10933</v>
      </c>
      <c r="B10934" t="str">
        <f>"014065"</f>
        <v>0</v>
      </c>
      <c r="C10934" t="s">
        <v>16297</v>
      </c>
      <c r="D10934" t="s">
        <v>716</v>
      </c>
      <c r="E10934" t="str">
        <f>"3419900184298"</f>
        <v>0</v>
      </c>
      <c r="F10934" t="str">
        <f>"001900"</f>
        <v>0</v>
      </c>
      <c r="G10934" t="s">
        <v>21</v>
      </c>
    </row>
    <row r="10935" spans="1:7">
      <c r="A10935">
        <v>10934</v>
      </c>
      <c r="B10935" t="str">
        <f>"014108"</f>
        <v>0</v>
      </c>
      <c r="C10935" t="s">
        <v>16298</v>
      </c>
      <c r="D10935" t="s">
        <v>16299</v>
      </c>
      <c r="E10935" t="str">
        <f>"3501300764228"</f>
        <v>0</v>
      </c>
      <c r="F10935" t="str">
        <f>"001900"</f>
        <v>0</v>
      </c>
      <c r="G10935" t="s">
        <v>21</v>
      </c>
    </row>
    <row r="10936" spans="1:7">
      <c r="A10936">
        <v>10935</v>
      </c>
      <c r="B10936" t="str">
        <f>"014141"</f>
        <v>0</v>
      </c>
      <c r="C10936" t="s">
        <v>7515</v>
      </c>
      <c r="D10936" t="s">
        <v>16300</v>
      </c>
      <c r="E10936" t="str">
        <f>"3900900476377"</f>
        <v>0</v>
      </c>
      <c r="F10936" t="str">
        <f>"001900"</f>
        <v>0</v>
      </c>
      <c r="G10936" t="s">
        <v>21</v>
      </c>
    </row>
    <row r="10937" spans="1:7">
      <c r="A10937">
        <v>10936</v>
      </c>
      <c r="B10937" t="str">
        <f>"014468"</f>
        <v>0</v>
      </c>
      <c r="C10937" t="s">
        <v>16301</v>
      </c>
      <c r="D10937" t="s">
        <v>16302</v>
      </c>
      <c r="E10937" t="str">
        <f>"5411600011206"</f>
        <v>0</v>
      </c>
      <c r="F10937" t="str">
        <f>"001900"</f>
        <v>0</v>
      </c>
      <c r="G10937" t="s">
        <v>21</v>
      </c>
    </row>
    <row r="10938" spans="1:7">
      <c r="A10938">
        <v>10937</v>
      </c>
      <c r="B10938" t="str">
        <f>"014535"</f>
        <v>0</v>
      </c>
      <c r="C10938" t="s">
        <v>16303</v>
      </c>
      <c r="D10938" t="s">
        <v>16304</v>
      </c>
      <c r="E10938" t="str">
        <f>"3430200582501"</f>
        <v>0</v>
      </c>
      <c r="F10938" t="str">
        <f>"001900"</f>
        <v>0</v>
      </c>
      <c r="G10938" t="s">
        <v>21</v>
      </c>
    </row>
    <row r="10939" spans="1:7">
      <c r="A10939">
        <v>10938</v>
      </c>
      <c r="B10939" t="str">
        <f>"014866"</f>
        <v>0</v>
      </c>
      <c r="C10939" t="s">
        <v>488</v>
      </c>
      <c r="D10939" t="s">
        <v>9908</v>
      </c>
      <c r="E10939" t="str">
        <f>"3411700198077"</f>
        <v>0</v>
      </c>
      <c r="F10939" t="str">
        <f>"001900"</f>
        <v>0</v>
      </c>
      <c r="G10939" t="s">
        <v>21</v>
      </c>
    </row>
    <row r="10940" spans="1:7">
      <c r="A10940">
        <v>10939</v>
      </c>
      <c r="B10940" t="str">
        <f>"015314"</f>
        <v>0</v>
      </c>
      <c r="C10940" t="s">
        <v>250</v>
      </c>
      <c r="D10940" t="s">
        <v>15453</v>
      </c>
      <c r="E10940" t="str">
        <f>"3410200064411"</f>
        <v>0</v>
      </c>
      <c r="F10940" t="str">
        <f>"001900"</f>
        <v>0</v>
      </c>
      <c r="G10940" t="s">
        <v>21</v>
      </c>
    </row>
    <row r="10941" spans="1:7">
      <c r="A10941">
        <v>10940</v>
      </c>
      <c r="B10941" t="str">
        <f>"015403"</f>
        <v>0</v>
      </c>
      <c r="C10941" t="s">
        <v>1849</v>
      </c>
      <c r="D10941" t="s">
        <v>16305</v>
      </c>
      <c r="E10941" t="str">
        <f>"3410101035269"</f>
        <v>0</v>
      </c>
      <c r="F10941" t="str">
        <f>"001900"</f>
        <v>0</v>
      </c>
      <c r="G10941" t="s">
        <v>21</v>
      </c>
    </row>
    <row r="10942" spans="1:7">
      <c r="A10942">
        <v>10941</v>
      </c>
      <c r="B10942" t="str">
        <f>"015819"</f>
        <v>0</v>
      </c>
      <c r="C10942" t="s">
        <v>16306</v>
      </c>
      <c r="D10942" t="s">
        <v>3315</v>
      </c>
      <c r="E10942" t="str">
        <f>"3410101815566"</f>
        <v>0</v>
      </c>
      <c r="F10942" t="str">
        <f>"001900"</f>
        <v>0</v>
      </c>
      <c r="G10942" t="s">
        <v>21</v>
      </c>
    </row>
    <row r="10943" spans="1:7">
      <c r="A10943">
        <v>10942</v>
      </c>
      <c r="B10943" t="str">
        <f>"016089"</f>
        <v>0</v>
      </c>
      <c r="C10943" t="s">
        <v>6366</v>
      </c>
      <c r="D10943" t="s">
        <v>16307</v>
      </c>
      <c r="E10943" t="str">
        <f>"3410600349536"</f>
        <v>0</v>
      </c>
      <c r="F10943" t="str">
        <f>"001900"</f>
        <v>0</v>
      </c>
      <c r="G10943" t="s">
        <v>21</v>
      </c>
    </row>
    <row r="10944" spans="1:7">
      <c r="A10944">
        <v>10943</v>
      </c>
      <c r="B10944" t="str">
        <f>"016263"</f>
        <v>0</v>
      </c>
      <c r="C10944" t="s">
        <v>2758</v>
      </c>
      <c r="D10944" t="s">
        <v>16308</v>
      </c>
      <c r="E10944" t="str">
        <f>"3360600498575"</f>
        <v>0</v>
      </c>
      <c r="F10944" t="str">
        <f>"001900"</f>
        <v>0</v>
      </c>
      <c r="G10944" t="s">
        <v>21</v>
      </c>
    </row>
    <row r="10945" spans="1:7">
      <c r="A10945">
        <v>10944</v>
      </c>
      <c r="B10945" t="str">
        <f>"016453"</f>
        <v>0</v>
      </c>
      <c r="C10945" t="s">
        <v>576</v>
      </c>
      <c r="D10945" t="s">
        <v>16309</v>
      </c>
      <c r="E10945" t="str">
        <f>"3450101048107"</f>
        <v>0</v>
      </c>
      <c r="F10945" t="str">
        <f>"001900"</f>
        <v>0</v>
      </c>
      <c r="G10945" t="s">
        <v>21</v>
      </c>
    </row>
    <row r="10946" spans="1:7">
      <c r="A10946">
        <v>10945</v>
      </c>
      <c r="B10946" t="str">
        <f>"016483"</f>
        <v>0</v>
      </c>
      <c r="C10946" t="s">
        <v>2608</v>
      </c>
      <c r="D10946" t="s">
        <v>16310</v>
      </c>
      <c r="E10946" t="str">
        <f>"3309901700266"</f>
        <v>0</v>
      </c>
      <c r="F10946" t="str">
        <f>"001900"</f>
        <v>0</v>
      </c>
      <c r="G10946" t="s">
        <v>21</v>
      </c>
    </row>
    <row r="10947" spans="1:7">
      <c r="A10947">
        <v>10946</v>
      </c>
      <c r="B10947" t="str">
        <f>"016654"</f>
        <v>0</v>
      </c>
      <c r="C10947" t="s">
        <v>3812</v>
      </c>
      <c r="D10947" t="s">
        <v>16311</v>
      </c>
      <c r="E10947" t="str">
        <f>"3361000003886"</f>
        <v>0</v>
      </c>
      <c r="F10947" t="str">
        <f>"001900"</f>
        <v>0</v>
      </c>
      <c r="G10947" t="s">
        <v>21</v>
      </c>
    </row>
    <row r="10948" spans="1:7">
      <c r="A10948">
        <v>10947</v>
      </c>
      <c r="B10948" t="str">
        <f>"017229"</f>
        <v>0</v>
      </c>
      <c r="C10948" t="s">
        <v>130</v>
      </c>
      <c r="D10948" t="s">
        <v>16282</v>
      </c>
      <c r="E10948" t="str">
        <f>"3411400197717"</f>
        <v>0</v>
      </c>
      <c r="F10948" t="str">
        <f>"001900"</f>
        <v>0</v>
      </c>
      <c r="G10948" t="s">
        <v>21</v>
      </c>
    </row>
    <row r="10949" spans="1:7">
      <c r="A10949">
        <v>10948</v>
      </c>
      <c r="B10949" t="str">
        <f>"017411"</f>
        <v>0</v>
      </c>
      <c r="C10949" t="s">
        <v>12529</v>
      </c>
      <c r="D10949" t="s">
        <v>16312</v>
      </c>
      <c r="E10949" t="str">
        <f>"3411600021604"</f>
        <v>0</v>
      </c>
      <c r="F10949" t="str">
        <f>"001900"</f>
        <v>0</v>
      </c>
      <c r="G10949" t="s">
        <v>21</v>
      </c>
    </row>
    <row r="10950" spans="1:7">
      <c r="A10950">
        <v>10949</v>
      </c>
      <c r="B10950" t="str">
        <f>"017795"</f>
        <v>0</v>
      </c>
      <c r="C10950" t="s">
        <v>6383</v>
      </c>
      <c r="D10950" t="s">
        <v>16313</v>
      </c>
      <c r="E10950" t="str">
        <f>"3411900020506"</f>
        <v>0</v>
      </c>
      <c r="F10950" t="str">
        <f>"001900"</f>
        <v>0</v>
      </c>
      <c r="G10950" t="s">
        <v>21</v>
      </c>
    </row>
    <row r="10951" spans="1:7">
      <c r="A10951">
        <v>10950</v>
      </c>
      <c r="B10951" t="str">
        <f>"018091"</f>
        <v>0</v>
      </c>
      <c r="C10951" t="s">
        <v>16314</v>
      </c>
      <c r="D10951" t="s">
        <v>16315</v>
      </c>
      <c r="E10951" t="str">
        <f>"3419900158661"</f>
        <v>0</v>
      </c>
      <c r="F10951" t="str">
        <f>"001900"</f>
        <v>0</v>
      </c>
      <c r="G10951" t="s">
        <v>21</v>
      </c>
    </row>
    <row r="10952" spans="1:7">
      <c r="A10952">
        <v>10951</v>
      </c>
      <c r="B10952" t="str">
        <f>"018284"</f>
        <v>0</v>
      </c>
      <c r="C10952" t="s">
        <v>2417</v>
      </c>
      <c r="D10952" t="s">
        <v>1814</v>
      </c>
      <c r="E10952" t="str">
        <f>"3410800145128"</f>
        <v>0</v>
      </c>
      <c r="F10952" t="str">
        <f>"001900"</f>
        <v>0</v>
      </c>
      <c r="G10952" t="s">
        <v>21</v>
      </c>
    </row>
    <row r="10953" spans="1:7">
      <c r="A10953">
        <v>10952</v>
      </c>
      <c r="B10953" t="str">
        <f>"018816"</f>
        <v>0</v>
      </c>
      <c r="C10953" t="s">
        <v>171</v>
      </c>
      <c r="D10953" t="s">
        <v>16316</v>
      </c>
      <c r="E10953" t="str">
        <f>"3410102207845"</f>
        <v>0</v>
      </c>
      <c r="F10953" t="str">
        <f>"001900"</f>
        <v>0</v>
      </c>
      <c r="G10953" t="s">
        <v>21</v>
      </c>
    </row>
    <row r="10954" spans="1:7">
      <c r="A10954">
        <v>10953</v>
      </c>
      <c r="B10954" t="str">
        <f>"018861"</f>
        <v>0</v>
      </c>
      <c r="C10954" t="s">
        <v>16317</v>
      </c>
      <c r="D10954" t="s">
        <v>950</v>
      </c>
      <c r="E10954" t="str">
        <f>"3410102409626"</f>
        <v>0</v>
      </c>
      <c r="F10954" t="str">
        <f>"001900"</f>
        <v>0</v>
      </c>
      <c r="G10954" t="s">
        <v>21</v>
      </c>
    </row>
    <row r="10955" spans="1:7">
      <c r="A10955">
        <v>10954</v>
      </c>
      <c r="B10955" t="str">
        <f>"018930"</f>
        <v>0</v>
      </c>
      <c r="C10955" t="s">
        <v>16318</v>
      </c>
      <c r="D10955" t="s">
        <v>16319</v>
      </c>
      <c r="E10955" t="str">
        <f>"3419900548222"</f>
        <v>0</v>
      </c>
      <c r="F10955" t="str">
        <f>"001900"</f>
        <v>0</v>
      </c>
      <c r="G10955" t="s">
        <v>21</v>
      </c>
    </row>
    <row r="10956" spans="1:7">
      <c r="A10956">
        <v>10955</v>
      </c>
      <c r="B10956" t="str">
        <f>"019297"</f>
        <v>0</v>
      </c>
      <c r="C10956" t="s">
        <v>11041</v>
      </c>
      <c r="D10956" t="s">
        <v>16320</v>
      </c>
      <c r="E10956" t="str">
        <f>"3410100535802"</f>
        <v>0</v>
      </c>
      <c r="F10956" t="str">
        <f>"001900"</f>
        <v>0</v>
      </c>
      <c r="G10956" t="s">
        <v>21</v>
      </c>
    </row>
    <row r="10957" spans="1:7">
      <c r="A10957">
        <v>10956</v>
      </c>
      <c r="B10957" t="str">
        <f>"019500"</f>
        <v>0</v>
      </c>
      <c r="C10957" t="s">
        <v>2907</v>
      </c>
      <c r="D10957" t="s">
        <v>16321</v>
      </c>
      <c r="E10957" t="str">
        <f>"3471201197148"</f>
        <v>0</v>
      </c>
      <c r="F10957" t="str">
        <f>"001900"</f>
        <v>0</v>
      </c>
      <c r="G10957" t="s">
        <v>21</v>
      </c>
    </row>
    <row r="10958" spans="1:7">
      <c r="A10958">
        <v>10957</v>
      </c>
      <c r="B10958" t="str">
        <f>"019567"</f>
        <v>0</v>
      </c>
      <c r="C10958" t="s">
        <v>12248</v>
      </c>
      <c r="D10958" t="s">
        <v>16322</v>
      </c>
      <c r="E10958" t="str">
        <f>"3419900427409"</f>
        <v>0</v>
      </c>
      <c r="F10958" t="str">
        <f>"001900"</f>
        <v>0</v>
      </c>
      <c r="G10958" t="s">
        <v>21</v>
      </c>
    </row>
    <row r="10959" spans="1:7">
      <c r="A10959">
        <v>10958</v>
      </c>
      <c r="B10959" t="str">
        <f>"019785"</f>
        <v>0</v>
      </c>
      <c r="C10959" t="s">
        <v>1880</v>
      </c>
      <c r="D10959" t="s">
        <v>16323</v>
      </c>
      <c r="E10959" t="str">
        <f>"3461100030698"</f>
        <v>0</v>
      </c>
      <c r="F10959" t="str">
        <f>"001900"</f>
        <v>0</v>
      </c>
      <c r="G10959" t="s">
        <v>21</v>
      </c>
    </row>
    <row r="10960" spans="1:7">
      <c r="A10960">
        <v>10959</v>
      </c>
      <c r="B10960" t="str">
        <f>"019951"</f>
        <v>0</v>
      </c>
      <c r="C10960" t="s">
        <v>3028</v>
      </c>
      <c r="D10960" t="s">
        <v>16324</v>
      </c>
      <c r="E10960" t="str">
        <f>"4409900002392"</f>
        <v>0</v>
      </c>
      <c r="F10960" t="str">
        <f>"001900"</f>
        <v>0</v>
      </c>
      <c r="G10960" t="s">
        <v>21</v>
      </c>
    </row>
    <row r="10961" spans="1:7">
      <c r="A10961">
        <v>10960</v>
      </c>
      <c r="B10961" t="str">
        <f>"019997"</f>
        <v>0</v>
      </c>
      <c r="C10961" t="s">
        <v>16325</v>
      </c>
      <c r="D10961" t="s">
        <v>16326</v>
      </c>
      <c r="E10961" t="str">
        <f>"3411600329722"</f>
        <v>0</v>
      </c>
      <c r="F10961" t="str">
        <f>"001900"</f>
        <v>0</v>
      </c>
      <c r="G10961" t="s">
        <v>21</v>
      </c>
    </row>
    <row r="10962" spans="1:7">
      <c r="A10962">
        <v>10961</v>
      </c>
      <c r="B10962" t="str">
        <f>"020077"</f>
        <v>0</v>
      </c>
      <c r="C10962" t="s">
        <v>120</v>
      </c>
      <c r="D10962" t="s">
        <v>16327</v>
      </c>
      <c r="E10962" t="str">
        <f>"3410102146862"</f>
        <v>0</v>
      </c>
      <c r="F10962" t="str">
        <f>"001900"</f>
        <v>0</v>
      </c>
      <c r="G10962" t="s">
        <v>21</v>
      </c>
    </row>
    <row r="10963" spans="1:7">
      <c r="A10963">
        <v>10962</v>
      </c>
      <c r="B10963" t="str">
        <f>"020136"</f>
        <v>0</v>
      </c>
      <c r="C10963" t="s">
        <v>5347</v>
      </c>
      <c r="D10963" t="s">
        <v>13446</v>
      </c>
      <c r="E10963" t="str">
        <f>"3419900423586"</f>
        <v>0</v>
      </c>
      <c r="F10963" t="str">
        <f>"001900"</f>
        <v>0</v>
      </c>
      <c r="G10963" t="s">
        <v>21</v>
      </c>
    </row>
    <row r="10964" spans="1:7">
      <c r="A10964">
        <v>10963</v>
      </c>
      <c r="B10964" t="str">
        <f>"020672"</f>
        <v>0</v>
      </c>
      <c r="C10964" t="s">
        <v>16328</v>
      </c>
      <c r="D10964" t="s">
        <v>16329</v>
      </c>
      <c r="E10964" t="str">
        <f>"3469900192746"</f>
        <v>0</v>
      </c>
      <c r="F10964" t="str">
        <f>"001900"</f>
        <v>0</v>
      </c>
      <c r="G10964" t="s">
        <v>21</v>
      </c>
    </row>
    <row r="10965" spans="1:7">
      <c r="A10965">
        <v>10964</v>
      </c>
      <c r="B10965" t="str">
        <f>"020730"</f>
        <v>0</v>
      </c>
      <c r="C10965" t="s">
        <v>832</v>
      </c>
      <c r="D10965" t="s">
        <v>16330</v>
      </c>
      <c r="E10965" t="str">
        <f>"3410101762471"</f>
        <v>0</v>
      </c>
      <c r="F10965" t="str">
        <f>"001900"</f>
        <v>0</v>
      </c>
      <c r="G10965" t="s">
        <v>21</v>
      </c>
    </row>
    <row r="10966" spans="1:7">
      <c r="A10966">
        <v>10965</v>
      </c>
      <c r="B10966" t="str">
        <f>"020751"</f>
        <v>0</v>
      </c>
      <c r="C10966" t="s">
        <v>16331</v>
      </c>
      <c r="D10966" t="s">
        <v>16332</v>
      </c>
      <c r="E10966" t="str">
        <f>"3479900148976"</f>
        <v>0</v>
      </c>
      <c r="F10966" t="str">
        <f>"001900"</f>
        <v>0</v>
      </c>
      <c r="G10966" t="s">
        <v>21</v>
      </c>
    </row>
    <row r="10967" spans="1:7">
      <c r="A10967">
        <v>10966</v>
      </c>
      <c r="B10967" t="str">
        <f>"020823"</f>
        <v>0</v>
      </c>
      <c r="C10967" t="s">
        <v>16333</v>
      </c>
      <c r="D10967" t="s">
        <v>16334</v>
      </c>
      <c r="E10967" t="str">
        <f>"3410400490677"</f>
        <v>0</v>
      </c>
      <c r="F10967" t="str">
        <f>"001900"</f>
        <v>0</v>
      </c>
      <c r="G10967" t="s">
        <v>21</v>
      </c>
    </row>
    <row r="10968" spans="1:7">
      <c r="A10968">
        <v>10967</v>
      </c>
      <c r="B10968" t="str">
        <f>"021062"</f>
        <v>0</v>
      </c>
      <c r="C10968" t="s">
        <v>16335</v>
      </c>
      <c r="D10968" t="s">
        <v>16336</v>
      </c>
      <c r="E10968" t="str">
        <f>"3411700368339"</f>
        <v>0</v>
      </c>
      <c r="F10968" t="str">
        <f>"001900"</f>
        <v>0</v>
      </c>
      <c r="G10968" t="s">
        <v>21</v>
      </c>
    </row>
    <row r="10969" spans="1:7">
      <c r="A10969">
        <v>10968</v>
      </c>
      <c r="B10969" t="str">
        <f>"021074"</f>
        <v>0</v>
      </c>
      <c r="C10969" t="s">
        <v>16337</v>
      </c>
      <c r="D10969" t="s">
        <v>16338</v>
      </c>
      <c r="E10969" t="str">
        <f>"3410500025810"</f>
        <v>0</v>
      </c>
      <c r="F10969" t="str">
        <f>"001900"</f>
        <v>0</v>
      </c>
      <c r="G10969" t="s">
        <v>21</v>
      </c>
    </row>
    <row r="10970" spans="1:7">
      <c r="A10970">
        <v>10969</v>
      </c>
      <c r="B10970" t="str">
        <f>"021245"</f>
        <v>0</v>
      </c>
      <c r="C10970" t="s">
        <v>16339</v>
      </c>
      <c r="D10970" t="s">
        <v>16340</v>
      </c>
      <c r="E10970" t="str">
        <f>"3229800015208"</f>
        <v>0</v>
      </c>
      <c r="F10970" t="str">
        <f>"001900"</f>
        <v>0</v>
      </c>
      <c r="G10970" t="s">
        <v>21</v>
      </c>
    </row>
    <row r="10971" spans="1:7">
      <c r="A10971">
        <v>10970</v>
      </c>
      <c r="B10971" t="str">
        <f>"021452"</f>
        <v>0</v>
      </c>
      <c r="C10971" t="s">
        <v>16341</v>
      </c>
      <c r="D10971" t="s">
        <v>16342</v>
      </c>
      <c r="E10971" t="str">
        <f>"3450400530032"</f>
        <v>0</v>
      </c>
      <c r="F10971" t="str">
        <f>"001900"</f>
        <v>0</v>
      </c>
      <c r="G10971" t="s">
        <v>21</v>
      </c>
    </row>
    <row r="10972" spans="1:7">
      <c r="A10972">
        <v>10971</v>
      </c>
      <c r="B10972" t="str">
        <f>"021496"</f>
        <v>0</v>
      </c>
      <c r="C10972" t="s">
        <v>6192</v>
      </c>
      <c r="D10972" t="s">
        <v>16343</v>
      </c>
      <c r="E10972" t="str">
        <f>"3410102085481"</f>
        <v>0</v>
      </c>
      <c r="F10972" t="str">
        <f>"001900"</f>
        <v>0</v>
      </c>
      <c r="G10972" t="s">
        <v>21</v>
      </c>
    </row>
    <row r="10973" spans="1:7">
      <c r="A10973">
        <v>10972</v>
      </c>
      <c r="B10973" t="str">
        <f>"021721"</f>
        <v>0</v>
      </c>
      <c r="C10973" t="s">
        <v>16344</v>
      </c>
      <c r="D10973" t="s">
        <v>11695</v>
      </c>
      <c r="E10973" t="str">
        <f>"3430700014986"</f>
        <v>0</v>
      </c>
      <c r="F10973" t="str">
        <f>"001900"</f>
        <v>0</v>
      </c>
      <c r="G10973" t="s">
        <v>21</v>
      </c>
    </row>
    <row r="10974" spans="1:7">
      <c r="A10974">
        <v>10973</v>
      </c>
      <c r="B10974" t="str">
        <f>"021878"</f>
        <v>0</v>
      </c>
      <c r="C10974" t="s">
        <v>16345</v>
      </c>
      <c r="D10974" t="s">
        <v>16346</v>
      </c>
      <c r="E10974" t="str">
        <f>"3410300261986"</f>
        <v>0</v>
      </c>
      <c r="F10974" t="str">
        <f>"001900"</f>
        <v>0</v>
      </c>
      <c r="G10974" t="s">
        <v>21</v>
      </c>
    </row>
    <row r="10975" spans="1:7">
      <c r="A10975">
        <v>10974</v>
      </c>
      <c r="B10975" t="str">
        <f>"022105"</f>
        <v>0</v>
      </c>
      <c r="C10975" t="s">
        <v>539</v>
      </c>
      <c r="D10975" t="s">
        <v>16347</v>
      </c>
      <c r="E10975" t="str">
        <f>"3510600323226"</f>
        <v>0</v>
      </c>
      <c r="F10975" t="str">
        <f>"001900"</f>
        <v>0</v>
      </c>
      <c r="G10975" t="s">
        <v>21</v>
      </c>
    </row>
    <row r="10976" spans="1:7">
      <c r="A10976">
        <v>10975</v>
      </c>
      <c r="B10976" t="str">
        <f>"022169"</f>
        <v>0</v>
      </c>
      <c r="C10976" t="s">
        <v>16348</v>
      </c>
      <c r="D10976" t="s">
        <v>16349</v>
      </c>
      <c r="E10976" t="str">
        <f>"3410101767260"</f>
        <v>0</v>
      </c>
      <c r="F10976" t="str">
        <f>"001900"</f>
        <v>0</v>
      </c>
      <c r="G10976" t="s">
        <v>21</v>
      </c>
    </row>
    <row r="10977" spans="1:7">
      <c r="A10977">
        <v>10976</v>
      </c>
      <c r="B10977" t="str">
        <f>"022297"</f>
        <v>0</v>
      </c>
      <c r="C10977" t="s">
        <v>16350</v>
      </c>
      <c r="D10977" t="s">
        <v>16351</v>
      </c>
      <c r="E10977" t="str">
        <f>"3410401035124"</f>
        <v>0</v>
      </c>
      <c r="F10977" t="str">
        <f>"001900"</f>
        <v>0</v>
      </c>
      <c r="G10977" t="s">
        <v>21</v>
      </c>
    </row>
    <row r="10978" spans="1:7">
      <c r="A10978">
        <v>10977</v>
      </c>
      <c r="B10978" t="str">
        <f>"022526"</f>
        <v>0</v>
      </c>
      <c r="C10978" t="s">
        <v>16352</v>
      </c>
      <c r="D10978" t="s">
        <v>16353</v>
      </c>
      <c r="E10978" t="str">
        <f>"3410200082206"</f>
        <v>0</v>
      </c>
      <c r="F10978" t="str">
        <f>"001900"</f>
        <v>0</v>
      </c>
      <c r="G10978" t="s">
        <v>21</v>
      </c>
    </row>
    <row r="10979" spans="1:7">
      <c r="A10979">
        <v>10978</v>
      </c>
      <c r="B10979" t="str">
        <f>"023061"</f>
        <v>0</v>
      </c>
      <c r="C10979" t="s">
        <v>16354</v>
      </c>
      <c r="D10979" t="s">
        <v>16355</v>
      </c>
      <c r="E10979" t="str">
        <f>"3500900221879"</f>
        <v>0</v>
      </c>
      <c r="F10979" t="str">
        <f>"001900"</f>
        <v>0</v>
      </c>
      <c r="G10979" t="s">
        <v>21</v>
      </c>
    </row>
    <row r="10980" spans="1:7">
      <c r="A10980">
        <v>10979</v>
      </c>
      <c r="B10980" t="str">
        <f>"023062"</f>
        <v>0</v>
      </c>
      <c r="C10980" t="s">
        <v>16356</v>
      </c>
      <c r="D10980" t="s">
        <v>16357</v>
      </c>
      <c r="E10980" t="str">
        <f>"1410200061806"</f>
        <v>0</v>
      </c>
      <c r="F10980" t="str">
        <f>"001900"</f>
        <v>0</v>
      </c>
      <c r="G10980" t="s">
        <v>21</v>
      </c>
    </row>
    <row r="10981" spans="1:7">
      <c r="A10981">
        <v>10980</v>
      </c>
      <c r="B10981" t="str">
        <f>"023179"</f>
        <v>0</v>
      </c>
      <c r="C10981" t="s">
        <v>16358</v>
      </c>
      <c r="D10981" t="s">
        <v>16359</v>
      </c>
      <c r="E10981" t="str">
        <f>"3419900193483"</f>
        <v>0</v>
      </c>
      <c r="F10981" t="str">
        <f>"001900"</f>
        <v>0</v>
      </c>
      <c r="G10981" t="s">
        <v>21</v>
      </c>
    </row>
    <row r="10982" spans="1:7">
      <c r="A10982">
        <v>10981</v>
      </c>
      <c r="B10982" t="str">
        <f>"023205"</f>
        <v>0</v>
      </c>
      <c r="C10982" t="s">
        <v>13616</v>
      </c>
      <c r="D10982" t="s">
        <v>16360</v>
      </c>
      <c r="E10982" t="str">
        <f>"3411900764840"</f>
        <v>0</v>
      </c>
      <c r="F10982" t="str">
        <f>"001900"</f>
        <v>0</v>
      </c>
      <c r="G10982" t="s">
        <v>21</v>
      </c>
    </row>
    <row r="10983" spans="1:7">
      <c r="A10983">
        <v>10982</v>
      </c>
      <c r="B10983" t="str">
        <f>"023587"</f>
        <v>0</v>
      </c>
      <c r="C10983" t="s">
        <v>16361</v>
      </c>
      <c r="D10983" t="s">
        <v>16362</v>
      </c>
      <c r="E10983" t="str">
        <f>"1410200063957"</f>
        <v>0</v>
      </c>
      <c r="F10983" t="str">
        <f>"001900"</f>
        <v>0</v>
      </c>
      <c r="G10983" t="s">
        <v>21</v>
      </c>
    </row>
    <row r="10984" spans="1:7">
      <c r="A10984">
        <v>10983</v>
      </c>
      <c r="B10984" t="str">
        <f>"024168"</f>
        <v>0</v>
      </c>
      <c r="C10984" t="s">
        <v>16363</v>
      </c>
      <c r="D10984" t="s">
        <v>12254</v>
      </c>
      <c r="E10984" t="str">
        <f>"1411800004901"</f>
        <v>0</v>
      </c>
      <c r="F10984" t="str">
        <f>"001900"</f>
        <v>0</v>
      </c>
      <c r="G10984" t="s">
        <v>21</v>
      </c>
    </row>
    <row r="10985" spans="1:7">
      <c r="A10985">
        <v>10984</v>
      </c>
      <c r="B10985" t="str">
        <f>"024169"</f>
        <v>0</v>
      </c>
      <c r="C10985" t="s">
        <v>11085</v>
      </c>
      <c r="D10985" t="s">
        <v>16364</v>
      </c>
      <c r="E10985" t="str">
        <f>"1411600091347"</f>
        <v>0</v>
      </c>
      <c r="F10985" t="str">
        <f>"001900"</f>
        <v>0</v>
      </c>
      <c r="G10985" t="s">
        <v>21</v>
      </c>
    </row>
    <row r="10986" spans="1:7">
      <c r="A10986">
        <v>10985</v>
      </c>
      <c r="B10986" t="str">
        <f>"024291"</f>
        <v>0</v>
      </c>
      <c r="C10986" t="s">
        <v>16365</v>
      </c>
      <c r="D10986" t="s">
        <v>16366</v>
      </c>
      <c r="E10986" t="str">
        <f>"3411900481309"</f>
        <v>0</v>
      </c>
      <c r="F10986" t="str">
        <f>"001900"</f>
        <v>0</v>
      </c>
      <c r="G10986" t="s">
        <v>21</v>
      </c>
    </row>
    <row r="10987" spans="1:7">
      <c r="A10987">
        <v>10986</v>
      </c>
      <c r="B10987" t="str">
        <f>"024533"</f>
        <v>0</v>
      </c>
      <c r="C10987" t="s">
        <v>8448</v>
      </c>
      <c r="D10987" t="s">
        <v>14309</v>
      </c>
      <c r="E10987" t="str">
        <f>"3411700645715"</f>
        <v>0</v>
      </c>
      <c r="F10987" t="str">
        <f>"001900"</f>
        <v>0</v>
      </c>
      <c r="G10987" t="s">
        <v>21</v>
      </c>
    </row>
    <row r="10988" spans="1:7">
      <c r="A10988">
        <v>10987</v>
      </c>
      <c r="B10988" t="str">
        <f>"024870"</f>
        <v>0</v>
      </c>
      <c r="C10988" t="s">
        <v>11162</v>
      </c>
      <c r="D10988" t="s">
        <v>16367</v>
      </c>
      <c r="E10988" t="str">
        <f>"3330401308768"</f>
        <v>0</v>
      </c>
      <c r="F10988" t="str">
        <f>"001900"</f>
        <v>0</v>
      </c>
      <c r="G10988" t="s">
        <v>21</v>
      </c>
    </row>
    <row r="10989" spans="1:7">
      <c r="A10989">
        <v>10988</v>
      </c>
      <c r="B10989" t="str">
        <f>"024873"</f>
        <v>0</v>
      </c>
      <c r="C10989" t="s">
        <v>4217</v>
      </c>
      <c r="D10989" t="s">
        <v>16368</v>
      </c>
      <c r="E10989" t="str">
        <f>"1430300170658"</f>
        <v>0</v>
      </c>
      <c r="F10989" t="str">
        <f>"001900"</f>
        <v>0</v>
      </c>
      <c r="G10989" t="s">
        <v>21</v>
      </c>
    </row>
    <row r="10990" spans="1:7">
      <c r="A10990">
        <v>10989</v>
      </c>
      <c r="B10990" t="str">
        <f>"025178"</f>
        <v>0</v>
      </c>
      <c r="C10990" t="s">
        <v>5599</v>
      </c>
      <c r="D10990" t="s">
        <v>16369</v>
      </c>
      <c r="E10990" t="str">
        <f>"3411900815363"</f>
        <v>0</v>
      </c>
      <c r="F10990" t="str">
        <f>"001900"</f>
        <v>0</v>
      </c>
      <c r="G10990" t="s">
        <v>21</v>
      </c>
    </row>
    <row r="10991" spans="1:7">
      <c r="A10991">
        <v>10990</v>
      </c>
      <c r="B10991" t="str">
        <f>"025179"</f>
        <v>0</v>
      </c>
      <c r="C10991" t="s">
        <v>16370</v>
      </c>
      <c r="D10991" t="s">
        <v>16371</v>
      </c>
      <c r="E10991" t="str">
        <f>"1411800009610"</f>
        <v>0</v>
      </c>
      <c r="F10991" t="str">
        <f>"001900"</f>
        <v>0</v>
      </c>
      <c r="G10991" t="s">
        <v>21</v>
      </c>
    </row>
    <row r="10992" spans="1:7">
      <c r="A10992">
        <v>10991</v>
      </c>
      <c r="B10992" t="str">
        <f>"025485"</f>
        <v>0</v>
      </c>
      <c r="C10992" t="s">
        <v>16372</v>
      </c>
      <c r="D10992" t="s">
        <v>16373</v>
      </c>
      <c r="E10992" t="str">
        <f>"1410100081937"</f>
        <v>0</v>
      </c>
      <c r="F10992" t="str">
        <f>"001900"</f>
        <v>0</v>
      </c>
      <c r="G10992" t="s">
        <v>21</v>
      </c>
    </row>
    <row r="10993" spans="1:7">
      <c r="A10993">
        <v>10992</v>
      </c>
      <c r="B10993" t="str">
        <f>"025686"</f>
        <v>0</v>
      </c>
      <c r="C10993" t="s">
        <v>16374</v>
      </c>
      <c r="D10993" t="s">
        <v>16375</v>
      </c>
      <c r="E10993" t="str">
        <f>"1419900116717"</f>
        <v>0</v>
      </c>
      <c r="F10993" t="str">
        <f>"001900"</f>
        <v>0</v>
      </c>
      <c r="G10993" t="s">
        <v>21</v>
      </c>
    </row>
    <row r="10994" spans="1:7">
      <c r="A10994">
        <v>10993</v>
      </c>
      <c r="B10994" t="str">
        <f>"025738"</f>
        <v>0</v>
      </c>
      <c r="C10994" t="s">
        <v>16376</v>
      </c>
      <c r="D10994" t="s">
        <v>16377</v>
      </c>
      <c r="E10994" t="str">
        <f>"1410500009885"</f>
        <v>0</v>
      </c>
      <c r="F10994" t="str">
        <f>"001900"</f>
        <v>0</v>
      </c>
      <c r="G10994" t="s">
        <v>21</v>
      </c>
    </row>
    <row r="10995" spans="1:7">
      <c r="A10995">
        <v>10994</v>
      </c>
      <c r="B10995" t="str">
        <f>"025930"</f>
        <v>0</v>
      </c>
      <c r="C10995" t="s">
        <v>16378</v>
      </c>
      <c r="D10995" t="s">
        <v>16379</v>
      </c>
      <c r="E10995" t="str">
        <f>"1410900007481"</f>
        <v>0</v>
      </c>
      <c r="F10995" t="str">
        <f>"001900"</f>
        <v>0</v>
      </c>
      <c r="G10995" t="s">
        <v>21</v>
      </c>
    </row>
    <row r="10996" spans="1:7">
      <c r="A10996">
        <v>10995</v>
      </c>
      <c r="B10996" t="str">
        <f>"026261"</f>
        <v>0</v>
      </c>
      <c r="C10996" t="s">
        <v>16380</v>
      </c>
      <c r="D10996" t="s">
        <v>16381</v>
      </c>
      <c r="E10996" t="str">
        <f>"1409900581487"</f>
        <v>0</v>
      </c>
      <c r="F10996" t="str">
        <f>"001900"</f>
        <v>0</v>
      </c>
      <c r="G10996" t="s">
        <v>21</v>
      </c>
    </row>
    <row r="10997" spans="1:7">
      <c r="A10997">
        <v>10996</v>
      </c>
      <c r="B10997" t="str">
        <f>"026447"</f>
        <v>0</v>
      </c>
      <c r="C10997" t="s">
        <v>4607</v>
      </c>
      <c r="D10997" t="s">
        <v>16382</v>
      </c>
      <c r="E10997" t="str">
        <f>"3440900392992"</f>
        <v>0</v>
      </c>
      <c r="F10997" t="str">
        <f>"001900"</f>
        <v>0</v>
      </c>
      <c r="G10997" t="s">
        <v>21</v>
      </c>
    </row>
    <row r="10998" spans="1:7">
      <c r="A10998">
        <v>10997</v>
      </c>
      <c r="B10998" t="str">
        <f>"026834"</f>
        <v>0</v>
      </c>
      <c r="C10998" t="s">
        <v>16383</v>
      </c>
      <c r="D10998" t="s">
        <v>16384</v>
      </c>
      <c r="E10998" t="str">
        <f>"1410800043639"</f>
        <v>0</v>
      </c>
      <c r="F10998" t="str">
        <f>"001900"</f>
        <v>0</v>
      </c>
      <c r="G10998" t="s">
        <v>21</v>
      </c>
    </row>
    <row r="10999" spans="1:7">
      <c r="A10999">
        <v>10998</v>
      </c>
      <c r="B10999" t="str">
        <f>"026943"</f>
        <v>0</v>
      </c>
      <c r="C10999" t="s">
        <v>14341</v>
      </c>
      <c r="D10999" t="s">
        <v>16385</v>
      </c>
      <c r="E10999" t="str">
        <f>"1411700132568"</f>
        <v>0</v>
      </c>
      <c r="F10999" t="str">
        <f>"001900"</f>
        <v>0</v>
      </c>
      <c r="G10999" t="s">
        <v>21</v>
      </c>
    </row>
    <row r="11000" spans="1:7">
      <c r="A11000">
        <v>10999</v>
      </c>
      <c r="B11000" t="str">
        <f>"027447"</f>
        <v>0</v>
      </c>
      <c r="C11000" t="s">
        <v>4537</v>
      </c>
      <c r="D11000" t="s">
        <v>16386</v>
      </c>
      <c r="E11000" t="str">
        <f>"1639800104308"</f>
        <v>0</v>
      </c>
      <c r="F11000" t="str">
        <f>"001900"</f>
        <v>0</v>
      </c>
      <c r="G11000" t="s">
        <v>21</v>
      </c>
    </row>
    <row r="11001" spans="1:7">
      <c r="A11001">
        <v>11000</v>
      </c>
      <c r="B11001" t="str">
        <f>"027460"</f>
        <v>0</v>
      </c>
      <c r="C11001" t="s">
        <v>2301</v>
      </c>
      <c r="D11001" t="s">
        <v>16387</v>
      </c>
      <c r="E11001" t="str">
        <f>"3440300509317"</f>
        <v>0</v>
      </c>
      <c r="F11001" t="str">
        <f>"001900"</f>
        <v>0</v>
      </c>
      <c r="G11001" t="s">
        <v>21</v>
      </c>
    </row>
    <row r="11002" spans="1:7">
      <c r="A11002">
        <v>11001</v>
      </c>
      <c r="B11002" t="str">
        <f>"027461"</f>
        <v>0</v>
      </c>
      <c r="C11002" t="s">
        <v>16388</v>
      </c>
      <c r="D11002" t="s">
        <v>16389</v>
      </c>
      <c r="E11002" t="str">
        <f>"1419900270449"</f>
        <v>0</v>
      </c>
      <c r="F11002" t="str">
        <f>"001900"</f>
        <v>0</v>
      </c>
      <c r="G11002" t="s">
        <v>21</v>
      </c>
    </row>
    <row r="11003" spans="1:7">
      <c r="A11003">
        <v>11002</v>
      </c>
      <c r="B11003" t="str">
        <f>"025813"</f>
        <v>0</v>
      </c>
      <c r="C11003" t="s">
        <v>16390</v>
      </c>
      <c r="D11003" t="s">
        <v>16391</v>
      </c>
      <c r="E11003" t="str">
        <f>"3411800121467"</f>
        <v>0</v>
      </c>
      <c r="F11003" t="str">
        <f>"001900"</f>
        <v>0</v>
      </c>
      <c r="G11003" t="s">
        <v>21</v>
      </c>
    </row>
    <row r="11004" spans="1:7">
      <c r="A11004">
        <v>11003</v>
      </c>
      <c r="B11004" t="str">
        <f>"020164"</f>
        <v>0</v>
      </c>
      <c r="C11004" t="s">
        <v>11920</v>
      </c>
      <c r="D11004" t="s">
        <v>16392</v>
      </c>
      <c r="E11004" t="str">
        <f>"3430200417941"</f>
        <v>0</v>
      </c>
      <c r="F11004" t="str">
        <f>"001900"</f>
        <v>0</v>
      </c>
      <c r="G11004" t="s">
        <v>21</v>
      </c>
    </row>
    <row r="11005" spans="1:7">
      <c r="A11005">
        <v>11004</v>
      </c>
      <c r="B11005" t="str">
        <f>"025990"</f>
        <v>0</v>
      </c>
      <c r="C11005" t="s">
        <v>2738</v>
      </c>
      <c r="D11005" t="s">
        <v>16393</v>
      </c>
      <c r="E11005" t="str">
        <f>"1430200095689"</f>
        <v>0</v>
      </c>
      <c r="F11005" t="str">
        <f>"001900"</f>
        <v>0</v>
      </c>
      <c r="G11005" t="s">
        <v>21</v>
      </c>
    </row>
    <row r="11006" spans="1:7">
      <c r="A11006">
        <v>11005</v>
      </c>
      <c r="B11006" t="str">
        <f>"026942"</f>
        <v>0</v>
      </c>
      <c r="C11006" t="s">
        <v>7754</v>
      </c>
      <c r="D11006" t="s">
        <v>16394</v>
      </c>
      <c r="E11006" t="str">
        <f>"3430800111941"</f>
        <v>0</v>
      </c>
      <c r="F11006" t="str">
        <f>"001900"</f>
        <v>0</v>
      </c>
      <c r="G11006" t="s">
        <v>21</v>
      </c>
    </row>
    <row r="11007" spans="1:7">
      <c r="A11007">
        <v>11006</v>
      </c>
      <c r="B11007" t="str">
        <f>"025010"</f>
        <v>0</v>
      </c>
      <c r="C11007" t="s">
        <v>16395</v>
      </c>
      <c r="D11007" t="s">
        <v>16396</v>
      </c>
      <c r="E11007" t="str">
        <f>"3440700283561"</f>
        <v>0</v>
      </c>
      <c r="F11007" t="str">
        <f>"001900"</f>
        <v>0</v>
      </c>
      <c r="G11007" t="s">
        <v>21</v>
      </c>
    </row>
    <row r="11008" spans="1:7">
      <c r="A11008">
        <v>11007</v>
      </c>
      <c r="B11008" t="str">
        <f>"026054"</f>
        <v>0</v>
      </c>
      <c r="C11008" t="s">
        <v>12709</v>
      </c>
      <c r="D11008" t="s">
        <v>16397</v>
      </c>
      <c r="E11008" t="str">
        <f>"3440300667231"</f>
        <v>0</v>
      </c>
      <c r="F11008" t="str">
        <f>"001900"</f>
        <v>0</v>
      </c>
      <c r="G11008" t="s">
        <v>21</v>
      </c>
    </row>
    <row r="11009" spans="1:7">
      <c r="A11009">
        <v>11008</v>
      </c>
      <c r="B11009" t="str">
        <f>"026833"</f>
        <v>0</v>
      </c>
      <c r="C11009" t="s">
        <v>16398</v>
      </c>
      <c r="D11009" t="s">
        <v>16399</v>
      </c>
      <c r="E11009" t="str">
        <f>"1449900172781"</f>
        <v>0</v>
      </c>
      <c r="F11009" t="str">
        <f>"001900"</f>
        <v>0</v>
      </c>
      <c r="G11009" t="s">
        <v>21</v>
      </c>
    </row>
    <row r="11010" spans="1:7">
      <c r="A11010">
        <v>11009</v>
      </c>
      <c r="B11010" t="str">
        <f>"019429"</f>
        <v>0</v>
      </c>
      <c r="C11010" t="s">
        <v>3404</v>
      </c>
      <c r="D11010" t="s">
        <v>16400</v>
      </c>
      <c r="E11010" t="str">
        <f>"3420900577844"</f>
        <v>0</v>
      </c>
      <c r="F11010" t="str">
        <f>"001900"</f>
        <v>0</v>
      </c>
      <c r="G11010" t="s">
        <v>21</v>
      </c>
    </row>
    <row r="11011" spans="1:7">
      <c r="A11011">
        <v>11010</v>
      </c>
      <c r="B11011" t="str">
        <f>"026832"</f>
        <v>0</v>
      </c>
      <c r="C11011" t="s">
        <v>8416</v>
      </c>
      <c r="D11011" t="s">
        <v>16401</v>
      </c>
      <c r="E11011" t="str">
        <f>"1509900528241"</f>
        <v>0</v>
      </c>
      <c r="F11011" t="str">
        <f>"001900"</f>
        <v>0</v>
      </c>
      <c r="G11011" t="s">
        <v>21</v>
      </c>
    </row>
    <row r="11012" spans="1:7">
      <c r="A11012">
        <v>11011</v>
      </c>
      <c r="B11012" t="str">
        <f>"026941"</f>
        <v>0</v>
      </c>
      <c r="C11012" t="s">
        <v>16402</v>
      </c>
      <c r="D11012" t="s">
        <v>16403</v>
      </c>
      <c r="E11012" t="str">
        <f>"3501600181538"</f>
        <v>0</v>
      </c>
      <c r="F11012" t="str">
        <f>"001900"</f>
        <v>0</v>
      </c>
      <c r="G11012" t="s">
        <v>21</v>
      </c>
    </row>
    <row r="11013" spans="1:7">
      <c r="A11013">
        <v>11012</v>
      </c>
      <c r="B11013" t="str">
        <f>"027030"</f>
        <v>0</v>
      </c>
      <c r="C11013" t="s">
        <v>5473</v>
      </c>
      <c r="D11013" t="s">
        <v>16404</v>
      </c>
      <c r="E11013" t="str">
        <f>"1500200060710"</f>
        <v>0</v>
      </c>
      <c r="F11013" t="str">
        <f>"001900"</f>
        <v>0</v>
      </c>
      <c r="G11013" t="s">
        <v>21</v>
      </c>
    </row>
    <row r="11014" spans="1:7">
      <c r="A11014">
        <v>11013</v>
      </c>
      <c r="B11014" t="str">
        <f>"026439"</f>
        <v>0</v>
      </c>
      <c r="C11014" t="s">
        <v>16405</v>
      </c>
      <c r="D11014" t="s">
        <v>16406</v>
      </c>
      <c r="E11014" t="str">
        <f>"1509900496748"</f>
        <v>0</v>
      </c>
      <c r="F11014" t="str">
        <f>"001900"</f>
        <v>0</v>
      </c>
      <c r="G11014" t="s">
        <v>21</v>
      </c>
    </row>
    <row r="11015" spans="1:7">
      <c r="A11015">
        <v>11014</v>
      </c>
      <c r="B11015" t="str">
        <f>"026935"</f>
        <v>0</v>
      </c>
      <c r="C11015" t="s">
        <v>16407</v>
      </c>
      <c r="D11015" t="s">
        <v>16408</v>
      </c>
      <c r="E11015" t="str">
        <f>"1509901101402"</f>
        <v>0</v>
      </c>
      <c r="F11015" t="str">
        <f>"001900"</f>
        <v>0</v>
      </c>
      <c r="G11015" t="s">
        <v>21</v>
      </c>
    </row>
    <row r="11016" spans="1:7">
      <c r="A11016">
        <v>11015</v>
      </c>
      <c r="B11016" t="str">
        <f>"026944"</f>
        <v>0</v>
      </c>
      <c r="C11016" t="s">
        <v>16409</v>
      </c>
      <c r="D11016" t="s">
        <v>16410</v>
      </c>
      <c r="E11016" t="str">
        <f>"1510500048596"</f>
        <v>0</v>
      </c>
      <c r="F11016" t="str">
        <f>"001900"</f>
        <v>0</v>
      </c>
      <c r="G11016" t="s">
        <v>21</v>
      </c>
    </row>
    <row r="11017" spans="1:7">
      <c r="A11017">
        <v>11016</v>
      </c>
      <c r="B11017" t="str">
        <f>"026544"</f>
        <v>0</v>
      </c>
      <c r="C11017" t="s">
        <v>16411</v>
      </c>
      <c r="D11017" t="s">
        <v>16412</v>
      </c>
      <c r="E11017" t="str">
        <f>"1529900291151"</f>
        <v>0</v>
      </c>
      <c r="F11017" t="str">
        <f>"001900"</f>
        <v>0</v>
      </c>
      <c r="G11017" t="s">
        <v>21</v>
      </c>
    </row>
    <row r="11018" spans="1:7">
      <c r="A11018">
        <v>11017</v>
      </c>
      <c r="B11018" t="str">
        <f>"026055"</f>
        <v>0</v>
      </c>
      <c r="C11018" t="s">
        <v>16413</v>
      </c>
      <c r="D11018" t="s">
        <v>3781</v>
      </c>
      <c r="E11018" t="str">
        <f>"1769900071869"</f>
        <v>0</v>
      </c>
      <c r="F11018" t="str">
        <f>"001900"</f>
        <v>0</v>
      </c>
      <c r="G11018" t="s">
        <v>21</v>
      </c>
    </row>
    <row r="11019" spans="1:7">
      <c r="A11019">
        <v>11018</v>
      </c>
      <c r="B11019" t="str">
        <f>"026442"</f>
        <v>0</v>
      </c>
      <c r="C11019" t="s">
        <v>16414</v>
      </c>
      <c r="D11019" t="s">
        <v>16415</v>
      </c>
      <c r="E11019" t="str">
        <f>"1549900099765"</f>
        <v>0</v>
      </c>
      <c r="F11019" t="str">
        <f>"001900"</f>
        <v>0</v>
      </c>
      <c r="G11019" t="s">
        <v>21</v>
      </c>
    </row>
    <row r="11020" spans="1:7">
      <c r="A11020">
        <v>11019</v>
      </c>
      <c r="B11020" t="str">
        <f>"026940"</f>
        <v>0</v>
      </c>
      <c r="C11020" t="s">
        <v>16416</v>
      </c>
      <c r="D11020" t="s">
        <v>16304</v>
      </c>
      <c r="E11020" t="str">
        <f>"1540600018281"</f>
        <v>0</v>
      </c>
      <c r="F11020" t="str">
        <f>"001900"</f>
        <v>0</v>
      </c>
      <c r="G11020" t="s">
        <v>21</v>
      </c>
    </row>
    <row r="11021" spans="1:7">
      <c r="A11021">
        <v>11020</v>
      </c>
      <c r="B11021" t="str">
        <f>"026441"</f>
        <v>0</v>
      </c>
      <c r="C11021" t="s">
        <v>16417</v>
      </c>
      <c r="D11021" t="s">
        <v>16418</v>
      </c>
      <c r="E11021" t="str">
        <f>"1570600006518"</f>
        <v>0</v>
      </c>
      <c r="F11021" t="str">
        <f>"001900"</f>
        <v>0</v>
      </c>
      <c r="G11021" t="s">
        <v>21</v>
      </c>
    </row>
    <row r="11022" spans="1:7">
      <c r="A11022">
        <v>11021</v>
      </c>
      <c r="B11022" t="str">
        <f>"026936"</f>
        <v>0</v>
      </c>
      <c r="C11022" t="s">
        <v>1269</v>
      </c>
      <c r="D11022" t="s">
        <v>16419</v>
      </c>
      <c r="E11022" t="str">
        <f>"1570400183459"</f>
        <v>0</v>
      </c>
      <c r="F11022" t="str">
        <f>"001900"</f>
        <v>0</v>
      </c>
      <c r="G11022" t="s">
        <v>21</v>
      </c>
    </row>
    <row r="11023" spans="1:7">
      <c r="A11023">
        <v>11022</v>
      </c>
      <c r="B11023" t="str">
        <f>"027261"</f>
        <v>0</v>
      </c>
      <c r="C11023" t="s">
        <v>919</v>
      </c>
      <c r="D11023" t="s">
        <v>16420</v>
      </c>
      <c r="E11023" t="str">
        <f>"1969900165594"</f>
        <v>0</v>
      </c>
      <c r="F11023" t="str">
        <f>"001900"</f>
        <v>0</v>
      </c>
      <c r="G11023" t="s">
        <v>21</v>
      </c>
    </row>
    <row r="11024" spans="1:7">
      <c r="A11024">
        <v>11023</v>
      </c>
      <c r="B11024" t="str">
        <f>"027259"</f>
        <v>0</v>
      </c>
      <c r="C11024" t="s">
        <v>16421</v>
      </c>
      <c r="D11024" t="s">
        <v>16422</v>
      </c>
      <c r="E11024" t="str">
        <f>"1601100216238"</f>
        <v>0</v>
      </c>
      <c r="F11024" t="str">
        <f>"001900"</f>
        <v>0</v>
      </c>
      <c r="G11024" t="s">
        <v>21</v>
      </c>
    </row>
    <row r="11025" spans="1:7">
      <c r="A11025">
        <v>11024</v>
      </c>
      <c r="B11025" t="str">
        <f>"027264"</f>
        <v>0</v>
      </c>
      <c r="C11025" t="s">
        <v>753</v>
      </c>
      <c r="D11025" t="s">
        <v>16423</v>
      </c>
      <c r="E11025" t="str">
        <f>"3620100141624"</f>
        <v>0</v>
      </c>
      <c r="F11025" t="str">
        <f>"001900"</f>
        <v>0</v>
      </c>
      <c r="G11025" t="s">
        <v>21</v>
      </c>
    </row>
    <row r="11026" spans="1:7">
      <c r="A11026">
        <v>11025</v>
      </c>
      <c r="B11026" t="str">
        <f>"026448"</f>
        <v>0</v>
      </c>
      <c r="C11026" t="s">
        <v>16424</v>
      </c>
      <c r="D11026" t="s">
        <v>16425</v>
      </c>
      <c r="E11026" t="str">
        <f>"1319900336688"</f>
        <v>0</v>
      </c>
      <c r="F11026" t="str">
        <f>"001900"</f>
        <v>0</v>
      </c>
      <c r="G11026" t="s">
        <v>21</v>
      </c>
    </row>
    <row r="11027" spans="1:7">
      <c r="A11027">
        <v>11026</v>
      </c>
      <c r="B11027" t="str">
        <f>"027258"</f>
        <v>0</v>
      </c>
      <c r="C11027" t="s">
        <v>16426</v>
      </c>
      <c r="D11027" t="s">
        <v>16427</v>
      </c>
      <c r="E11027" t="str">
        <f>"1650200028599"</f>
        <v>0</v>
      </c>
      <c r="F11027" t="str">
        <f>"001900"</f>
        <v>0</v>
      </c>
      <c r="G11027" t="s">
        <v>21</v>
      </c>
    </row>
    <row r="11028" spans="1:7">
      <c r="A11028">
        <v>11027</v>
      </c>
      <c r="B11028" t="str">
        <f>"026831"</f>
        <v>0</v>
      </c>
      <c r="C11028" t="s">
        <v>16428</v>
      </c>
      <c r="D11028" t="s">
        <v>16429</v>
      </c>
      <c r="E11028" t="str">
        <f>"1669900244004"</f>
        <v>0</v>
      </c>
      <c r="F11028" t="str">
        <f>"001900"</f>
        <v>0</v>
      </c>
      <c r="G11028" t="s">
        <v>21</v>
      </c>
    </row>
    <row r="11029" spans="1:7">
      <c r="A11029">
        <v>11028</v>
      </c>
      <c r="B11029" t="str">
        <f>"026946"</f>
        <v>0</v>
      </c>
      <c r="C11029" t="s">
        <v>16430</v>
      </c>
      <c r="D11029" t="s">
        <v>16431</v>
      </c>
      <c r="E11029" t="str">
        <f>"3660300009860"</f>
        <v>0</v>
      </c>
      <c r="F11029" t="str">
        <f>"001900"</f>
        <v>0</v>
      </c>
      <c r="G11029" t="s">
        <v>21</v>
      </c>
    </row>
    <row r="11030" spans="1:7">
      <c r="A11030">
        <v>11029</v>
      </c>
      <c r="B11030" t="str">
        <f>"027257"</f>
        <v>0</v>
      </c>
      <c r="C11030" t="s">
        <v>6979</v>
      </c>
      <c r="D11030" t="s">
        <v>16432</v>
      </c>
      <c r="E11030" t="str">
        <f>"1709700144871"</f>
        <v>0</v>
      </c>
      <c r="F11030" t="str">
        <f>"001900"</f>
        <v>0</v>
      </c>
      <c r="G11030" t="s">
        <v>21</v>
      </c>
    </row>
    <row r="11031" spans="1:7">
      <c r="A11031">
        <v>11030</v>
      </c>
      <c r="B11031" t="str">
        <f>"017638"</f>
        <v>0</v>
      </c>
      <c r="C11031" t="s">
        <v>16433</v>
      </c>
      <c r="D11031" t="s">
        <v>16434</v>
      </c>
      <c r="E11031" t="str">
        <f>"3600800661574"</f>
        <v>0</v>
      </c>
      <c r="F11031" t="str">
        <f>"001900"</f>
        <v>0</v>
      </c>
      <c r="G11031" t="s">
        <v>21</v>
      </c>
    </row>
    <row r="11032" spans="1:7">
      <c r="A11032">
        <v>11031</v>
      </c>
      <c r="B11032" t="str">
        <f>"021854"</f>
        <v>0</v>
      </c>
      <c r="C11032" t="s">
        <v>16435</v>
      </c>
      <c r="D11032" t="s">
        <v>16436</v>
      </c>
      <c r="E11032" t="str">
        <f>"5410600120551"</f>
        <v>0</v>
      </c>
      <c r="F11032" t="str">
        <f>"001900"</f>
        <v>0</v>
      </c>
      <c r="G11032" t="s">
        <v>21</v>
      </c>
    </row>
    <row r="11033" spans="1:7">
      <c r="A11033">
        <v>11032</v>
      </c>
      <c r="B11033" t="str">
        <f>"026937"</f>
        <v>0</v>
      </c>
      <c r="C11033" t="s">
        <v>16437</v>
      </c>
      <c r="D11033" t="s">
        <v>16438</v>
      </c>
      <c r="E11033" t="str">
        <f>"1430300106054"</f>
        <v>0</v>
      </c>
      <c r="F11033" t="str">
        <f>"001900"</f>
        <v>0</v>
      </c>
      <c r="G11033" t="s">
        <v>21</v>
      </c>
    </row>
    <row r="11034" spans="1:7">
      <c r="A11034">
        <v>11033</v>
      </c>
      <c r="B11034" t="str">
        <f>"027266"</f>
        <v>0</v>
      </c>
      <c r="C11034" t="s">
        <v>16439</v>
      </c>
      <c r="D11034" t="s">
        <v>16440</v>
      </c>
      <c r="E11034" t="str">
        <f>"1809900709986"</f>
        <v>0</v>
      </c>
      <c r="F11034" t="str">
        <f>"001900"</f>
        <v>0</v>
      </c>
      <c r="G11034" t="s">
        <v>21</v>
      </c>
    </row>
    <row r="11035" spans="1:7">
      <c r="A11035">
        <v>11034</v>
      </c>
      <c r="B11035" t="str">
        <f>"023365"</f>
        <v>0</v>
      </c>
      <c r="C11035" t="s">
        <v>16441</v>
      </c>
      <c r="D11035" t="s">
        <v>16442</v>
      </c>
      <c r="E11035" t="str">
        <f>"3860700135534"</f>
        <v>0</v>
      </c>
      <c r="F11035" t="str">
        <f>"001900"</f>
        <v>0</v>
      </c>
      <c r="G11035" t="s">
        <v>21</v>
      </c>
    </row>
    <row r="11036" spans="1:7">
      <c r="A11036">
        <v>11035</v>
      </c>
      <c r="B11036" t="str">
        <f>"026444"</f>
        <v>0</v>
      </c>
      <c r="C11036" t="s">
        <v>3736</v>
      </c>
      <c r="D11036" t="s">
        <v>16443</v>
      </c>
      <c r="E11036" t="str">
        <f>"1909800737642"</f>
        <v>0</v>
      </c>
      <c r="F11036" t="str">
        <f>"001900"</f>
        <v>0</v>
      </c>
      <c r="G11036" t="s">
        <v>21</v>
      </c>
    </row>
    <row r="11037" spans="1:7">
      <c r="A11037">
        <v>11036</v>
      </c>
      <c r="B11037" t="str">
        <f>"025175"</f>
        <v>0</v>
      </c>
      <c r="C11037" t="s">
        <v>16444</v>
      </c>
      <c r="D11037" t="s">
        <v>16445</v>
      </c>
      <c r="E11037" t="str">
        <f>"3411500249263"</f>
        <v>0</v>
      </c>
      <c r="F11037" t="str">
        <f>"001900"</f>
        <v>0</v>
      </c>
      <c r="G11037" t="s">
        <v>21</v>
      </c>
    </row>
    <row r="11038" spans="1:7">
      <c r="A11038">
        <v>11037</v>
      </c>
      <c r="B11038" t="str">
        <f>"025489"</f>
        <v>0</v>
      </c>
      <c r="C11038" t="s">
        <v>16446</v>
      </c>
      <c r="D11038" t="s">
        <v>16447</v>
      </c>
      <c r="E11038" t="str">
        <f>"3409900783060"</f>
        <v>0</v>
      </c>
      <c r="F11038" t="str">
        <f>"001900"</f>
        <v>0</v>
      </c>
      <c r="G11038" t="s">
        <v>21</v>
      </c>
    </row>
    <row r="11039" spans="1:7">
      <c r="A11039">
        <v>11038</v>
      </c>
      <c r="B11039" t="str">
        <f>"010741"</f>
        <v>0</v>
      </c>
      <c r="C11039" t="s">
        <v>5340</v>
      </c>
      <c r="D11039" t="s">
        <v>16448</v>
      </c>
      <c r="E11039" t="str">
        <f>"3401600113746"</f>
        <v>0</v>
      </c>
      <c r="F11039" t="str">
        <f>"001900"</f>
        <v>0</v>
      </c>
      <c r="G11039" t="s">
        <v>21</v>
      </c>
    </row>
    <row r="11040" spans="1:7">
      <c r="A11040">
        <v>11039</v>
      </c>
      <c r="B11040" t="str">
        <f>"012901"</f>
        <v>0</v>
      </c>
      <c r="C11040" t="s">
        <v>14877</v>
      </c>
      <c r="D11040" t="s">
        <v>16181</v>
      </c>
      <c r="E11040" t="str">
        <f>"3100902044285"</f>
        <v>0</v>
      </c>
      <c r="F11040" t="str">
        <f>"001900"</f>
        <v>0</v>
      </c>
      <c r="G11040" t="s">
        <v>21</v>
      </c>
    </row>
    <row r="11041" spans="1:7">
      <c r="A11041">
        <v>11040</v>
      </c>
      <c r="B11041" t="str">
        <f>"013289"</f>
        <v>0</v>
      </c>
      <c r="C11041" t="s">
        <v>16449</v>
      </c>
      <c r="D11041" t="s">
        <v>16450</v>
      </c>
      <c r="E11041" t="str">
        <f>"3310102013146"</f>
        <v>0</v>
      </c>
      <c r="F11041" t="str">
        <f>"001900"</f>
        <v>0</v>
      </c>
      <c r="G11041" t="s">
        <v>21</v>
      </c>
    </row>
    <row r="11042" spans="1:7">
      <c r="A11042">
        <v>11041</v>
      </c>
      <c r="B11042" t="str">
        <f>"018857"</f>
        <v>0</v>
      </c>
      <c r="C11042" t="s">
        <v>16451</v>
      </c>
      <c r="D11042" t="s">
        <v>16452</v>
      </c>
      <c r="E11042" t="str">
        <f>"3410102129828"</f>
        <v>0</v>
      </c>
      <c r="F11042" t="str">
        <f>"001900"</f>
        <v>0</v>
      </c>
      <c r="G11042" t="s">
        <v>21</v>
      </c>
    </row>
    <row r="11043" spans="1:7">
      <c r="A11043">
        <v>11042</v>
      </c>
      <c r="B11043" t="str">
        <f>"018976"</f>
        <v>0</v>
      </c>
      <c r="C11043" t="s">
        <v>878</v>
      </c>
      <c r="D11043" t="s">
        <v>3313</v>
      </c>
      <c r="E11043" t="str">
        <f>"3410102007862"</f>
        <v>0</v>
      </c>
      <c r="F11043" t="str">
        <f>"001900"</f>
        <v>0</v>
      </c>
      <c r="G11043" t="s">
        <v>21</v>
      </c>
    </row>
    <row r="11044" spans="1:7">
      <c r="A11044">
        <v>11043</v>
      </c>
      <c r="B11044" t="str">
        <f>"019246"</f>
        <v>0</v>
      </c>
      <c r="C11044" t="s">
        <v>16453</v>
      </c>
      <c r="D11044" t="s">
        <v>16454</v>
      </c>
      <c r="E11044" t="str">
        <f>"3410100241132"</f>
        <v>0</v>
      </c>
      <c r="F11044" t="str">
        <f>"001900"</f>
        <v>0</v>
      </c>
      <c r="G11044" t="s">
        <v>21</v>
      </c>
    </row>
    <row r="11045" spans="1:7">
      <c r="A11045">
        <v>11044</v>
      </c>
      <c r="B11045" t="str">
        <f>"021262"</f>
        <v>0</v>
      </c>
      <c r="C11045" t="s">
        <v>3273</v>
      </c>
      <c r="D11045" t="s">
        <v>16455</v>
      </c>
      <c r="E11045" t="str">
        <f>"3410101679468"</f>
        <v>0</v>
      </c>
      <c r="F11045" t="str">
        <f>"001900"</f>
        <v>0</v>
      </c>
      <c r="G11045" t="s">
        <v>21</v>
      </c>
    </row>
    <row r="11046" spans="1:7">
      <c r="A11046">
        <v>11045</v>
      </c>
      <c r="B11046" t="str">
        <f>"021336"</f>
        <v>0</v>
      </c>
      <c r="C11046" t="s">
        <v>3442</v>
      </c>
      <c r="D11046" t="s">
        <v>16456</v>
      </c>
      <c r="E11046" t="str">
        <f>"3410101413174"</f>
        <v>0</v>
      </c>
      <c r="F11046" t="str">
        <f>"001900"</f>
        <v>0</v>
      </c>
      <c r="G11046" t="s">
        <v>21</v>
      </c>
    </row>
    <row r="11047" spans="1:7">
      <c r="A11047">
        <v>11046</v>
      </c>
      <c r="B11047" t="str">
        <f>"021961"</f>
        <v>0</v>
      </c>
      <c r="C11047" t="s">
        <v>16457</v>
      </c>
      <c r="D11047" t="s">
        <v>16458</v>
      </c>
      <c r="E11047" t="str">
        <f>"3471300096749"</f>
        <v>0</v>
      </c>
      <c r="F11047" t="str">
        <f>"001900"</f>
        <v>0</v>
      </c>
      <c r="G11047" t="s">
        <v>21</v>
      </c>
    </row>
    <row r="11048" spans="1:7">
      <c r="A11048">
        <v>11047</v>
      </c>
      <c r="B11048" t="str">
        <f>"025812"</f>
        <v>0</v>
      </c>
      <c r="C11048" t="s">
        <v>16459</v>
      </c>
      <c r="D11048" t="s">
        <v>16460</v>
      </c>
      <c r="E11048" t="str">
        <f>"3411700447328"</f>
        <v>0</v>
      </c>
      <c r="F11048" t="str">
        <f>"001900"</f>
        <v>0</v>
      </c>
      <c r="G11048" t="s">
        <v>21</v>
      </c>
    </row>
    <row r="11049" spans="1:7">
      <c r="A11049">
        <v>11048</v>
      </c>
      <c r="B11049" t="str">
        <f>"023981"</f>
        <v>0</v>
      </c>
      <c r="C11049" t="s">
        <v>16461</v>
      </c>
      <c r="D11049" t="s">
        <v>16462</v>
      </c>
      <c r="E11049" t="str">
        <f>"3640100525945"</f>
        <v>0</v>
      </c>
      <c r="F11049" t="str">
        <f>"001900"</f>
        <v>0</v>
      </c>
      <c r="G11049" t="s">
        <v>21</v>
      </c>
    </row>
    <row r="11050" spans="1:7">
      <c r="A11050">
        <v>11049</v>
      </c>
      <c r="B11050" t="str">
        <f>"001190"</f>
        <v>0</v>
      </c>
      <c r="C11050" t="s">
        <v>6681</v>
      </c>
      <c r="D11050" t="s">
        <v>16463</v>
      </c>
      <c r="E11050" t="str">
        <f>"5610600002263"</f>
        <v>0</v>
      </c>
      <c r="F11050" t="str">
        <f>"001950"</f>
        <v>0</v>
      </c>
      <c r="G11050" t="s">
        <v>21</v>
      </c>
    </row>
    <row r="11051" spans="1:7">
      <c r="A11051">
        <v>11050</v>
      </c>
      <c r="B11051" t="str">
        <f>"002987"</f>
        <v>0</v>
      </c>
      <c r="C11051" t="s">
        <v>5671</v>
      </c>
      <c r="D11051" t="s">
        <v>2767</v>
      </c>
      <c r="E11051" t="str">
        <f>"3610500099021"</f>
        <v>0</v>
      </c>
      <c r="F11051" t="str">
        <f>"001950"</f>
        <v>0</v>
      </c>
      <c r="G11051" t="s">
        <v>21</v>
      </c>
    </row>
    <row r="11052" spans="1:7">
      <c r="A11052">
        <v>11051</v>
      </c>
      <c r="B11052" t="str">
        <f>"005197"</f>
        <v>0</v>
      </c>
      <c r="C11052" t="s">
        <v>3023</v>
      </c>
      <c r="D11052" t="s">
        <v>16464</v>
      </c>
      <c r="E11052" t="str">
        <f>"3470900201313"</f>
        <v>0</v>
      </c>
      <c r="F11052" t="str">
        <f>"001950"</f>
        <v>0</v>
      </c>
      <c r="G11052" t="s">
        <v>21</v>
      </c>
    </row>
    <row r="11053" spans="1:7">
      <c r="A11053">
        <v>11052</v>
      </c>
      <c r="B11053" t="str">
        <f>"005722"</f>
        <v>0</v>
      </c>
      <c r="C11053" t="s">
        <v>1093</v>
      </c>
      <c r="D11053" t="s">
        <v>16465</v>
      </c>
      <c r="E11053" t="str">
        <f>"3619900017543"</f>
        <v>0</v>
      </c>
      <c r="F11053" t="str">
        <f>"001950"</f>
        <v>0</v>
      </c>
      <c r="G11053" t="s">
        <v>21</v>
      </c>
    </row>
    <row r="11054" spans="1:7">
      <c r="A11054">
        <v>11053</v>
      </c>
      <c r="B11054" t="str">
        <f>"005864"</f>
        <v>0</v>
      </c>
      <c r="C11054" t="s">
        <v>16466</v>
      </c>
      <c r="D11054" t="s">
        <v>16467</v>
      </c>
      <c r="E11054" t="str">
        <f>"3660200027912"</f>
        <v>0</v>
      </c>
      <c r="F11054" t="str">
        <f>"001950"</f>
        <v>0</v>
      </c>
      <c r="G11054" t="s">
        <v>21</v>
      </c>
    </row>
    <row r="11055" spans="1:7">
      <c r="A11055">
        <v>11054</v>
      </c>
      <c r="B11055" t="str">
        <f>"006064"</f>
        <v>0</v>
      </c>
      <c r="C11055" t="s">
        <v>2239</v>
      </c>
      <c r="D11055" t="s">
        <v>12789</v>
      </c>
      <c r="E11055" t="str">
        <f>"3619900066358"</f>
        <v>0</v>
      </c>
      <c r="F11055" t="str">
        <f>"001950"</f>
        <v>0</v>
      </c>
      <c r="G11055" t="s">
        <v>21</v>
      </c>
    </row>
    <row r="11056" spans="1:7">
      <c r="A11056">
        <v>11055</v>
      </c>
      <c r="B11056" t="str">
        <f>"006474"</f>
        <v>0</v>
      </c>
      <c r="C11056" t="s">
        <v>16468</v>
      </c>
      <c r="D11056" t="s">
        <v>792</v>
      </c>
      <c r="E11056" t="str">
        <f>"3619900141996"</f>
        <v>0</v>
      </c>
      <c r="F11056" t="str">
        <f>"001950"</f>
        <v>0</v>
      </c>
      <c r="G11056" t="s">
        <v>21</v>
      </c>
    </row>
    <row r="11057" spans="1:7">
      <c r="A11057">
        <v>11056</v>
      </c>
      <c r="B11057" t="str">
        <f>"006690"</f>
        <v>0</v>
      </c>
      <c r="C11057" t="s">
        <v>4781</v>
      </c>
      <c r="D11057" t="s">
        <v>16469</v>
      </c>
      <c r="E11057" t="str">
        <f>"3639900221639"</f>
        <v>0</v>
      </c>
      <c r="F11057" t="str">
        <f>"001950"</f>
        <v>0</v>
      </c>
      <c r="G11057" t="s">
        <v>21</v>
      </c>
    </row>
    <row r="11058" spans="1:7">
      <c r="A11058">
        <v>11057</v>
      </c>
      <c r="B11058" t="str">
        <f>"006691"</f>
        <v>0</v>
      </c>
      <c r="C11058" t="s">
        <v>16470</v>
      </c>
      <c r="D11058" t="s">
        <v>14814</v>
      </c>
      <c r="E11058" t="str">
        <f>"3619900089404"</f>
        <v>0</v>
      </c>
      <c r="F11058" t="str">
        <f>"001950"</f>
        <v>0</v>
      </c>
      <c r="G11058" t="s">
        <v>21</v>
      </c>
    </row>
    <row r="11059" spans="1:7">
      <c r="A11059">
        <v>11058</v>
      </c>
      <c r="B11059" t="str">
        <f>"007188"</f>
        <v>0</v>
      </c>
      <c r="C11059" t="s">
        <v>2262</v>
      </c>
      <c r="D11059" t="s">
        <v>13007</v>
      </c>
      <c r="E11059" t="str">
        <f>"3610400335661"</f>
        <v>0</v>
      </c>
      <c r="F11059" t="str">
        <f>"001950"</f>
        <v>0</v>
      </c>
      <c r="G11059" t="s">
        <v>21</v>
      </c>
    </row>
    <row r="11060" spans="1:7">
      <c r="A11060">
        <v>11059</v>
      </c>
      <c r="B11060" t="str">
        <f>"008615"</f>
        <v>0</v>
      </c>
      <c r="C11060" t="s">
        <v>2303</v>
      </c>
      <c r="D11060" t="s">
        <v>16471</v>
      </c>
      <c r="E11060" t="str">
        <f>"3460500486833"</f>
        <v>0</v>
      </c>
      <c r="F11060" t="str">
        <f>"001950"</f>
        <v>0</v>
      </c>
      <c r="G11060" t="s">
        <v>21</v>
      </c>
    </row>
    <row r="11061" spans="1:7">
      <c r="A11061">
        <v>11060</v>
      </c>
      <c r="B11061" t="str">
        <f>"009010"</f>
        <v>0</v>
      </c>
      <c r="C11061" t="s">
        <v>405</v>
      </c>
      <c r="D11061" t="s">
        <v>16472</v>
      </c>
      <c r="E11061" t="str">
        <f>"3610200277099"</f>
        <v>0</v>
      </c>
      <c r="F11061" t="str">
        <f>"001950"</f>
        <v>0</v>
      </c>
      <c r="G11061" t="s">
        <v>21</v>
      </c>
    </row>
    <row r="11062" spans="1:7">
      <c r="A11062">
        <v>11061</v>
      </c>
      <c r="B11062" t="str">
        <f>"009427"</f>
        <v>0</v>
      </c>
      <c r="C11062" t="s">
        <v>16473</v>
      </c>
      <c r="D11062" t="s">
        <v>16471</v>
      </c>
      <c r="E11062" t="str">
        <f>"3610400041781"</f>
        <v>0</v>
      </c>
      <c r="F11062" t="str">
        <f>"001950"</f>
        <v>0</v>
      </c>
      <c r="G11062" t="s">
        <v>21</v>
      </c>
    </row>
    <row r="11063" spans="1:7">
      <c r="A11063">
        <v>11062</v>
      </c>
      <c r="B11063" t="str">
        <f>"009665"</f>
        <v>0</v>
      </c>
      <c r="C11063" t="s">
        <v>372</v>
      </c>
      <c r="D11063" t="s">
        <v>16474</v>
      </c>
      <c r="E11063" t="str">
        <f>"3610500063451"</f>
        <v>0</v>
      </c>
      <c r="F11063" t="str">
        <f>"001950"</f>
        <v>0</v>
      </c>
      <c r="G11063" t="s">
        <v>21</v>
      </c>
    </row>
    <row r="11064" spans="1:7">
      <c r="A11064">
        <v>11063</v>
      </c>
      <c r="B11064" t="str">
        <f>"010929"</f>
        <v>0</v>
      </c>
      <c r="C11064" t="s">
        <v>16475</v>
      </c>
      <c r="D11064" t="s">
        <v>16476</v>
      </c>
      <c r="E11064" t="str">
        <f>"3619900115111"</f>
        <v>0</v>
      </c>
      <c r="F11064" t="str">
        <f>"001950"</f>
        <v>0</v>
      </c>
      <c r="G11064" t="s">
        <v>21</v>
      </c>
    </row>
    <row r="11065" spans="1:7">
      <c r="A11065">
        <v>11064</v>
      </c>
      <c r="B11065" t="str">
        <f>"011185"</f>
        <v>0</v>
      </c>
      <c r="C11065" t="s">
        <v>13658</v>
      </c>
      <c r="D11065" t="s">
        <v>16477</v>
      </c>
      <c r="E11065" t="str">
        <f>"3600300220455"</f>
        <v>0</v>
      </c>
      <c r="F11065" t="str">
        <f>"001950"</f>
        <v>0</v>
      </c>
      <c r="G11065" t="s">
        <v>21</v>
      </c>
    </row>
    <row r="11066" spans="1:7">
      <c r="A11066">
        <v>11065</v>
      </c>
      <c r="B11066" t="str">
        <f>"011297"</f>
        <v>0</v>
      </c>
      <c r="C11066" t="s">
        <v>15518</v>
      </c>
      <c r="D11066" t="s">
        <v>16478</v>
      </c>
      <c r="E11066" t="str">
        <f>"3619900159437"</f>
        <v>0</v>
      </c>
      <c r="F11066" t="str">
        <f>"001950"</f>
        <v>0</v>
      </c>
      <c r="G11066" t="s">
        <v>21</v>
      </c>
    </row>
    <row r="11067" spans="1:7">
      <c r="A11067">
        <v>11066</v>
      </c>
      <c r="B11067" t="str">
        <f>"011383"</f>
        <v>0</v>
      </c>
      <c r="C11067" t="s">
        <v>16479</v>
      </c>
      <c r="D11067" t="s">
        <v>16480</v>
      </c>
      <c r="E11067" t="str">
        <f>"5610400018751"</f>
        <v>0</v>
      </c>
      <c r="F11067" t="str">
        <f>"001950"</f>
        <v>0</v>
      </c>
      <c r="G11067" t="s">
        <v>21</v>
      </c>
    </row>
    <row r="11068" spans="1:7">
      <c r="A11068">
        <v>11067</v>
      </c>
      <c r="B11068" t="str">
        <f>"012922"</f>
        <v>0</v>
      </c>
      <c r="C11068" t="s">
        <v>3823</v>
      </c>
      <c r="D11068" t="s">
        <v>16481</v>
      </c>
      <c r="E11068" t="str">
        <f>"3309900513764"</f>
        <v>0</v>
      </c>
      <c r="F11068" t="str">
        <f>"001950"</f>
        <v>0</v>
      </c>
      <c r="G11068" t="s">
        <v>21</v>
      </c>
    </row>
    <row r="11069" spans="1:7">
      <c r="A11069">
        <v>11068</v>
      </c>
      <c r="B11069" t="str">
        <f>"013726"</f>
        <v>0</v>
      </c>
      <c r="C11069" t="s">
        <v>2375</v>
      </c>
      <c r="D11069" t="s">
        <v>9357</v>
      </c>
      <c r="E11069" t="str">
        <f>"3600400487810"</f>
        <v>0</v>
      </c>
      <c r="F11069" t="str">
        <f>"001950"</f>
        <v>0</v>
      </c>
      <c r="G11069" t="s">
        <v>21</v>
      </c>
    </row>
    <row r="11070" spans="1:7">
      <c r="A11070">
        <v>11069</v>
      </c>
      <c r="B11070" t="str">
        <f>"014167"</f>
        <v>0</v>
      </c>
      <c r="C11070" t="s">
        <v>16482</v>
      </c>
      <c r="D11070" t="s">
        <v>16019</v>
      </c>
      <c r="E11070" t="str">
        <f>"3600300220447"</f>
        <v>0</v>
      </c>
      <c r="F11070" t="str">
        <f>"001950"</f>
        <v>0</v>
      </c>
      <c r="G11070" t="s">
        <v>21</v>
      </c>
    </row>
    <row r="11071" spans="1:7">
      <c r="A11071">
        <v>11070</v>
      </c>
      <c r="B11071" t="str">
        <f>"015736"</f>
        <v>0</v>
      </c>
      <c r="C11071" t="s">
        <v>4967</v>
      </c>
      <c r="D11071" t="s">
        <v>16483</v>
      </c>
      <c r="E11071" t="str">
        <f>"3949800018031"</f>
        <v>0</v>
      </c>
      <c r="F11071" t="str">
        <f>"001950"</f>
        <v>0</v>
      </c>
      <c r="G11071" t="s">
        <v>21</v>
      </c>
    </row>
    <row r="11072" spans="1:7">
      <c r="A11072">
        <v>11071</v>
      </c>
      <c r="B11072" t="str">
        <f>"017189"</f>
        <v>0</v>
      </c>
      <c r="C11072" t="s">
        <v>16484</v>
      </c>
      <c r="D11072" t="s">
        <v>16485</v>
      </c>
      <c r="E11072" t="str">
        <f>"3610400378867"</f>
        <v>0</v>
      </c>
      <c r="F11072" t="str">
        <f>"001950"</f>
        <v>0</v>
      </c>
      <c r="G11072" t="s">
        <v>21</v>
      </c>
    </row>
    <row r="11073" spans="1:7">
      <c r="A11073">
        <v>11072</v>
      </c>
      <c r="B11073" t="str">
        <f>"017380"</f>
        <v>0</v>
      </c>
      <c r="C11073" t="s">
        <v>16486</v>
      </c>
      <c r="D11073" t="s">
        <v>988</v>
      </c>
      <c r="E11073" t="str">
        <f>"3619900143581"</f>
        <v>0</v>
      </c>
      <c r="F11073" t="str">
        <f>"001950"</f>
        <v>0</v>
      </c>
      <c r="G11073" t="s">
        <v>21</v>
      </c>
    </row>
    <row r="11074" spans="1:7">
      <c r="A11074">
        <v>11073</v>
      </c>
      <c r="B11074" t="str">
        <f>"017688"</f>
        <v>0</v>
      </c>
      <c r="C11074" t="s">
        <v>16487</v>
      </c>
      <c r="D11074" t="s">
        <v>16488</v>
      </c>
      <c r="E11074" t="str">
        <f>"3619900051504"</f>
        <v>0</v>
      </c>
      <c r="F11074" t="str">
        <f>"001950"</f>
        <v>0</v>
      </c>
      <c r="G11074" t="s">
        <v>21</v>
      </c>
    </row>
    <row r="11075" spans="1:7">
      <c r="A11075">
        <v>11074</v>
      </c>
      <c r="B11075" t="str">
        <f>"018031"</f>
        <v>0</v>
      </c>
      <c r="C11075" t="s">
        <v>130</v>
      </c>
      <c r="D11075" t="s">
        <v>16489</v>
      </c>
      <c r="E11075" t="str">
        <f>"3610200104411"</f>
        <v>0</v>
      </c>
      <c r="F11075" t="str">
        <f>"001950"</f>
        <v>0</v>
      </c>
      <c r="G11075" t="s">
        <v>21</v>
      </c>
    </row>
    <row r="11076" spans="1:7">
      <c r="A11076">
        <v>11075</v>
      </c>
      <c r="B11076" t="str">
        <f>"019128"</f>
        <v>0</v>
      </c>
      <c r="C11076" t="s">
        <v>9442</v>
      </c>
      <c r="D11076" t="s">
        <v>16490</v>
      </c>
      <c r="E11076" t="str">
        <f>"3619900091395"</f>
        <v>0</v>
      </c>
      <c r="F11076" t="str">
        <f>"001950"</f>
        <v>0</v>
      </c>
      <c r="G11076" t="s">
        <v>21</v>
      </c>
    </row>
    <row r="11077" spans="1:7">
      <c r="A11077">
        <v>11076</v>
      </c>
      <c r="B11077" t="str">
        <f>"022307"</f>
        <v>0</v>
      </c>
      <c r="C11077" t="s">
        <v>7249</v>
      </c>
      <c r="D11077" t="s">
        <v>16491</v>
      </c>
      <c r="E11077" t="str">
        <f>"3619900072471"</f>
        <v>0</v>
      </c>
      <c r="F11077" t="str">
        <f>"001950"</f>
        <v>0</v>
      </c>
      <c r="G11077" t="s">
        <v>21</v>
      </c>
    </row>
    <row r="11078" spans="1:7">
      <c r="A11078">
        <v>11077</v>
      </c>
      <c r="B11078" t="str">
        <f>"012530"</f>
        <v>0</v>
      </c>
      <c r="C11078" t="s">
        <v>16492</v>
      </c>
      <c r="D11078" t="s">
        <v>16493</v>
      </c>
      <c r="E11078" t="str">
        <f>"3619900076345"</f>
        <v>0</v>
      </c>
      <c r="F11078" t="str">
        <f>"001950"</f>
        <v>0</v>
      </c>
      <c r="G11078" t="s">
        <v>21</v>
      </c>
    </row>
    <row r="11079" spans="1:7">
      <c r="A11079">
        <v>11078</v>
      </c>
      <c r="B11079" t="str">
        <f>"018162"</f>
        <v>0</v>
      </c>
      <c r="C11079" t="s">
        <v>16494</v>
      </c>
      <c r="D11079" t="s">
        <v>16495</v>
      </c>
      <c r="E11079" t="str">
        <f>"3619900030922"</f>
        <v>0</v>
      </c>
      <c r="F11079" t="str">
        <f>"001950"</f>
        <v>0</v>
      </c>
      <c r="G11079" t="s">
        <v>21</v>
      </c>
    </row>
    <row r="11080" spans="1:7">
      <c r="A11080">
        <v>11079</v>
      </c>
      <c r="B11080" t="str">
        <f>"007084"</f>
        <v>0</v>
      </c>
      <c r="C11080" t="s">
        <v>16496</v>
      </c>
      <c r="D11080" t="s">
        <v>3943</v>
      </c>
      <c r="E11080" t="str">
        <f>"3610100039153"</f>
        <v>0</v>
      </c>
      <c r="F11080" t="str">
        <f>"001950"</f>
        <v>0</v>
      </c>
      <c r="G11080" t="s">
        <v>21</v>
      </c>
    </row>
    <row r="11081" spans="1:7">
      <c r="A11081">
        <v>11080</v>
      </c>
      <c r="B11081" t="str">
        <f>"026598"</f>
        <v>0</v>
      </c>
      <c r="C11081" t="s">
        <v>8043</v>
      </c>
      <c r="D11081" t="s">
        <v>16497</v>
      </c>
      <c r="E11081" t="str">
        <f>"3600100179800"</f>
        <v>0</v>
      </c>
      <c r="F11081" t="str">
        <f>"001950"</f>
        <v>0</v>
      </c>
      <c r="G11081" t="s">
        <v>21</v>
      </c>
    </row>
    <row r="11082" spans="1:7">
      <c r="A11082">
        <v>11081</v>
      </c>
      <c r="B11082" t="str">
        <f>"026948"</f>
        <v>0</v>
      </c>
      <c r="C11082" t="s">
        <v>16498</v>
      </c>
      <c r="D11082" t="s">
        <v>16499</v>
      </c>
      <c r="E11082" t="str">
        <f>"1179900051111"</f>
        <v>0</v>
      </c>
      <c r="F11082" t="str">
        <f>"001950"</f>
        <v>0</v>
      </c>
      <c r="G11082" t="s">
        <v>21</v>
      </c>
    </row>
    <row r="11083" spans="1:7">
      <c r="A11083">
        <v>11082</v>
      </c>
      <c r="B11083" t="str">
        <f>"027268"</f>
        <v>0</v>
      </c>
      <c r="C11083" t="s">
        <v>5870</v>
      </c>
      <c r="D11083" t="s">
        <v>16500</v>
      </c>
      <c r="E11083" t="str">
        <f>"1179900199305"</f>
        <v>0</v>
      </c>
      <c r="F11083" t="str">
        <f>"001950"</f>
        <v>0</v>
      </c>
      <c r="G11083" t="s">
        <v>21</v>
      </c>
    </row>
    <row r="11084" spans="1:7">
      <c r="A11084">
        <v>11083</v>
      </c>
      <c r="B11084" t="str">
        <f>"022272"</f>
        <v>0</v>
      </c>
      <c r="C11084" t="s">
        <v>13429</v>
      </c>
      <c r="D11084" t="s">
        <v>16501</v>
      </c>
      <c r="E11084" t="str">
        <f>"3100504404761"</f>
        <v>0</v>
      </c>
      <c r="F11084" t="str">
        <f>"001950"</f>
        <v>0</v>
      </c>
      <c r="G11084" t="s">
        <v>21</v>
      </c>
    </row>
    <row r="11085" spans="1:7">
      <c r="A11085">
        <v>11084</v>
      </c>
      <c r="B11085" t="str">
        <f>"022775"</f>
        <v>0</v>
      </c>
      <c r="C11085" t="s">
        <v>16502</v>
      </c>
      <c r="D11085" t="s">
        <v>16503</v>
      </c>
      <c r="E11085" t="str">
        <f>"1619900021218"</f>
        <v>0</v>
      </c>
      <c r="F11085" t="str">
        <f>"001950"</f>
        <v>0</v>
      </c>
      <c r="G11085" t="s">
        <v>21</v>
      </c>
    </row>
    <row r="11086" spans="1:7">
      <c r="A11086">
        <v>11085</v>
      </c>
      <c r="B11086" t="str">
        <f>"023487"</f>
        <v>0</v>
      </c>
      <c r="C11086" t="s">
        <v>16504</v>
      </c>
      <c r="D11086" t="s">
        <v>16505</v>
      </c>
      <c r="E11086" t="str">
        <f>"3180100489129"</f>
        <v>0</v>
      </c>
      <c r="F11086" t="str">
        <f>"001950"</f>
        <v>0</v>
      </c>
      <c r="G11086" t="s">
        <v>21</v>
      </c>
    </row>
    <row r="11087" spans="1:7">
      <c r="A11087">
        <v>11086</v>
      </c>
      <c r="B11087" t="str">
        <f>"020248"</f>
        <v>0</v>
      </c>
      <c r="C11087" t="s">
        <v>8840</v>
      </c>
      <c r="D11087" t="s">
        <v>16506</v>
      </c>
      <c r="E11087" t="str">
        <f>"3550300075308"</f>
        <v>0</v>
      </c>
      <c r="F11087" t="str">
        <f>"001950"</f>
        <v>0</v>
      </c>
      <c r="G11087" t="s">
        <v>21</v>
      </c>
    </row>
    <row r="11088" spans="1:7">
      <c r="A11088">
        <v>11087</v>
      </c>
      <c r="B11088" t="str">
        <f>"007252"</f>
        <v>0</v>
      </c>
      <c r="C11088" t="s">
        <v>16507</v>
      </c>
      <c r="D11088" t="s">
        <v>16508</v>
      </c>
      <c r="E11088" t="str">
        <f>"3610200094296"</f>
        <v>0</v>
      </c>
      <c r="F11088" t="str">
        <f>"001950"</f>
        <v>0</v>
      </c>
      <c r="G11088" t="s">
        <v>21</v>
      </c>
    </row>
    <row r="11089" spans="1:7">
      <c r="A11089">
        <v>11088</v>
      </c>
      <c r="B11089" t="str">
        <f>"007826"</f>
        <v>0</v>
      </c>
      <c r="C11089" t="s">
        <v>2073</v>
      </c>
      <c r="D11089" t="s">
        <v>16509</v>
      </c>
      <c r="E11089" t="str">
        <f>"3619900091271"</f>
        <v>0</v>
      </c>
      <c r="F11089" t="str">
        <f>"001950"</f>
        <v>0</v>
      </c>
      <c r="G11089" t="s">
        <v>21</v>
      </c>
    </row>
    <row r="11090" spans="1:7">
      <c r="A11090">
        <v>11089</v>
      </c>
      <c r="B11090" t="str">
        <f>"009102"</f>
        <v>0</v>
      </c>
      <c r="C11090" t="s">
        <v>2292</v>
      </c>
      <c r="D11090" t="s">
        <v>16510</v>
      </c>
      <c r="E11090" t="str">
        <f>"3600300420888"</f>
        <v>0</v>
      </c>
      <c r="F11090" t="str">
        <f>"001950"</f>
        <v>0</v>
      </c>
      <c r="G11090" t="s">
        <v>21</v>
      </c>
    </row>
    <row r="11091" spans="1:7">
      <c r="A11091">
        <v>11090</v>
      </c>
      <c r="B11091" t="str">
        <f>"010040"</f>
        <v>0</v>
      </c>
      <c r="C11091" t="s">
        <v>16511</v>
      </c>
      <c r="D11091" t="s">
        <v>16512</v>
      </c>
      <c r="E11091" t="str">
        <f>"3180100187173"</f>
        <v>0</v>
      </c>
      <c r="F11091" t="str">
        <f>"001950"</f>
        <v>0</v>
      </c>
      <c r="G11091" t="s">
        <v>21</v>
      </c>
    </row>
    <row r="11092" spans="1:7">
      <c r="A11092">
        <v>11091</v>
      </c>
      <c r="B11092" t="str">
        <f>"010854"</f>
        <v>0</v>
      </c>
      <c r="C11092" t="s">
        <v>16513</v>
      </c>
      <c r="D11092" t="s">
        <v>16514</v>
      </c>
      <c r="E11092" t="str">
        <f>"3610500063299"</f>
        <v>0</v>
      </c>
      <c r="F11092" t="str">
        <f>"001950"</f>
        <v>0</v>
      </c>
      <c r="G11092" t="s">
        <v>21</v>
      </c>
    </row>
    <row r="11093" spans="1:7">
      <c r="A11093">
        <v>11092</v>
      </c>
      <c r="B11093" t="str">
        <f>"011006"</f>
        <v>0</v>
      </c>
      <c r="C11093" t="s">
        <v>16515</v>
      </c>
      <c r="D11093" t="s">
        <v>16516</v>
      </c>
      <c r="E11093" t="str">
        <f>"3550100040802"</f>
        <v>0</v>
      </c>
      <c r="F11093" t="str">
        <f>"001950"</f>
        <v>0</v>
      </c>
      <c r="G11093" t="s">
        <v>21</v>
      </c>
    </row>
    <row r="11094" spans="1:7">
      <c r="A11094">
        <v>11093</v>
      </c>
      <c r="B11094" t="str">
        <f>"013975"</f>
        <v>0</v>
      </c>
      <c r="C11094" t="s">
        <v>686</v>
      </c>
      <c r="D11094" t="s">
        <v>16517</v>
      </c>
      <c r="E11094" t="str">
        <f>"3610100212050"</f>
        <v>0</v>
      </c>
      <c r="F11094" t="str">
        <f>"001950"</f>
        <v>0</v>
      </c>
      <c r="G11094" t="s">
        <v>21</v>
      </c>
    </row>
    <row r="11095" spans="1:7">
      <c r="A11095">
        <v>11094</v>
      </c>
      <c r="B11095" t="str">
        <f>"015343"</f>
        <v>0</v>
      </c>
      <c r="C11095" t="s">
        <v>16518</v>
      </c>
      <c r="D11095" t="s">
        <v>16519</v>
      </c>
      <c r="E11095" t="str">
        <f>"3610100145590"</f>
        <v>0</v>
      </c>
      <c r="F11095" t="str">
        <f>"001950"</f>
        <v>0</v>
      </c>
      <c r="G11095" t="s">
        <v>21</v>
      </c>
    </row>
    <row r="11096" spans="1:7">
      <c r="A11096">
        <v>11095</v>
      </c>
      <c r="B11096" t="str">
        <f>"019110"</f>
        <v>0</v>
      </c>
      <c r="C11096" t="s">
        <v>16520</v>
      </c>
      <c r="D11096" t="s">
        <v>16521</v>
      </c>
      <c r="E11096" t="str">
        <f>"3730200499821"</f>
        <v>0</v>
      </c>
      <c r="F11096" t="str">
        <f>"001950"</f>
        <v>0</v>
      </c>
      <c r="G11096" t="s">
        <v>21</v>
      </c>
    </row>
    <row r="11097" spans="1:7">
      <c r="A11097">
        <v>11096</v>
      </c>
      <c r="B11097" t="str">
        <f>"019900"</f>
        <v>0</v>
      </c>
      <c r="C11097" t="s">
        <v>16522</v>
      </c>
      <c r="D11097" t="s">
        <v>16523</v>
      </c>
      <c r="E11097" t="str">
        <f>"3610300051793"</f>
        <v>0</v>
      </c>
      <c r="F11097" t="str">
        <f>"001950"</f>
        <v>0</v>
      </c>
      <c r="G11097" t="s">
        <v>21</v>
      </c>
    </row>
    <row r="11098" spans="1:7">
      <c r="A11098">
        <v>11097</v>
      </c>
      <c r="B11098" t="str">
        <f>"019933"</f>
        <v>0</v>
      </c>
      <c r="C11098" t="s">
        <v>16524</v>
      </c>
      <c r="D11098" t="s">
        <v>16525</v>
      </c>
      <c r="E11098" t="str">
        <f>"3610600238406"</f>
        <v>0</v>
      </c>
      <c r="F11098" t="str">
        <f>"001950"</f>
        <v>0</v>
      </c>
      <c r="G11098" t="s">
        <v>21</v>
      </c>
    </row>
    <row r="11099" spans="1:7">
      <c r="A11099">
        <v>11098</v>
      </c>
      <c r="B11099" t="str">
        <f>"020785"</f>
        <v>0</v>
      </c>
      <c r="C11099" t="s">
        <v>677</v>
      </c>
      <c r="D11099" t="s">
        <v>16526</v>
      </c>
      <c r="E11099" t="str">
        <f>"3610100095550"</f>
        <v>0</v>
      </c>
      <c r="F11099" t="str">
        <f>"001950"</f>
        <v>0</v>
      </c>
      <c r="G11099" t="s">
        <v>21</v>
      </c>
    </row>
    <row r="11100" spans="1:7">
      <c r="A11100">
        <v>11099</v>
      </c>
      <c r="B11100" t="str">
        <f>"021337"</f>
        <v>0</v>
      </c>
      <c r="C11100" t="s">
        <v>16527</v>
      </c>
      <c r="D11100" t="s">
        <v>16528</v>
      </c>
      <c r="E11100" t="str">
        <f>"3610400458895"</f>
        <v>0</v>
      </c>
      <c r="F11100" t="str">
        <f>"001950"</f>
        <v>0</v>
      </c>
      <c r="G11100" t="s">
        <v>21</v>
      </c>
    </row>
    <row r="11101" spans="1:7">
      <c r="A11101">
        <v>11100</v>
      </c>
      <c r="B11101" t="str">
        <f>"021983"</f>
        <v>0</v>
      </c>
      <c r="C11101" t="s">
        <v>5629</v>
      </c>
      <c r="D11101" t="s">
        <v>16529</v>
      </c>
      <c r="E11101" t="str">
        <f>"3610400133503"</f>
        <v>0</v>
      </c>
      <c r="F11101" t="str">
        <f>"001950"</f>
        <v>0</v>
      </c>
      <c r="G11101" t="s">
        <v>21</v>
      </c>
    </row>
    <row r="11102" spans="1:7">
      <c r="A11102">
        <v>11101</v>
      </c>
      <c r="B11102" t="str">
        <f>"021990"</f>
        <v>0</v>
      </c>
      <c r="C11102" t="s">
        <v>2903</v>
      </c>
      <c r="D11102" t="s">
        <v>16530</v>
      </c>
      <c r="E11102" t="str">
        <f>"3610600073083"</f>
        <v>0</v>
      </c>
      <c r="F11102" t="str">
        <f>"001950"</f>
        <v>0</v>
      </c>
      <c r="G11102" t="s">
        <v>21</v>
      </c>
    </row>
    <row r="11103" spans="1:7">
      <c r="A11103">
        <v>11102</v>
      </c>
      <c r="B11103" t="str">
        <f>"022133"</f>
        <v>0</v>
      </c>
      <c r="C11103" t="s">
        <v>16531</v>
      </c>
      <c r="D11103" t="s">
        <v>16532</v>
      </c>
      <c r="E11103" t="str">
        <f>"3610400405350"</f>
        <v>0</v>
      </c>
      <c r="F11103" t="str">
        <f>"001950"</f>
        <v>0</v>
      </c>
      <c r="G11103" t="s">
        <v>21</v>
      </c>
    </row>
    <row r="11104" spans="1:7">
      <c r="A11104">
        <v>11103</v>
      </c>
      <c r="B11104" t="str">
        <f>"022214"</f>
        <v>0</v>
      </c>
      <c r="C11104" t="s">
        <v>16533</v>
      </c>
      <c r="D11104" t="s">
        <v>16534</v>
      </c>
      <c r="E11104" t="str">
        <f>"1610290002012"</f>
        <v>0</v>
      </c>
      <c r="F11104" t="str">
        <f>"001950"</f>
        <v>0</v>
      </c>
      <c r="G11104" t="s">
        <v>21</v>
      </c>
    </row>
    <row r="11105" spans="1:7">
      <c r="A11105">
        <v>11104</v>
      </c>
      <c r="B11105" t="str">
        <f>"022776"</f>
        <v>0</v>
      </c>
      <c r="C11105" t="s">
        <v>1474</v>
      </c>
      <c r="D11105" t="s">
        <v>16535</v>
      </c>
      <c r="E11105" t="str">
        <f>"4600100001847"</f>
        <v>0</v>
      </c>
      <c r="F11105" t="str">
        <f>"001950"</f>
        <v>0</v>
      </c>
      <c r="G11105" t="s">
        <v>21</v>
      </c>
    </row>
    <row r="11106" spans="1:7">
      <c r="A11106">
        <v>11105</v>
      </c>
      <c r="B11106" t="str">
        <f>"023782"</f>
        <v>0</v>
      </c>
      <c r="C11106" t="s">
        <v>16536</v>
      </c>
      <c r="D11106" t="s">
        <v>16537</v>
      </c>
      <c r="E11106" t="str">
        <f>"3610600037974"</f>
        <v>0</v>
      </c>
      <c r="F11106" t="str">
        <f>"001950"</f>
        <v>0</v>
      </c>
      <c r="G11106" t="s">
        <v>21</v>
      </c>
    </row>
    <row r="11107" spans="1:7">
      <c r="A11107">
        <v>11106</v>
      </c>
      <c r="B11107" t="str">
        <f>"023848"</f>
        <v>0</v>
      </c>
      <c r="C11107" t="s">
        <v>16538</v>
      </c>
      <c r="D11107" t="s">
        <v>16539</v>
      </c>
      <c r="E11107" t="str">
        <f>"3630200124942"</f>
        <v>0</v>
      </c>
      <c r="F11107" t="str">
        <f>"001950"</f>
        <v>0</v>
      </c>
      <c r="G11107" t="s">
        <v>21</v>
      </c>
    </row>
    <row r="11108" spans="1:7">
      <c r="A11108">
        <v>11107</v>
      </c>
      <c r="B11108" t="str">
        <f>"024293"</f>
        <v>0</v>
      </c>
      <c r="C11108" t="s">
        <v>14333</v>
      </c>
      <c r="D11108" t="s">
        <v>16540</v>
      </c>
      <c r="E11108" t="str">
        <f>"3610400049812"</f>
        <v>0</v>
      </c>
      <c r="F11108" t="str">
        <f>"001950"</f>
        <v>0</v>
      </c>
      <c r="G11108" t="s">
        <v>21</v>
      </c>
    </row>
    <row r="11109" spans="1:7">
      <c r="A11109">
        <v>11108</v>
      </c>
      <c r="B11109" t="str">
        <f>"024332"</f>
        <v>0</v>
      </c>
      <c r="C11109" t="s">
        <v>1070</v>
      </c>
      <c r="D11109" t="s">
        <v>16541</v>
      </c>
      <c r="E11109" t="str">
        <f>"3610300152654"</f>
        <v>0</v>
      </c>
      <c r="F11109" t="str">
        <f>"001950"</f>
        <v>0</v>
      </c>
      <c r="G11109" t="s">
        <v>21</v>
      </c>
    </row>
    <row r="11110" spans="1:7">
      <c r="A11110">
        <v>11109</v>
      </c>
      <c r="B11110" t="str">
        <f>"024883"</f>
        <v>0</v>
      </c>
      <c r="C11110" t="s">
        <v>16542</v>
      </c>
      <c r="D11110" t="s">
        <v>16543</v>
      </c>
      <c r="E11110" t="str">
        <f>"3610600255505"</f>
        <v>0</v>
      </c>
      <c r="F11110" t="str">
        <f>"001950"</f>
        <v>0</v>
      </c>
      <c r="G11110" t="s">
        <v>21</v>
      </c>
    </row>
    <row r="11111" spans="1:7">
      <c r="A11111">
        <v>11110</v>
      </c>
      <c r="B11111" t="str">
        <f>"025208"</f>
        <v>0</v>
      </c>
      <c r="C11111" t="s">
        <v>9669</v>
      </c>
      <c r="D11111" t="s">
        <v>16544</v>
      </c>
      <c r="E11111" t="str">
        <f>"1619900123720"</f>
        <v>0</v>
      </c>
      <c r="F11111" t="str">
        <f>"001950"</f>
        <v>0</v>
      </c>
      <c r="G11111" t="s">
        <v>21</v>
      </c>
    </row>
    <row r="11112" spans="1:7">
      <c r="A11112">
        <v>11111</v>
      </c>
      <c r="B11112" t="str">
        <f>"025363"</f>
        <v>0</v>
      </c>
      <c r="C11112" t="s">
        <v>16545</v>
      </c>
      <c r="D11112" t="s">
        <v>16546</v>
      </c>
      <c r="E11112" t="str">
        <f>"3610700308929"</f>
        <v>0</v>
      </c>
      <c r="F11112" t="str">
        <f>"001950"</f>
        <v>0</v>
      </c>
      <c r="G11112" t="s">
        <v>21</v>
      </c>
    </row>
    <row r="11113" spans="1:7">
      <c r="A11113">
        <v>11112</v>
      </c>
      <c r="B11113" t="str">
        <f>"026267"</f>
        <v>0</v>
      </c>
      <c r="C11113" t="s">
        <v>14327</v>
      </c>
      <c r="D11113" t="s">
        <v>16547</v>
      </c>
      <c r="E11113" t="str">
        <f>"1619900158868"</f>
        <v>0</v>
      </c>
      <c r="F11113" t="str">
        <f>"001950"</f>
        <v>0</v>
      </c>
      <c r="G11113" t="s">
        <v>21</v>
      </c>
    </row>
    <row r="11114" spans="1:7">
      <c r="A11114">
        <v>11113</v>
      </c>
      <c r="B11114" t="str">
        <f>"026504"</f>
        <v>0</v>
      </c>
      <c r="C11114" t="s">
        <v>16548</v>
      </c>
      <c r="D11114" t="s">
        <v>15599</v>
      </c>
      <c r="E11114" t="str">
        <f>"1659900269023"</f>
        <v>0</v>
      </c>
      <c r="F11114" t="str">
        <f>"001950"</f>
        <v>0</v>
      </c>
      <c r="G11114" t="s">
        <v>21</v>
      </c>
    </row>
    <row r="11115" spans="1:7">
      <c r="A11115">
        <v>11114</v>
      </c>
      <c r="B11115" t="str">
        <f>"023779"</f>
        <v>0</v>
      </c>
      <c r="C11115" t="s">
        <v>3615</v>
      </c>
      <c r="D11115" t="s">
        <v>16549</v>
      </c>
      <c r="E11115" t="str">
        <f>"1660300038341"</f>
        <v>0</v>
      </c>
      <c r="F11115" t="str">
        <f>"001950"</f>
        <v>0</v>
      </c>
      <c r="G11115" t="s">
        <v>21</v>
      </c>
    </row>
    <row r="11116" spans="1:7">
      <c r="A11116">
        <v>11115</v>
      </c>
      <c r="B11116" t="str">
        <f>"021473"</f>
        <v>0</v>
      </c>
      <c r="C11116" t="s">
        <v>191</v>
      </c>
      <c r="D11116" t="s">
        <v>16550</v>
      </c>
      <c r="E11116" t="str">
        <f>"4720300001866"</f>
        <v>0</v>
      </c>
      <c r="F11116" t="str">
        <f>"001950"</f>
        <v>0</v>
      </c>
      <c r="G11116" t="s">
        <v>21</v>
      </c>
    </row>
    <row r="11117" spans="1:7">
      <c r="A11117">
        <v>11116</v>
      </c>
      <c r="B11117" t="str">
        <f>"027537"</f>
        <v>0</v>
      </c>
      <c r="C11117" t="s">
        <v>8263</v>
      </c>
      <c r="D11117" t="s">
        <v>16551</v>
      </c>
      <c r="E11117" t="str">
        <f>"1610100083580"</f>
        <v>0</v>
      </c>
      <c r="F11117" t="str">
        <f>"001950"</f>
        <v>0</v>
      </c>
      <c r="G11117" t="s">
        <v>21</v>
      </c>
    </row>
    <row r="11118" spans="1:7">
      <c r="A11118">
        <v>11117</v>
      </c>
      <c r="B11118" t="str">
        <f>"000564"</f>
        <v>0</v>
      </c>
      <c r="C11118" t="s">
        <v>44</v>
      </c>
      <c r="D11118" t="s">
        <v>16552</v>
      </c>
      <c r="E11118" t="str">
        <f>"3349900890631"</f>
        <v>0</v>
      </c>
      <c r="F11118" t="str">
        <f>"001960"</f>
        <v>0</v>
      </c>
      <c r="G11118" t="s">
        <v>21</v>
      </c>
    </row>
    <row r="11119" spans="1:7">
      <c r="A11119">
        <v>11118</v>
      </c>
      <c r="B11119" t="str">
        <f>"000734"</f>
        <v>0</v>
      </c>
      <c r="C11119" t="s">
        <v>13272</v>
      </c>
      <c r="D11119" t="s">
        <v>9814</v>
      </c>
      <c r="E11119" t="str">
        <f>"3349900618426"</f>
        <v>0</v>
      </c>
      <c r="F11119" t="str">
        <f>"001960"</f>
        <v>0</v>
      </c>
      <c r="G11119" t="s">
        <v>21</v>
      </c>
    </row>
    <row r="11120" spans="1:7">
      <c r="A11120">
        <v>11119</v>
      </c>
      <c r="B11120" t="str">
        <f>"001638"</f>
        <v>0</v>
      </c>
      <c r="C11120" t="s">
        <v>4225</v>
      </c>
      <c r="D11120" t="s">
        <v>15226</v>
      </c>
      <c r="E11120" t="str">
        <f>"3349900882026"</f>
        <v>0</v>
      </c>
      <c r="F11120" t="str">
        <f>"001960"</f>
        <v>0</v>
      </c>
      <c r="G11120" t="s">
        <v>21</v>
      </c>
    </row>
    <row r="11121" spans="1:7">
      <c r="A11121">
        <v>11120</v>
      </c>
      <c r="B11121" t="str">
        <f>"001642"</f>
        <v>0</v>
      </c>
      <c r="C11121" t="s">
        <v>126</v>
      </c>
      <c r="D11121" t="s">
        <v>16553</v>
      </c>
      <c r="E11121" t="str">
        <f>"3349900473711"</f>
        <v>0</v>
      </c>
      <c r="F11121" t="str">
        <f>"001960"</f>
        <v>0</v>
      </c>
      <c r="G11121" t="s">
        <v>21</v>
      </c>
    </row>
    <row r="11122" spans="1:7">
      <c r="A11122">
        <v>11121</v>
      </c>
      <c r="B11122" t="str">
        <f>"002364"</f>
        <v>0</v>
      </c>
      <c r="C11122" t="s">
        <v>4399</v>
      </c>
      <c r="D11122" t="s">
        <v>16554</v>
      </c>
      <c r="E11122" t="str">
        <f>"3520500044210"</f>
        <v>0</v>
      </c>
      <c r="F11122" t="str">
        <f>"001960"</f>
        <v>0</v>
      </c>
      <c r="G11122" t="s">
        <v>21</v>
      </c>
    </row>
    <row r="11123" spans="1:7">
      <c r="A11123">
        <v>11122</v>
      </c>
      <c r="B11123" t="str">
        <f>"002525"</f>
        <v>0</v>
      </c>
      <c r="C11123" t="s">
        <v>837</v>
      </c>
      <c r="D11123" t="s">
        <v>16555</v>
      </c>
      <c r="E11123" t="str">
        <f>"3340300015153"</f>
        <v>0</v>
      </c>
      <c r="F11123" t="str">
        <f>"001960"</f>
        <v>0</v>
      </c>
      <c r="G11123" t="s">
        <v>21</v>
      </c>
    </row>
    <row r="11124" spans="1:7">
      <c r="A11124">
        <v>11123</v>
      </c>
      <c r="B11124" t="str">
        <f>"002889"</f>
        <v>0</v>
      </c>
      <c r="C11124" t="s">
        <v>6446</v>
      </c>
      <c r="D11124" t="s">
        <v>16556</v>
      </c>
      <c r="E11124" t="str">
        <f>"3330401098666"</f>
        <v>0</v>
      </c>
      <c r="F11124" t="str">
        <f>"001960"</f>
        <v>0</v>
      </c>
      <c r="G11124" t="s">
        <v>21</v>
      </c>
    </row>
    <row r="11125" spans="1:7">
      <c r="A11125">
        <v>11124</v>
      </c>
      <c r="B11125" t="str">
        <f>"003506"</f>
        <v>0</v>
      </c>
      <c r="C11125" t="s">
        <v>4913</v>
      </c>
      <c r="D11125" t="s">
        <v>16557</v>
      </c>
      <c r="E11125" t="str">
        <f>"3349700072641"</f>
        <v>0</v>
      </c>
      <c r="F11125" t="str">
        <f>"001960"</f>
        <v>0</v>
      </c>
      <c r="G11125" t="s">
        <v>21</v>
      </c>
    </row>
    <row r="11126" spans="1:7">
      <c r="A11126">
        <v>11125</v>
      </c>
      <c r="B11126" t="str">
        <f>"003911"</f>
        <v>0</v>
      </c>
      <c r="C11126" t="s">
        <v>2758</v>
      </c>
      <c r="D11126" t="s">
        <v>16558</v>
      </c>
      <c r="E11126" t="str">
        <f>"3341200008644"</f>
        <v>0</v>
      </c>
      <c r="F11126" t="str">
        <f>"001960"</f>
        <v>0</v>
      </c>
      <c r="G11126" t="s">
        <v>21</v>
      </c>
    </row>
    <row r="11127" spans="1:7">
      <c r="A11127">
        <v>11126</v>
      </c>
      <c r="B11127" t="str">
        <f>"004017"</f>
        <v>0</v>
      </c>
      <c r="C11127" t="s">
        <v>16559</v>
      </c>
      <c r="D11127" t="s">
        <v>16560</v>
      </c>
      <c r="E11127" t="str">
        <f>"5341790002395"</f>
        <v>0</v>
      </c>
      <c r="F11127" t="str">
        <f>"001960"</f>
        <v>0</v>
      </c>
      <c r="G11127" t="s">
        <v>21</v>
      </c>
    </row>
    <row r="11128" spans="1:7">
      <c r="A11128">
        <v>11127</v>
      </c>
      <c r="B11128" t="str">
        <f>"004019"</f>
        <v>0</v>
      </c>
      <c r="C11128" t="s">
        <v>590</v>
      </c>
      <c r="D11128" t="s">
        <v>16561</v>
      </c>
      <c r="E11128" t="str">
        <f>"3340701744962"</f>
        <v>0</v>
      </c>
      <c r="F11128" t="str">
        <f>"001960"</f>
        <v>0</v>
      </c>
      <c r="G11128" t="s">
        <v>21</v>
      </c>
    </row>
    <row r="11129" spans="1:7">
      <c r="A11129">
        <v>11128</v>
      </c>
      <c r="B11129" t="str">
        <f>"004039"</f>
        <v>0</v>
      </c>
      <c r="C11129" t="s">
        <v>16562</v>
      </c>
      <c r="D11129" t="s">
        <v>13646</v>
      </c>
      <c r="E11129" t="str">
        <f>"3340100144961"</f>
        <v>0</v>
      </c>
      <c r="F11129" t="str">
        <f>"001960"</f>
        <v>0</v>
      </c>
      <c r="G11129" t="s">
        <v>21</v>
      </c>
    </row>
    <row r="11130" spans="1:7">
      <c r="A11130">
        <v>11129</v>
      </c>
      <c r="B11130" t="str">
        <f>"004470"</f>
        <v>0</v>
      </c>
      <c r="C11130" t="s">
        <v>16563</v>
      </c>
      <c r="D11130" t="s">
        <v>16564</v>
      </c>
      <c r="E11130" t="str">
        <f>"3340600265651"</f>
        <v>0</v>
      </c>
      <c r="F11130" t="str">
        <f>"001960"</f>
        <v>0</v>
      </c>
      <c r="G11130" t="s">
        <v>21</v>
      </c>
    </row>
    <row r="11131" spans="1:7">
      <c r="A11131">
        <v>11130</v>
      </c>
      <c r="B11131" t="str">
        <f>"004480"</f>
        <v>0</v>
      </c>
      <c r="C11131" t="s">
        <v>16565</v>
      </c>
      <c r="D11131" t="s">
        <v>16566</v>
      </c>
      <c r="E11131" t="str">
        <f>"3341500252648"</f>
        <v>0</v>
      </c>
      <c r="F11131" t="str">
        <f>"001960"</f>
        <v>0</v>
      </c>
      <c r="G11131" t="s">
        <v>21</v>
      </c>
    </row>
    <row r="11132" spans="1:7">
      <c r="A11132">
        <v>11131</v>
      </c>
      <c r="B11132" t="str">
        <f>"004586"</f>
        <v>0</v>
      </c>
      <c r="C11132" t="s">
        <v>3057</v>
      </c>
      <c r="D11132" t="s">
        <v>16567</v>
      </c>
      <c r="E11132" t="str">
        <f>"3349900084642"</f>
        <v>0</v>
      </c>
      <c r="F11132" t="str">
        <f>"001960"</f>
        <v>0</v>
      </c>
      <c r="G11132" t="s">
        <v>21</v>
      </c>
    </row>
    <row r="11133" spans="1:7">
      <c r="A11133">
        <v>11132</v>
      </c>
      <c r="B11133" t="str">
        <f>"004645"</f>
        <v>0</v>
      </c>
      <c r="C11133" t="s">
        <v>5732</v>
      </c>
      <c r="D11133" t="s">
        <v>16568</v>
      </c>
      <c r="E11133" t="str">
        <f>"5670400018077"</f>
        <v>0</v>
      </c>
      <c r="F11133" t="str">
        <f>"001960"</f>
        <v>0</v>
      </c>
      <c r="G11133" t="s">
        <v>21</v>
      </c>
    </row>
    <row r="11134" spans="1:7">
      <c r="A11134">
        <v>11133</v>
      </c>
      <c r="B11134" t="str">
        <f>"005014"</f>
        <v>0</v>
      </c>
      <c r="C11134" t="s">
        <v>16569</v>
      </c>
      <c r="D11134" t="s">
        <v>16570</v>
      </c>
      <c r="E11134" t="str">
        <f>"3340100530739"</f>
        <v>0</v>
      </c>
      <c r="F11134" t="str">
        <f>"001960"</f>
        <v>0</v>
      </c>
      <c r="G11134" t="s">
        <v>21</v>
      </c>
    </row>
    <row r="11135" spans="1:7">
      <c r="A11135">
        <v>11134</v>
      </c>
      <c r="B11135" t="str">
        <f>"005262"</f>
        <v>0</v>
      </c>
      <c r="C11135" t="s">
        <v>587</v>
      </c>
      <c r="D11135" t="s">
        <v>16571</v>
      </c>
      <c r="E11135" t="str">
        <f>"3341700063105"</f>
        <v>0</v>
      </c>
      <c r="F11135" t="str">
        <f>"001960"</f>
        <v>0</v>
      </c>
      <c r="G11135" t="s">
        <v>21</v>
      </c>
    </row>
    <row r="11136" spans="1:7">
      <c r="A11136">
        <v>11135</v>
      </c>
      <c r="B11136" t="str">
        <f>"005267"</f>
        <v>0</v>
      </c>
      <c r="C11136" t="s">
        <v>16572</v>
      </c>
      <c r="D11136" t="s">
        <v>16573</v>
      </c>
      <c r="E11136" t="str">
        <f>"3199900179181"</f>
        <v>0</v>
      </c>
      <c r="F11136" t="str">
        <f>"001960"</f>
        <v>0</v>
      </c>
      <c r="G11136" t="s">
        <v>21</v>
      </c>
    </row>
    <row r="11137" spans="1:7">
      <c r="A11137">
        <v>11136</v>
      </c>
      <c r="B11137" t="str">
        <f>"005473"</f>
        <v>0</v>
      </c>
      <c r="C11137" t="s">
        <v>6377</v>
      </c>
      <c r="D11137" t="s">
        <v>16574</v>
      </c>
      <c r="E11137" t="str">
        <f>"3330500156141"</f>
        <v>0</v>
      </c>
      <c r="F11137" t="str">
        <f>"001960"</f>
        <v>0</v>
      </c>
      <c r="G11137" t="s">
        <v>21</v>
      </c>
    </row>
    <row r="11138" spans="1:7">
      <c r="A11138">
        <v>11137</v>
      </c>
      <c r="B11138" t="str">
        <f>"005521"</f>
        <v>0</v>
      </c>
      <c r="C11138" t="s">
        <v>2445</v>
      </c>
      <c r="D11138" t="s">
        <v>16575</v>
      </c>
      <c r="E11138" t="str">
        <f>"3341200008610"</f>
        <v>0</v>
      </c>
      <c r="F11138" t="str">
        <f>"001960"</f>
        <v>0</v>
      </c>
      <c r="G11138" t="s">
        <v>21</v>
      </c>
    </row>
    <row r="11139" spans="1:7">
      <c r="A11139">
        <v>11138</v>
      </c>
      <c r="B11139" t="str">
        <f>"005547"</f>
        <v>0</v>
      </c>
      <c r="C11139" t="s">
        <v>4575</v>
      </c>
      <c r="D11139" t="s">
        <v>16576</v>
      </c>
      <c r="E11139" t="str">
        <f>"3349900347589"</f>
        <v>0</v>
      </c>
      <c r="F11139" t="str">
        <f>"001960"</f>
        <v>0</v>
      </c>
      <c r="G11139" t="s">
        <v>21</v>
      </c>
    </row>
    <row r="11140" spans="1:7">
      <c r="A11140">
        <v>11139</v>
      </c>
      <c r="B11140" t="str">
        <f>"005731"</f>
        <v>0</v>
      </c>
      <c r="C11140" t="s">
        <v>2655</v>
      </c>
      <c r="D11140" t="s">
        <v>16577</v>
      </c>
      <c r="E11140" t="str">
        <f>"3340100078003"</f>
        <v>0</v>
      </c>
      <c r="F11140" t="str">
        <f>"001960"</f>
        <v>0</v>
      </c>
      <c r="G11140" t="s">
        <v>21</v>
      </c>
    </row>
    <row r="11141" spans="1:7">
      <c r="A11141">
        <v>11140</v>
      </c>
      <c r="B11141" t="str">
        <f>"005808"</f>
        <v>0</v>
      </c>
      <c r="C11141" t="s">
        <v>7255</v>
      </c>
      <c r="D11141" t="s">
        <v>16578</v>
      </c>
      <c r="E11141" t="str">
        <f>"3349900427817"</f>
        <v>0</v>
      </c>
      <c r="F11141" t="str">
        <f>"001960"</f>
        <v>0</v>
      </c>
      <c r="G11141" t="s">
        <v>21</v>
      </c>
    </row>
    <row r="11142" spans="1:7">
      <c r="A11142">
        <v>11141</v>
      </c>
      <c r="B11142" t="str">
        <f>"005824"</f>
        <v>0</v>
      </c>
      <c r="C11142" t="s">
        <v>16579</v>
      </c>
      <c r="D11142" t="s">
        <v>16580</v>
      </c>
      <c r="E11142" t="str">
        <f>"3340900443415"</f>
        <v>0</v>
      </c>
      <c r="F11142" t="str">
        <f>"001960"</f>
        <v>0</v>
      </c>
      <c r="G11142" t="s">
        <v>21</v>
      </c>
    </row>
    <row r="11143" spans="1:7">
      <c r="A11143">
        <v>11142</v>
      </c>
      <c r="B11143" t="str">
        <f>"006065"</f>
        <v>0</v>
      </c>
      <c r="C11143" t="s">
        <v>16581</v>
      </c>
      <c r="D11143" t="s">
        <v>16582</v>
      </c>
      <c r="E11143" t="str">
        <f>"3349700045180"</f>
        <v>0</v>
      </c>
      <c r="F11143" t="str">
        <f>"001960"</f>
        <v>0</v>
      </c>
      <c r="G11143" t="s">
        <v>21</v>
      </c>
    </row>
    <row r="11144" spans="1:7">
      <c r="A11144">
        <v>11143</v>
      </c>
      <c r="B11144" t="str">
        <f>"006435"</f>
        <v>0</v>
      </c>
      <c r="C11144" t="s">
        <v>12278</v>
      </c>
      <c r="D11144" t="s">
        <v>16583</v>
      </c>
      <c r="E11144" t="str">
        <f>"3360100019821"</f>
        <v>0</v>
      </c>
      <c r="F11144" t="str">
        <f>"001960"</f>
        <v>0</v>
      </c>
      <c r="G11144" t="s">
        <v>21</v>
      </c>
    </row>
    <row r="11145" spans="1:7">
      <c r="A11145">
        <v>11144</v>
      </c>
      <c r="B11145" t="str">
        <f>"006703"</f>
        <v>0</v>
      </c>
      <c r="C11145" t="s">
        <v>16584</v>
      </c>
      <c r="D11145" t="s">
        <v>16585</v>
      </c>
      <c r="E11145" t="str">
        <f>"3340400575860"</f>
        <v>0</v>
      </c>
      <c r="F11145" t="str">
        <f>"001960"</f>
        <v>0</v>
      </c>
      <c r="G11145" t="s">
        <v>21</v>
      </c>
    </row>
    <row r="11146" spans="1:7">
      <c r="A11146">
        <v>11145</v>
      </c>
      <c r="B11146" t="str">
        <f>"006856"</f>
        <v>0</v>
      </c>
      <c r="C11146" t="s">
        <v>16586</v>
      </c>
      <c r="D11146" t="s">
        <v>16587</v>
      </c>
      <c r="E11146" t="str">
        <f>"3340700376145"</f>
        <v>0</v>
      </c>
      <c r="F11146" t="str">
        <f>"001960"</f>
        <v>0</v>
      </c>
      <c r="G11146" t="s">
        <v>21</v>
      </c>
    </row>
    <row r="11147" spans="1:7">
      <c r="A11147">
        <v>11146</v>
      </c>
      <c r="B11147" t="str">
        <f>"006857"</f>
        <v>0</v>
      </c>
      <c r="C11147" t="s">
        <v>5247</v>
      </c>
      <c r="D11147" t="s">
        <v>16588</v>
      </c>
      <c r="E11147" t="str">
        <f>"3340700376137"</f>
        <v>0</v>
      </c>
      <c r="F11147" t="str">
        <f>"001960"</f>
        <v>0</v>
      </c>
      <c r="G11147" t="s">
        <v>21</v>
      </c>
    </row>
    <row r="11148" spans="1:7">
      <c r="A11148">
        <v>11147</v>
      </c>
      <c r="B11148" t="str">
        <f>"006956"</f>
        <v>0</v>
      </c>
      <c r="C11148" t="s">
        <v>7740</v>
      </c>
      <c r="D11148" t="s">
        <v>16589</v>
      </c>
      <c r="E11148" t="str">
        <f>"3159800107243"</f>
        <v>0</v>
      </c>
      <c r="F11148" t="str">
        <f>"001960"</f>
        <v>0</v>
      </c>
      <c r="G11148" t="s">
        <v>21</v>
      </c>
    </row>
    <row r="11149" spans="1:7">
      <c r="A11149">
        <v>11148</v>
      </c>
      <c r="B11149" t="str">
        <f>"006958"</f>
        <v>0</v>
      </c>
      <c r="C11149" t="s">
        <v>2068</v>
      </c>
      <c r="D11149" t="s">
        <v>16590</v>
      </c>
      <c r="E11149" t="str">
        <f>"3341000538127"</f>
        <v>0</v>
      </c>
      <c r="F11149" t="str">
        <f>"001960"</f>
        <v>0</v>
      </c>
      <c r="G11149" t="s">
        <v>21</v>
      </c>
    </row>
    <row r="11150" spans="1:7">
      <c r="A11150">
        <v>11149</v>
      </c>
      <c r="B11150" t="str">
        <f>"007638"</f>
        <v>0</v>
      </c>
      <c r="C11150" t="s">
        <v>16591</v>
      </c>
      <c r="D11150" t="s">
        <v>16592</v>
      </c>
      <c r="E11150" t="str">
        <f>"3349800209508"</f>
        <v>0</v>
      </c>
      <c r="F11150" t="str">
        <f>"001960"</f>
        <v>0</v>
      </c>
      <c r="G11150" t="s">
        <v>21</v>
      </c>
    </row>
    <row r="11151" spans="1:7">
      <c r="A11151">
        <v>11150</v>
      </c>
      <c r="B11151" t="str">
        <f>"007683"</f>
        <v>0</v>
      </c>
      <c r="C11151" t="s">
        <v>2014</v>
      </c>
      <c r="D11151" t="s">
        <v>16593</v>
      </c>
      <c r="E11151" t="str">
        <f>"3340500405010"</f>
        <v>0</v>
      </c>
      <c r="F11151" t="str">
        <f>"001960"</f>
        <v>0</v>
      </c>
      <c r="G11151" t="s">
        <v>21</v>
      </c>
    </row>
    <row r="11152" spans="1:7">
      <c r="A11152">
        <v>11151</v>
      </c>
      <c r="B11152" t="str">
        <f>"007692"</f>
        <v>0</v>
      </c>
      <c r="C11152" t="s">
        <v>16594</v>
      </c>
      <c r="D11152" t="s">
        <v>16595</v>
      </c>
      <c r="E11152" t="str">
        <f>"3349700124462"</f>
        <v>0</v>
      </c>
      <c r="F11152" t="str">
        <f>"001960"</f>
        <v>0</v>
      </c>
      <c r="G11152" t="s">
        <v>21</v>
      </c>
    </row>
    <row r="11153" spans="1:7">
      <c r="A11153">
        <v>11152</v>
      </c>
      <c r="B11153" t="str">
        <f>"007831"</f>
        <v>0</v>
      </c>
      <c r="C11153" t="s">
        <v>16596</v>
      </c>
      <c r="D11153" t="s">
        <v>2130</v>
      </c>
      <c r="E11153" t="str">
        <f>"3340600268499"</f>
        <v>0</v>
      </c>
      <c r="F11153" t="str">
        <f>"001960"</f>
        <v>0</v>
      </c>
      <c r="G11153" t="s">
        <v>21</v>
      </c>
    </row>
    <row r="11154" spans="1:7">
      <c r="A11154">
        <v>11153</v>
      </c>
      <c r="B11154" t="str">
        <f>"008168"</f>
        <v>0</v>
      </c>
      <c r="C11154" t="s">
        <v>1021</v>
      </c>
      <c r="D11154" t="s">
        <v>16597</v>
      </c>
      <c r="E11154" t="str">
        <f>"3720500586517"</f>
        <v>0</v>
      </c>
      <c r="F11154" t="str">
        <f>"001960"</f>
        <v>0</v>
      </c>
      <c r="G11154" t="s">
        <v>21</v>
      </c>
    </row>
    <row r="11155" spans="1:7">
      <c r="A11155">
        <v>11154</v>
      </c>
      <c r="B11155" t="str">
        <f>"008412"</f>
        <v>0</v>
      </c>
      <c r="C11155" t="s">
        <v>7229</v>
      </c>
      <c r="D11155" t="s">
        <v>16598</v>
      </c>
      <c r="E11155" t="str">
        <f>"3340100144855"</f>
        <v>0</v>
      </c>
      <c r="F11155" t="str">
        <f>"001960"</f>
        <v>0</v>
      </c>
      <c r="G11155" t="s">
        <v>21</v>
      </c>
    </row>
    <row r="11156" spans="1:7">
      <c r="A11156">
        <v>11155</v>
      </c>
      <c r="B11156" t="str">
        <f>"008421"</f>
        <v>0</v>
      </c>
      <c r="C11156" t="s">
        <v>16599</v>
      </c>
      <c r="D11156" t="s">
        <v>16587</v>
      </c>
      <c r="E11156" t="str">
        <f>"3650100167364"</f>
        <v>0</v>
      </c>
      <c r="F11156" t="str">
        <f>"001960"</f>
        <v>0</v>
      </c>
      <c r="G11156" t="s">
        <v>21</v>
      </c>
    </row>
    <row r="11157" spans="1:7">
      <c r="A11157">
        <v>11156</v>
      </c>
      <c r="B11157" t="str">
        <f>"008423"</f>
        <v>0</v>
      </c>
      <c r="C11157" t="s">
        <v>11534</v>
      </c>
      <c r="D11157" t="s">
        <v>16600</v>
      </c>
      <c r="E11157" t="str">
        <f>"3340700907418"</f>
        <v>0</v>
      </c>
      <c r="F11157" t="str">
        <f>"001960"</f>
        <v>0</v>
      </c>
      <c r="G11157" t="s">
        <v>21</v>
      </c>
    </row>
    <row r="11158" spans="1:7">
      <c r="A11158">
        <v>11157</v>
      </c>
      <c r="B11158" t="str">
        <f>"008663"</f>
        <v>0</v>
      </c>
      <c r="C11158" t="s">
        <v>16601</v>
      </c>
      <c r="D11158" t="s">
        <v>16602</v>
      </c>
      <c r="E11158" t="str">
        <f>"3340500260691"</f>
        <v>0</v>
      </c>
      <c r="F11158" t="str">
        <f>"001960"</f>
        <v>0</v>
      </c>
      <c r="G11158" t="s">
        <v>21</v>
      </c>
    </row>
    <row r="11159" spans="1:7">
      <c r="A11159">
        <v>11158</v>
      </c>
      <c r="B11159" t="str">
        <f>"009253"</f>
        <v>0</v>
      </c>
      <c r="C11159" t="s">
        <v>16603</v>
      </c>
      <c r="D11159" t="s">
        <v>16604</v>
      </c>
      <c r="E11159" t="str">
        <f>"4520800002103"</f>
        <v>0</v>
      </c>
      <c r="F11159" t="str">
        <f>"001960"</f>
        <v>0</v>
      </c>
      <c r="G11159" t="s">
        <v>21</v>
      </c>
    </row>
    <row r="11160" spans="1:7">
      <c r="A11160">
        <v>11159</v>
      </c>
      <c r="B11160" t="str">
        <f>"009398"</f>
        <v>0</v>
      </c>
      <c r="C11160" t="s">
        <v>16605</v>
      </c>
      <c r="D11160" t="s">
        <v>15717</v>
      </c>
      <c r="E11160" t="str">
        <f>"3349900686189"</f>
        <v>0</v>
      </c>
      <c r="F11160" t="str">
        <f>"001960"</f>
        <v>0</v>
      </c>
      <c r="G11160" t="s">
        <v>21</v>
      </c>
    </row>
    <row r="11161" spans="1:7">
      <c r="A11161">
        <v>11160</v>
      </c>
      <c r="B11161" t="str">
        <f>"009536"</f>
        <v>0</v>
      </c>
      <c r="C11161" t="s">
        <v>3634</v>
      </c>
      <c r="D11161" t="s">
        <v>16606</v>
      </c>
      <c r="E11161" t="str">
        <f>"3341000284389"</f>
        <v>0</v>
      </c>
      <c r="F11161" t="str">
        <f>"001960"</f>
        <v>0</v>
      </c>
      <c r="G11161" t="s">
        <v>21</v>
      </c>
    </row>
    <row r="11162" spans="1:7">
      <c r="A11162">
        <v>11161</v>
      </c>
      <c r="B11162" t="str">
        <f>"009538"</f>
        <v>0</v>
      </c>
      <c r="C11162" t="s">
        <v>16607</v>
      </c>
      <c r="D11162" t="s">
        <v>16608</v>
      </c>
      <c r="E11162" t="str">
        <f>"3310800052317"</f>
        <v>0</v>
      </c>
      <c r="F11162" t="str">
        <f>"001960"</f>
        <v>0</v>
      </c>
      <c r="G11162" t="s">
        <v>21</v>
      </c>
    </row>
    <row r="11163" spans="1:7">
      <c r="A11163">
        <v>11162</v>
      </c>
      <c r="B11163" t="str">
        <f>"011123"</f>
        <v>0</v>
      </c>
      <c r="C11163" t="s">
        <v>2371</v>
      </c>
      <c r="D11163" t="s">
        <v>16609</v>
      </c>
      <c r="E11163" t="str">
        <f>"3340700289579"</f>
        <v>0</v>
      </c>
      <c r="F11163" t="str">
        <f>"001960"</f>
        <v>0</v>
      </c>
      <c r="G11163" t="s">
        <v>21</v>
      </c>
    </row>
    <row r="11164" spans="1:7">
      <c r="A11164">
        <v>11163</v>
      </c>
      <c r="B11164" t="str">
        <f>"011124"</f>
        <v>0</v>
      </c>
      <c r="C11164" t="s">
        <v>16610</v>
      </c>
      <c r="D11164" t="s">
        <v>6469</v>
      </c>
      <c r="E11164" t="str">
        <f>"3342100168438"</f>
        <v>0</v>
      </c>
      <c r="F11164" t="str">
        <f>"001960"</f>
        <v>0</v>
      </c>
      <c r="G11164" t="s">
        <v>21</v>
      </c>
    </row>
    <row r="11165" spans="1:7">
      <c r="A11165">
        <v>11164</v>
      </c>
      <c r="B11165" t="str">
        <f>"011349"</f>
        <v>0</v>
      </c>
      <c r="C11165" t="s">
        <v>154</v>
      </c>
      <c r="D11165" t="s">
        <v>2065</v>
      </c>
      <c r="E11165" t="str">
        <f>"3349900069198"</f>
        <v>0</v>
      </c>
      <c r="F11165" t="str">
        <f>"001960"</f>
        <v>0</v>
      </c>
      <c r="G11165" t="s">
        <v>21</v>
      </c>
    </row>
    <row r="11166" spans="1:7">
      <c r="A11166">
        <v>11165</v>
      </c>
      <c r="B11166" t="str">
        <f>"011641"</f>
        <v>0</v>
      </c>
      <c r="C11166" t="s">
        <v>5118</v>
      </c>
      <c r="D11166" t="s">
        <v>16611</v>
      </c>
      <c r="E11166" t="str">
        <f>"3349900383224"</f>
        <v>0</v>
      </c>
      <c r="F11166" t="str">
        <f>"001960"</f>
        <v>0</v>
      </c>
      <c r="G11166" t="s">
        <v>21</v>
      </c>
    </row>
    <row r="11167" spans="1:7">
      <c r="A11167">
        <v>11166</v>
      </c>
      <c r="B11167" t="str">
        <f>"011708"</f>
        <v>0</v>
      </c>
      <c r="C11167" t="s">
        <v>130</v>
      </c>
      <c r="D11167" t="s">
        <v>16612</v>
      </c>
      <c r="E11167" t="str">
        <f>"3140100403780"</f>
        <v>0</v>
      </c>
      <c r="F11167" t="str">
        <f>"001960"</f>
        <v>0</v>
      </c>
      <c r="G11167" t="s">
        <v>21</v>
      </c>
    </row>
    <row r="11168" spans="1:7">
      <c r="A11168">
        <v>11167</v>
      </c>
      <c r="B11168" t="str">
        <f>"011940"</f>
        <v>0</v>
      </c>
      <c r="C11168" t="s">
        <v>160</v>
      </c>
      <c r="D11168" t="s">
        <v>16613</v>
      </c>
      <c r="E11168" t="str">
        <f>"3340100145312"</f>
        <v>0</v>
      </c>
      <c r="F11168" t="str">
        <f>"001960"</f>
        <v>0</v>
      </c>
      <c r="G11168" t="s">
        <v>21</v>
      </c>
    </row>
    <row r="11169" spans="1:7">
      <c r="A11169">
        <v>11168</v>
      </c>
      <c r="B11169" t="str">
        <f>"011969"</f>
        <v>0</v>
      </c>
      <c r="C11169" t="s">
        <v>11060</v>
      </c>
      <c r="D11169" t="s">
        <v>16614</v>
      </c>
      <c r="E11169" t="str">
        <f>"3340100389114"</f>
        <v>0</v>
      </c>
      <c r="F11169" t="str">
        <f>"001960"</f>
        <v>0</v>
      </c>
      <c r="G11169" t="s">
        <v>21</v>
      </c>
    </row>
    <row r="11170" spans="1:7">
      <c r="A11170">
        <v>11169</v>
      </c>
      <c r="B11170" t="str">
        <f>"011997"</f>
        <v>0</v>
      </c>
      <c r="C11170" t="s">
        <v>5821</v>
      </c>
      <c r="D11170" t="s">
        <v>16615</v>
      </c>
      <c r="E11170" t="str">
        <f>"3350800761431"</f>
        <v>0</v>
      </c>
      <c r="F11170" t="str">
        <f>"001960"</f>
        <v>0</v>
      </c>
      <c r="G11170" t="s">
        <v>21</v>
      </c>
    </row>
    <row r="11171" spans="1:7">
      <c r="A11171">
        <v>11170</v>
      </c>
      <c r="B11171" t="str">
        <f>"012443"</f>
        <v>0</v>
      </c>
      <c r="C11171" t="s">
        <v>16616</v>
      </c>
      <c r="D11171" t="s">
        <v>16617</v>
      </c>
      <c r="E11171" t="str">
        <f>"5311200008837"</f>
        <v>0</v>
      </c>
      <c r="F11171" t="str">
        <f>"001960"</f>
        <v>0</v>
      </c>
      <c r="G11171" t="s">
        <v>21</v>
      </c>
    </row>
    <row r="11172" spans="1:7">
      <c r="A11172">
        <v>11171</v>
      </c>
      <c r="B11172" t="str">
        <f>"012733"</f>
        <v>0</v>
      </c>
      <c r="C11172" t="s">
        <v>425</v>
      </c>
      <c r="D11172" t="s">
        <v>16618</v>
      </c>
      <c r="E11172" t="str">
        <f>"3341100588801"</f>
        <v>0</v>
      </c>
      <c r="F11172" t="str">
        <f>"001960"</f>
        <v>0</v>
      </c>
      <c r="G11172" t="s">
        <v>21</v>
      </c>
    </row>
    <row r="11173" spans="1:7">
      <c r="A11173">
        <v>11172</v>
      </c>
      <c r="B11173" t="str">
        <f>"013550"</f>
        <v>0</v>
      </c>
      <c r="C11173" t="s">
        <v>482</v>
      </c>
      <c r="D11173" t="s">
        <v>14952</v>
      </c>
      <c r="E11173" t="str">
        <f>"3170200100681"</f>
        <v>0</v>
      </c>
      <c r="F11173" t="str">
        <f>"001960"</f>
        <v>0</v>
      </c>
      <c r="G11173" t="s">
        <v>21</v>
      </c>
    </row>
    <row r="11174" spans="1:7">
      <c r="A11174">
        <v>11173</v>
      </c>
      <c r="B11174" t="str">
        <f>"013570"</f>
        <v>0</v>
      </c>
      <c r="C11174" t="s">
        <v>16619</v>
      </c>
      <c r="D11174" t="s">
        <v>16620</v>
      </c>
      <c r="E11174" t="str">
        <f>"3340100145321"</f>
        <v>0</v>
      </c>
      <c r="F11174" t="str">
        <f>"001960"</f>
        <v>0</v>
      </c>
      <c r="G11174" t="s">
        <v>21</v>
      </c>
    </row>
    <row r="11175" spans="1:7">
      <c r="A11175">
        <v>11174</v>
      </c>
      <c r="B11175" t="str">
        <f>"013813"</f>
        <v>0</v>
      </c>
      <c r="C11175" t="s">
        <v>16621</v>
      </c>
      <c r="D11175" t="s">
        <v>16622</v>
      </c>
      <c r="E11175" t="str">
        <f>"5340400040741"</f>
        <v>0</v>
      </c>
      <c r="F11175" t="str">
        <f>"001960"</f>
        <v>0</v>
      </c>
      <c r="G11175" t="s">
        <v>21</v>
      </c>
    </row>
    <row r="11176" spans="1:7">
      <c r="A11176">
        <v>11175</v>
      </c>
      <c r="B11176" t="str">
        <f>"013992"</f>
        <v>0</v>
      </c>
      <c r="C11176" t="s">
        <v>332</v>
      </c>
      <c r="D11176" t="s">
        <v>16623</v>
      </c>
      <c r="E11176" t="str">
        <f>"3329900181931"</f>
        <v>0</v>
      </c>
      <c r="F11176" t="str">
        <f>"001960"</f>
        <v>0</v>
      </c>
      <c r="G11176" t="s">
        <v>21</v>
      </c>
    </row>
    <row r="11177" spans="1:7">
      <c r="A11177">
        <v>11176</v>
      </c>
      <c r="B11177" t="str">
        <f>"014142"</f>
        <v>0</v>
      </c>
      <c r="C11177" t="s">
        <v>694</v>
      </c>
      <c r="D11177" t="s">
        <v>16624</v>
      </c>
      <c r="E11177" t="str">
        <f>"3500600252426"</f>
        <v>0</v>
      </c>
      <c r="F11177" t="str">
        <f>"001960"</f>
        <v>0</v>
      </c>
      <c r="G11177" t="s">
        <v>21</v>
      </c>
    </row>
    <row r="11178" spans="1:7">
      <c r="A11178">
        <v>11177</v>
      </c>
      <c r="B11178" t="str">
        <f>"014170"</f>
        <v>0</v>
      </c>
      <c r="C11178" t="s">
        <v>6541</v>
      </c>
      <c r="D11178" t="s">
        <v>16625</v>
      </c>
      <c r="E11178" t="str">
        <f>"3341300373603"</f>
        <v>0</v>
      </c>
      <c r="F11178" t="str">
        <f>"001960"</f>
        <v>0</v>
      </c>
      <c r="G11178" t="s">
        <v>21</v>
      </c>
    </row>
    <row r="11179" spans="1:7">
      <c r="A11179">
        <v>11178</v>
      </c>
      <c r="B11179" t="str">
        <f>"014707"</f>
        <v>0</v>
      </c>
      <c r="C11179" t="s">
        <v>16626</v>
      </c>
      <c r="D11179" t="s">
        <v>16627</v>
      </c>
      <c r="E11179" t="str">
        <f>"3340100107518"</f>
        <v>0</v>
      </c>
      <c r="F11179" t="str">
        <f>"001960"</f>
        <v>0</v>
      </c>
      <c r="G11179" t="s">
        <v>21</v>
      </c>
    </row>
    <row r="11180" spans="1:7">
      <c r="A11180">
        <v>11179</v>
      </c>
      <c r="B11180" t="str">
        <f>"015409"</f>
        <v>0</v>
      </c>
      <c r="C11180" t="s">
        <v>789</v>
      </c>
      <c r="D11180" t="s">
        <v>16628</v>
      </c>
      <c r="E11180" t="str">
        <f>"3349800139623"</f>
        <v>0</v>
      </c>
      <c r="F11180" t="str">
        <f>"001960"</f>
        <v>0</v>
      </c>
      <c r="G11180" t="s">
        <v>21</v>
      </c>
    </row>
    <row r="11181" spans="1:7">
      <c r="A11181">
        <v>11180</v>
      </c>
      <c r="B11181" t="str">
        <f>"015915"</f>
        <v>0</v>
      </c>
      <c r="C11181" t="s">
        <v>16629</v>
      </c>
      <c r="D11181" t="s">
        <v>16630</v>
      </c>
      <c r="E11181" t="str">
        <f>"3100503340662"</f>
        <v>0</v>
      </c>
      <c r="F11181" t="str">
        <f>"001960"</f>
        <v>0</v>
      </c>
      <c r="G11181" t="s">
        <v>21</v>
      </c>
    </row>
    <row r="11182" spans="1:7">
      <c r="A11182">
        <v>11181</v>
      </c>
      <c r="B11182" t="str">
        <f>"017014"</f>
        <v>0</v>
      </c>
      <c r="C11182" t="s">
        <v>645</v>
      </c>
      <c r="D11182" t="s">
        <v>16631</v>
      </c>
      <c r="E11182" t="str">
        <f>"3341400034916"</f>
        <v>0</v>
      </c>
      <c r="F11182" t="str">
        <f>"001960"</f>
        <v>0</v>
      </c>
      <c r="G11182" t="s">
        <v>21</v>
      </c>
    </row>
    <row r="11183" spans="1:7">
      <c r="A11183">
        <v>11182</v>
      </c>
      <c r="B11183" t="str">
        <f>"017210"</f>
        <v>0</v>
      </c>
      <c r="C11183" t="s">
        <v>16632</v>
      </c>
      <c r="D11183" t="s">
        <v>16633</v>
      </c>
      <c r="E11183" t="str">
        <f>"3341500334105"</f>
        <v>0</v>
      </c>
      <c r="F11183" t="str">
        <f>"001960"</f>
        <v>0</v>
      </c>
      <c r="G11183" t="s">
        <v>21</v>
      </c>
    </row>
    <row r="11184" spans="1:7">
      <c r="A11184">
        <v>11183</v>
      </c>
      <c r="B11184" t="str">
        <f>"017310"</f>
        <v>0</v>
      </c>
      <c r="C11184" t="s">
        <v>15294</v>
      </c>
      <c r="D11184" t="s">
        <v>16634</v>
      </c>
      <c r="E11184" t="str">
        <f>"3302000121715"</f>
        <v>0</v>
      </c>
      <c r="F11184" t="str">
        <f>"001960"</f>
        <v>0</v>
      </c>
      <c r="G11184" t="s">
        <v>21</v>
      </c>
    </row>
    <row r="11185" spans="1:7">
      <c r="A11185">
        <v>11184</v>
      </c>
      <c r="B11185" t="str">
        <f>"018098"</f>
        <v>0</v>
      </c>
      <c r="C11185" t="s">
        <v>16635</v>
      </c>
      <c r="D11185" t="s">
        <v>16636</v>
      </c>
      <c r="E11185" t="str">
        <f>"3340100079549"</f>
        <v>0</v>
      </c>
      <c r="F11185" t="str">
        <f>"001960"</f>
        <v>0</v>
      </c>
      <c r="G11185" t="s">
        <v>21</v>
      </c>
    </row>
    <row r="11186" spans="1:7">
      <c r="A11186">
        <v>11185</v>
      </c>
      <c r="B11186" t="str">
        <f>"018257"</f>
        <v>0</v>
      </c>
      <c r="C11186" t="s">
        <v>16637</v>
      </c>
      <c r="D11186" t="s">
        <v>16638</v>
      </c>
      <c r="E11186" t="str">
        <f>"3342100023201"</f>
        <v>0</v>
      </c>
      <c r="F11186" t="str">
        <f>"001960"</f>
        <v>0</v>
      </c>
      <c r="G11186" t="s">
        <v>21</v>
      </c>
    </row>
    <row r="11187" spans="1:7">
      <c r="A11187">
        <v>11186</v>
      </c>
      <c r="B11187" t="str">
        <f>"018982"</f>
        <v>0</v>
      </c>
      <c r="C11187" t="s">
        <v>7023</v>
      </c>
      <c r="D11187" t="s">
        <v>6094</v>
      </c>
      <c r="E11187" t="str">
        <f>"3341200049120"</f>
        <v>0</v>
      </c>
      <c r="F11187" t="str">
        <f>"001960"</f>
        <v>0</v>
      </c>
      <c r="G11187" t="s">
        <v>21</v>
      </c>
    </row>
    <row r="11188" spans="1:7">
      <c r="A11188">
        <v>11187</v>
      </c>
      <c r="B11188" t="str">
        <f>"018983"</f>
        <v>0</v>
      </c>
      <c r="C11188" t="s">
        <v>409</v>
      </c>
      <c r="D11188" t="s">
        <v>16598</v>
      </c>
      <c r="E11188" t="str">
        <f>"3340100144847"</f>
        <v>0</v>
      </c>
      <c r="F11188" t="str">
        <f>"001960"</f>
        <v>0</v>
      </c>
      <c r="G11188" t="s">
        <v>21</v>
      </c>
    </row>
    <row r="11189" spans="1:7">
      <c r="A11189">
        <v>11188</v>
      </c>
      <c r="B11189" t="str">
        <f>"019274"</f>
        <v>0</v>
      </c>
      <c r="C11189" t="s">
        <v>16639</v>
      </c>
      <c r="D11189" t="s">
        <v>16640</v>
      </c>
      <c r="E11189" t="str">
        <f>"3310900154804"</f>
        <v>0</v>
      </c>
      <c r="F11189" t="str">
        <f>"001960"</f>
        <v>0</v>
      </c>
      <c r="G11189" t="s">
        <v>21</v>
      </c>
    </row>
    <row r="11190" spans="1:7">
      <c r="A11190">
        <v>11189</v>
      </c>
      <c r="B11190" t="str">
        <f>"019680"</f>
        <v>0</v>
      </c>
      <c r="C11190" t="s">
        <v>725</v>
      </c>
      <c r="D11190" t="s">
        <v>16641</v>
      </c>
      <c r="E11190" t="str">
        <f>"3489900036809"</f>
        <v>0</v>
      </c>
      <c r="F11190" t="str">
        <f>"001960"</f>
        <v>0</v>
      </c>
      <c r="G11190" t="s">
        <v>21</v>
      </c>
    </row>
    <row r="11191" spans="1:7">
      <c r="A11191">
        <v>11190</v>
      </c>
      <c r="B11191" t="str">
        <f>"019819"</f>
        <v>0</v>
      </c>
      <c r="C11191" t="s">
        <v>433</v>
      </c>
      <c r="D11191" t="s">
        <v>16642</v>
      </c>
      <c r="E11191" t="str">
        <f>"3450600319866"</f>
        <v>0</v>
      </c>
      <c r="F11191" t="str">
        <f>"001960"</f>
        <v>0</v>
      </c>
      <c r="G11191" t="s">
        <v>21</v>
      </c>
    </row>
    <row r="11192" spans="1:7">
      <c r="A11192">
        <v>11191</v>
      </c>
      <c r="B11192" t="str">
        <f>"020177"</f>
        <v>0</v>
      </c>
      <c r="C11192" t="s">
        <v>4609</v>
      </c>
      <c r="D11192" t="s">
        <v>16643</v>
      </c>
      <c r="E11192" t="str">
        <f>"3341300372704"</f>
        <v>0</v>
      </c>
      <c r="F11192" t="str">
        <f>"001960"</f>
        <v>0</v>
      </c>
      <c r="G11192" t="s">
        <v>21</v>
      </c>
    </row>
    <row r="11193" spans="1:7">
      <c r="A11193">
        <v>11192</v>
      </c>
      <c r="B11193" t="str">
        <f>"020336"</f>
        <v>0</v>
      </c>
      <c r="C11193" t="s">
        <v>4341</v>
      </c>
      <c r="D11193" t="s">
        <v>16644</v>
      </c>
      <c r="E11193" t="str">
        <f>"3300101292661"</f>
        <v>0</v>
      </c>
      <c r="F11193" t="str">
        <f>"001960"</f>
        <v>0</v>
      </c>
      <c r="G11193" t="s">
        <v>21</v>
      </c>
    </row>
    <row r="11194" spans="1:7">
      <c r="A11194">
        <v>11193</v>
      </c>
      <c r="B11194" t="str">
        <f>"021686"</f>
        <v>0</v>
      </c>
      <c r="C11194" t="s">
        <v>16645</v>
      </c>
      <c r="D11194" t="s">
        <v>16646</v>
      </c>
      <c r="E11194" t="str">
        <f>"3349900870508"</f>
        <v>0</v>
      </c>
      <c r="F11194" t="str">
        <f>"001960"</f>
        <v>0</v>
      </c>
      <c r="G11194" t="s">
        <v>21</v>
      </c>
    </row>
    <row r="11195" spans="1:7">
      <c r="A11195">
        <v>11194</v>
      </c>
      <c r="B11195" t="str">
        <f>"022402"</f>
        <v>0</v>
      </c>
      <c r="C11195" t="s">
        <v>16647</v>
      </c>
      <c r="D11195" t="s">
        <v>16648</v>
      </c>
      <c r="E11195" t="str">
        <f>"3330300949318"</f>
        <v>0</v>
      </c>
      <c r="F11195" t="str">
        <f>"001960"</f>
        <v>0</v>
      </c>
      <c r="G11195" t="s">
        <v>21</v>
      </c>
    </row>
    <row r="11196" spans="1:7">
      <c r="A11196">
        <v>11195</v>
      </c>
      <c r="B11196" t="str">
        <f>"022403"</f>
        <v>0</v>
      </c>
      <c r="C11196" t="s">
        <v>16649</v>
      </c>
      <c r="D11196" t="s">
        <v>16650</v>
      </c>
      <c r="E11196" t="str">
        <f>"3340800103914"</f>
        <v>0</v>
      </c>
      <c r="F11196" t="str">
        <f>"001960"</f>
        <v>0</v>
      </c>
      <c r="G11196" t="s">
        <v>21</v>
      </c>
    </row>
    <row r="11197" spans="1:7">
      <c r="A11197">
        <v>11196</v>
      </c>
      <c r="B11197" t="str">
        <f>"024452"</f>
        <v>0</v>
      </c>
      <c r="C11197" t="s">
        <v>16651</v>
      </c>
      <c r="D11197" t="s">
        <v>11927</v>
      </c>
      <c r="E11197" t="str">
        <f>"3349900525398"</f>
        <v>0</v>
      </c>
      <c r="F11197" t="str">
        <f>"001960"</f>
        <v>0</v>
      </c>
      <c r="G11197" t="s">
        <v>21</v>
      </c>
    </row>
    <row r="11198" spans="1:7">
      <c r="A11198">
        <v>11197</v>
      </c>
      <c r="B11198" t="str">
        <f>"025542"</f>
        <v>0</v>
      </c>
      <c r="C11198" t="s">
        <v>3613</v>
      </c>
      <c r="D11198" t="s">
        <v>16652</v>
      </c>
      <c r="E11198" t="str">
        <f>"3340500287963"</f>
        <v>0</v>
      </c>
      <c r="F11198" t="str">
        <f>"001960"</f>
        <v>0</v>
      </c>
      <c r="G11198" t="s">
        <v>21</v>
      </c>
    </row>
    <row r="11199" spans="1:7">
      <c r="A11199">
        <v>11198</v>
      </c>
      <c r="B11199" t="str">
        <f>"004883"</f>
        <v>0</v>
      </c>
      <c r="C11199" t="s">
        <v>16653</v>
      </c>
      <c r="D11199" t="s">
        <v>16614</v>
      </c>
      <c r="E11199" t="str">
        <f>"3349900082062"</f>
        <v>0</v>
      </c>
      <c r="F11199" t="str">
        <f>"001960"</f>
        <v>0</v>
      </c>
      <c r="G11199" t="s">
        <v>21</v>
      </c>
    </row>
    <row r="11200" spans="1:7">
      <c r="A11200">
        <v>11199</v>
      </c>
      <c r="B11200" t="str">
        <f>"007695"</f>
        <v>0</v>
      </c>
      <c r="C11200" t="s">
        <v>574</v>
      </c>
      <c r="D11200" t="s">
        <v>13683</v>
      </c>
      <c r="E11200" t="str">
        <f>"3349700033025"</f>
        <v>0</v>
      </c>
      <c r="F11200" t="str">
        <f>"001960"</f>
        <v>0</v>
      </c>
      <c r="G11200" t="s">
        <v>21</v>
      </c>
    </row>
    <row r="11201" spans="1:7">
      <c r="A11201">
        <v>11200</v>
      </c>
      <c r="B11201" t="str">
        <f>"007839"</f>
        <v>0</v>
      </c>
      <c r="C11201" t="s">
        <v>16654</v>
      </c>
      <c r="D11201" t="s">
        <v>16655</v>
      </c>
      <c r="E11201" t="str">
        <f>"3341400039691"</f>
        <v>0</v>
      </c>
      <c r="F11201" t="str">
        <f>"001960"</f>
        <v>0</v>
      </c>
      <c r="G11201" t="s">
        <v>21</v>
      </c>
    </row>
    <row r="11202" spans="1:7">
      <c r="A11202">
        <v>11201</v>
      </c>
      <c r="B11202" t="str">
        <f>"009539"</f>
        <v>0</v>
      </c>
      <c r="C11202" t="s">
        <v>16656</v>
      </c>
      <c r="D11202" t="s">
        <v>16657</v>
      </c>
      <c r="E11202" t="str">
        <f>"3341000238719"</f>
        <v>0</v>
      </c>
      <c r="F11202" t="str">
        <f>"001960"</f>
        <v>0</v>
      </c>
      <c r="G11202" t="s">
        <v>21</v>
      </c>
    </row>
    <row r="11203" spans="1:7">
      <c r="A11203">
        <v>11202</v>
      </c>
      <c r="B11203" t="str">
        <f>"012534"</f>
        <v>0</v>
      </c>
      <c r="C11203" t="s">
        <v>16658</v>
      </c>
      <c r="D11203" t="s">
        <v>16659</v>
      </c>
      <c r="E11203" t="str">
        <f>"3340100897225"</f>
        <v>0</v>
      </c>
      <c r="F11203" t="str">
        <f>"001960"</f>
        <v>0</v>
      </c>
      <c r="G11203" t="s">
        <v>21</v>
      </c>
    </row>
    <row r="11204" spans="1:7">
      <c r="A11204">
        <v>11203</v>
      </c>
      <c r="B11204" t="str">
        <f>"013444"</f>
        <v>0</v>
      </c>
      <c r="C11204" t="s">
        <v>4355</v>
      </c>
      <c r="D11204" t="s">
        <v>16660</v>
      </c>
      <c r="E11204" t="str">
        <f>"3340800104503"</f>
        <v>0</v>
      </c>
      <c r="F11204" t="str">
        <f>"001960"</f>
        <v>0</v>
      </c>
      <c r="G11204" t="s">
        <v>21</v>
      </c>
    </row>
    <row r="11205" spans="1:7">
      <c r="A11205">
        <v>11204</v>
      </c>
      <c r="B11205" t="str">
        <f>"013959"</f>
        <v>0</v>
      </c>
      <c r="C11205" t="s">
        <v>576</v>
      </c>
      <c r="D11205" t="s">
        <v>16661</v>
      </c>
      <c r="E11205" t="str">
        <f>"5341500028388"</f>
        <v>0</v>
      </c>
      <c r="F11205" t="str">
        <f>"001960"</f>
        <v>0</v>
      </c>
      <c r="G11205" t="s">
        <v>21</v>
      </c>
    </row>
    <row r="11206" spans="1:7">
      <c r="A11206">
        <v>11205</v>
      </c>
      <c r="B11206" t="str">
        <f>"020147"</f>
        <v>0</v>
      </c>
      <c r="C11206" t="s">
        <v>16662</v>
      </c>
      <c r="D11206" t="s">
        <v>16663</v>
      </c>
      <c r="E11206" t="str">
        <f>"3340701339171"</f>
        <v>0</v>
      </c>
      <c r="F11206" t="str">
        <f>"001960"</f>
        <v>0</v>
      </c>
      <c r="G11206" t="s">
        <v>21</v>
      </c>
    </row>
    <row r="11207" spans="1:7">
      <c r="A11207">
        <v>11206</v>
      </c>
      <c r="B11207" t="str">
        <f>"024323"</f>
        <v>0</v>
      </c>
      <c r="C11207" t="s">
        <v>16664</v>
      </c>
      <c r="D11207" t="s">
        <v>16665</v>
      </c>
      <c r="E11207" t="str">
        <f>"1459900025851"</f>
        <v>0</v>
      </c>
      <c r="F11207" t="str">
        <f>"001960"</f>
        <v>0</v>
      </c>
      <c r="G11207" t="s">
        <v>21</v>
      </c>
    </row>
    <row r="11208" spans="1:7">
      <c r="A11208">
        <v>11207</v>
      </c>
      <c r="B11208" t="str">
        <f>"018860"</f>
        <v>0</v>
      </c>
      <c r="C11208" t="s">
        <v>2223</v>
      </c>
      <c r="D11208" t="s">
        <v>16666</v>
      </c>
      <c r="E11208" t="str">
        <f>"3340100512501"</f>
        <v>0</v>
      </c>
      <c r="F11208" t="str">
        <f>"001960"</f>
        <v>0</v>
      </c>
      <c r="G11208" t="s">
        <v>21</v>
      </c>
    </row>
    <row r="11209" spans="1:7">
      <c r="A11209">
        <v>11208</v>
      </c>
      <c r="B11209" t="str">
        <f>"019671"</f>
        <v>0</v>
      </c>
      <c r="C11209" t="s">
        <v>16667</v>
      </c>
      <c r="D11209" t="s">
        <v>16668</v>
      </c>
      <c r="E11209" t="str">
        <f>"3340101011671"</f>
        <v>0</v>
      </c>
      <c r="F11209" t="str">
        <f>"001960"</f>
        <v>0</v>
      </c>
      <c r="G11209" t="s">
        <v>21</v>
      </c>
    </row>
    <row r="11210" spans="1:7">
      <c r="A11210">
        <v>11209</v>
      </c>
      <c r="B11210" t="str">
        <f>"013304"</f>
        <v>0</v>
      </c>
      <c r="C11210" t="s">
        <v>16669</v>
      </c>
      <c r="D11210" t="s">
        <v>16670</v>
      </c>
      <c r="E11210" t="str">
        <f>"5100600020975"</f>
        <v>0</v>
      </c>
      <c r="F11210" t="str">
        <f>"001960"</f>
        <v>0</v>
      </c>
      <c r="G11210" t="s">
        <v>21</v>
      </c>
    </row>
    <row r="11211" spans="1:7">
      <c r="A11211">
        <v>11210</v>
      </c>
      <c r="B11211" t="str">
        <f>"017015"</f>
        <v>0</v>
      </c>
      <c r="C11211" t="s">
        <v>4401</v>
      </c>
      <c r="D11211" t="s">
        <v>16671</v>
      </c>
      <c r="E11211" t="str">
        <f>"3349900282061"</f>
        <v>0</v>
      </c>
      <c r="F11211" t="str">
        <f>"001960"</f>
        <v>0</v>
      </c>
      <c r="G11211" t="s">
        <v>21</v>
      </c>
    </row>
    <row r="11212" spans="1:7">
      <c r="A11212">
        <v>11211</v>
      </c>
      <c r="B11212" t="str">
        <f>"017950"</f>
        <v>0</v>
      </c>
      <c r="C11212" t="s">
        <v>16672</v>
      </c>
      <c r="D11212" t="s">
        <v>16673</v>
      </c>
      <c r="E11212" t="str">
        <f>"3341901478850"</f>
        <v>0</v>
      </c>
      <c r="F11212" t="str">
        <f>"001960"</f>
        <v>0</v>
      </c>
      <c r="G11212" t="s">
        <v>21</v>
      </c>
    </row>
    <row r="11213" spans="1:7">
      <c r="A11213">
        <v>11212</v>
      </c>
      <c r="B11213" t="str">
        <f>"001979"</f>
        <v>0</v>
      </c>
      <c r="C11213" t="s">
        <v>520</v>
      </c>
      <c r="D11213" t="s">
        <v>16674</v>
      </c>
      <c r="E11213" t="str">
        <f>"3349900573058"</f>
        <v>0</v>
      </c>
      <c r="F11213" t="str">
        <f>"001960"</f>
        <v>0</v>
      </c>
      <c r="G11213" t="s">
        <v>21</v>
      </c>
    </row>
    <row r="11214" spans="1:7">
      <c r="A11214">
        <v>11213</v>
      </c>
      <c r="B11214" t="str">
        <f>"019863"</f>
        <v>0</v>
      </c>
      <c r="C11214" t="s">
        <v>16675</v>
      </c>
      <c r="D11214" t="s">
        <v>16676</v>
      </c>
      <c r="E11214" t="str">
        <f>"5102000012078"</f>
        <v>0</v>
      </c>
      <c r="F11214" t="str">
        <f>"001960"</f>
        <v>0</v>
      </c>
      <c r="G11214" t="s">
        <v>21</v>
      </c>
    </row>
    <row r="11215" spans="1:7">
      <c r="A11215">
        <v>11214</v>
      </c>
      <c r="B11215" t="str">
        <f>"024857"</f>
        <v>0</v>
      </c>
      <c r="C11215" t="s">
        <v>16677</v>
      </c>
      <c r="D11215" t="s">
        <v>16678</v>
      </c>
      <c r="E11215" t="str">
        <f>"3640100115364"</f>
        <v>0</v>
      </c>
      <c r="F11215" t="str">
        <f>"001960"</f>
        <v>0</v>
      </c>
      <c r="G11215" t="s">
        <v>21</v>
      </c>
    </row>
    <row r="11216" spans="1:7">
      <c r="A11216">
        <v>11215</v>
      </c>
      <c r="B11216" t="str">
        <f>"026952"</f>
        <v>0</v>
      </c>
      <c r="C11216" t="s">
        <v>16679</v>
      </c>
      <c r="D11216" t="s">
        <v>16680</v>
      </c>
      <c r="E11216" t="str">
        <f>"1200100111901"</f>
        <v>0</v>
      </c>
      <c r="F11216" t="str">
        <f>"001960"</f>
        <v>0</v>
      </c>
      <c r="G11216" t="s">
        <v>21</v>
      </c>
    </row>
    <row r="11217" spans="1:7">
      <c r="A11217">
        <v>11216</v>
      </c>
      <c r="B11217" t="str">
        <f>"020357"</f>
        <v>0</v>
      </c>
      <c r="C11217" t="s">
        <v>16681</v>
      </c>
      <c r="D11217" t="s">
        <v>16682</v>
      </c>
      <c r="E11217" t="str">
        <f>"3349700017224"</f>
        <v>0</v>
      </c>
      <c r="F11217" t="str">
        <f>"001960"</f>
        <v>0</v>
      </c>
      <c r="G11217" t="s">
        <v>21</v>
      </c>
    </row>
    <row r="11218" spans="1:7">
      <c r="A11218">
        <v>11217</v>
      </c>
      <c r="B11218" t="str">
        <f>"025519"</f>
        <v>0</v>
      </c>
      <c r="C11218" t="s">
        <v>9619</v>
      </c>
      <c r="D11218" t="s">
        <v>16683</v>
      </c>
      <c r="E11218" t="str">
        <f>"1319900198676"</f>
        <v>0</v>
      </c>
      <c r="F11218" t="str">
        <f>"001960"</f>
        <v>0</v>
      </c>
      <c r="G11218" t="s">
        <v>21</v>
      </c>
    </row>
    <row r="11219" spans="1:7">
      <c r="A11219">
        <v>11218</v>
      </c>
      <c r="B11219" t="str">
        <f>"025693"</f>
        <v>0</v>
      </c>
      <c r="C11219" t="s">
        <v>16684</v>
      </c>
      <c r="D11219" t="s">
        <v>16685</v>
      </c>
      <c r="E11219" t="str">
        <f>"1310700120918"</f>
        <v>0</v>
      </c>
      <c r="F11219" t="str">
        <f>"001960"</f>
        <v>0</v>
      </c>
      <c r="G11219" t="s">
        <v>21</v>
      </c>
    </row>
    <row r="11220" spans="1:7">
      <c r="A11220">
        <v>11219</v>
      </c>
      <c r="B11220" t="str">
        <f>"020006"</f>
        <v>0</v>
      </c>
      <c r="C11220" t="s">
        <v>16686</v>
      </c>
      <c r="D11220" t="s">
        <v>16687</v>
      </c>
      <c r="E11220" t="str">
        <f>"3340300005531"</f>
        <v>0</v>
      </c>
      <c r="F11220" t="str">
        <f>"001960"</f>
        <v>0</v>
      </c>
      <c r="G11220" t="s">
        <v>21</v>
      </c>
    </row>
    <row r="11221" spans="1:7">
      <c r="A11221">
        <v>11220</v>
      </c>
      <c r="B11221" t="str">
        <f>"022490"</f>
        <v>0</v>
      </c>
      <c r="C11221" t="s">
        <v>16688</v>
      </c>
      <c r="D11221" t="s">
        <v>16689</v>
      </c>
      <c r="E11221" t="str">
        <f>"3330300201330"</f>
        <v>0</v>
      </c>
      <c r="F11221" t="str">
        <f>"001960"</f>
        <v>0</v>
      </c>
      <c r="G11221" t="s">
        <v>21</v>
      </c>
    </row>
    <row r="11222" spans="1:7">
      <c r="A11222">
        <v>11221</v>
      </c>
      <c r="B11222" t="str">
        <f>"022673"</f>
        <v>0</v>
      </c>
      <c r="C11222" t="s">
        <v>16690</v>
      </c>
      <c r="D11222" t="s">
        <v>16691</v>
      </c>
      <c r="E11222" t="str">
        <f>"3330401519475"</f>
        <v>0</v>
      </c>
      <c r="F11222" t="str">
        <f>"001960"</f>
        <v>0</v>
      </c>
      <c r="G11222" t="s">
        <v>21</v>
      </c>
    </row>
    <row r="11223" spans="1:7">
      <c r="A11223">
        <v>11222</v>
      </c>
      <c r="B11223" t="str">
        <f>"024797"</f>
        <v>0</v>
      </c>
      <c r="C11223" t="s">
        <v>9513</v>
      </c>
      <c r="D11223" t="s">
        <v>16692</v>
      </c>
      <c r="E11223" t="str">
        <f>"1330900065627"</f>
        <v>0</v>
      </c>
      <c r="F11223" t="str">
        <f>"001960"</f>
        <v>0</v>
      </c>
      <c r="G11223" t="s">
        <v>21</v>
      </c>
    </row>
    <row r="11224" spans="1:7">
      <c r="A11224">
        <v>11223</v>
      </c>
      <c r="B11224" t="str">
        <f>"024890"</f>
        <v>0</v>
      </c>
      <c r="C11224" t="s">
        <v>16693</v>
      </c>
      <c r="D11224" t="s">
        <v>16694</v>
      </c>
      <c r="E11224" t="str">
        <f>"3330100430475"</f>
        <v>0</v>
      </c>
      <c r="F11224" t="str">
        <f>"001960"</f>
        <v>0</v>
      </c>
      <c r="G11224" t="s">
        <v>21</v>
      </c>
    </row>
    <row r="11225" spans="1:7">
      <c r="A11225">
        <v>11224</v>
      </c>
      <c r="B11225" t="str">
        <f>"025183"</f>
        <v>0</v>
      </c>
      <c r="C11225" t="s">
        <v>16695</v>
      </c>
      <c r="D11225" t="s">
        <v>16696</v>
      </c>
      <c r="E11225" t="str">
        <f>"1739900202360"</f>
        <v>0</v>
      </c>
      <c r="F11225" t="str">
        <f>"001960"</f>
        <v>0</v>
      </c>
      <c r="G11225" t="s">
        <v>21</v>
      </c>
    </row>
    <row r="11226" spans="1:7">
      <c r="A11226">
        <v>11225</v>
      </c>
      <c r="B11226" t="str">
        <f>"026271"</f>
        <v>0</v>
      </c>
      <c r="C11226" t="s">
        <v>16697</v>
      </c>
      <c r="D11226" t="s">
        <v>16698</v>
      </c>
      <c r="E11226" t="str">
        <f>"3900900582151"</f>
        <v>0</v>
      </c>
      <c r="F11226" t="str">
        <f>"001960"</f>
        <v>0</v>
      </c>
      <c r="G11226" t="s">
        <v>21</v>
      </c>
    </row>
    <row r="11227" spans="1:7">
      <c r="A11227">
        <v>11226</v>
      </c>
      <c r="B11227" t="str">
        <f>"026272"</f>
        <v>0</v>
      </c>
      <c r="C11227" t="s">
        <v>16699</v>
      </c>
      <c r="D11227" t="s">
        <v>16700</v>
      </c>
      <c r="E11227" t="str">
        <f>"1330300171451"</f>
        <v>0</v>
      </c>
      <c r="F11227" t="str">
        <f>"001960"</f>
        <v>0</v>
      </c>
      <c r="G11227" t="s">
        <v>21</v>
      </c>
    </row>
    <row r="11228" spans="1:7">
      <c r="A11228">
        <v>11227</v>
      </c>
      <c r="B11228" t="str">
        <f>"009199"</f>
        <v>0</v>
      </c>
      <c r="C11228" t="s">
        <v>126</v>
      </c>
      <c r="D11228" t="s">
        <v>16701</v>
      </c>
      <c r="E11228" t="str">
        <f>"3340200038879"</f>
        <v>0</v>
      </c>
      <c r="F11228" t="str">
        <f>"001960"</f>
        <v>0</v>
      </c>
      <c r="G11228" t="s">
        <v>21</v>
      </c>
    </row>
    <row r="11229" spans="1:7">
      <c r="A11229">
        <v>11228</v>
      </c>
      <c r="B11229" t="str">
        <f>"009217"</f>
        <v>0</v>
      </c>
      <c r="C11229" t="s">
        <v>16702</v>
      </c>
      <c r="D11229" t="s">
        <v>16703</v>
      </c>
      <c r="E11229" t="str">
        <f>"3349800158091"</f>
        <v>0</v>
      </c>
      <c r="F11229" t="str">
        <f>"001960"</f>
        <v>0</v>
      </c>
      <c r="G11229" t="s">
        <v>21</v>
      </c>
    </row>
    <row r="11230" spans="1:7">
      <c r="A11230">
        <v>11229</v>
      </c>
      <c r="B11230" t="str">
        <f>"010311"</f>
        <v>0</v>
      </c>
      <c r="C11230" t="s">
        <v>9966</v>
      </c>
      <c r="D11230" t="s">
        <v>16704</v>
      </c>
      <c r="E11230" t="str">
        <f>"3920600111292"</f>
        <v>0</v>
      </c>
      <c r="F11230" t="str">
        <f>"001960"</f>
        <v>0</v>
      </c>
      <c r="G11230" t="s">
        <v>21</v>
      </c>
    </row>
    <row r="11231" spans="1:7">
      <c r="A11231">
        <v>11230</v>
      </c>
      <c r="B11231" t="str">
        <f>"010627"</f>
        <v>0</v>
      </c>
      <c r="C11231" t="s">
        <v>130</v>
      </c>
      <c r="D11231" t="s">
        <v>16705</v>
      </c>
      <c r="E11231" t="str">
        <f>"3340300020262"</f>
        <v>0</v>
      </c>
      <c r="F11231" t="str">
        <f>"001960"</f>
        <v>0</v>
      </c>
      <c r="G11231" t="s">
        <v>21</v>
      </c>
    </row>
    <row r="11232" spans="1:7">
      <c r="A11232">
        <v>11231</v>
      </c>
      <c r="B11232" t="str">
        <f>"010736"</f>
        <v>0</v>
      </c>
      <c r="C11232" t="s">
        <v>16706</v>
      </c>
      <c r="D11232" t="s">
        <v>16707</v>
      </c>
      <c r="E11232" t="str">
        <f>"3400100492020"</f>
        <v>0</v>
      </c>
      <c r="F11232" t="str">
        <f>"001960"</f>
        <v>0</v>
      </c>
      <c r="G11232" t="s">
        <v>21</v>
      </c>
    </row>
    <row r="11233" spans="1:7">
      <c r="A11233">
        <v>11232</v>
      </c>
      <c r="B11233" t="str">
        <f>"010909"</f>
        <v>0</v>
      </c>
      <c r="C11233" t="s">
        <v>16708</v>
      </c>
      <c r="D11233" t="s">
        <v>16709</v>
      </c>
      <c r="E11233" t="str">
        <f>"3340400308616"</f>
        <v>0</v>
      </c>
      <c r="F11233" t="str">
        <f>"001960"</f>
        <v>0</v>
      </c>
      <c r="G11233" t="s">
        <v>21</v>
      </c>
    </row>
    <row r="11234" spans="1:7">
      <c r="A11234">
        <v>11233</v>
      </c>
      <c r="B11234" t="str">
        <f>"011113"</f>
        <v>0</v>
      </c>
      <c r="C11234" t="s">
        <v>814</v>
      </c>
      <c r="D11234" t="s">
        <v>16710</v>
      </c>
      <c r="E11234" t="str">
        <f>"3340200331053"</f>
        <v>0</v>
      </c>
      <c r="F11234" t="str">
        <f>"001960"</f>
        <v>0</v>
      </c>
      <c r="G11234" t="s">
        <v>21</v>
      </c>
    </row>
    <row r="11235" spans="1:7">
      <c r="A11235">
        <v>11234</v>
      </c>
      <c r="B11235" t="str">
        <f>"011117"</f>
        <v>0</v>
      </c>
      <c r="C11235" t="s">
        <v>16711</v>
      </c>
      <c r="D11235" t="s">
        <v>16712</v>
      </c>
      <c r="E11235" t="str">
        <f>"3341600993071"</f>
        <v>0</v>
      </c>
      <c r="F11235" t="str">
        <f>"001960"</f>
        <v>0</v>
      </c>
      <c r="G11235" t="s">
        <v>21</v>
      </c>
    </row>
    <row r="11236" spans="1:7">
      <c r="A11236">
        <v>11235</v>
      </c>
      <c r="B11236" t="str">
        <f>"011121"</f>
        <v>0</v>
      </c>
      <c r="C11236" t="s">
        <v>409</v>
      </c>
      <c r="D11236" t="s">
        <v>16713</v>
      </c>
      <c r="E11236" t="str">
        <f>"3450700146441"</f>
        <v>0</v>
      </c>
      <c r="F11236" t="str">
        <f>"001960"</f>
        <v>0</v>
      </c>
      <c r="G11236" t="s">
        <v>21</v>
      </c>
    </row>
    <row r="11237" spans="1:7">
      <c r="A11237">
        <v>11236</v>
      </c>
      <c r="B11237" t="str">
        <f>"011122"</f>
        <v>0</v>
      </c>
      <c r="C11237" t="s">
        <v>16714</v>
      </c>
      <c r="D11237" t="s">
        <v>16715</v>
      </c>
      <c r="E11237" t="str">
        <f>"3340900664501"</f>
        <v>0</v>
      </c>
      <c r="F11237" t="str">
        <f>"001960"</f>
        <v>0</v>
      </c>
      <c r="G11237" t="s">
        <v>21</v>
      </c>
    </row>
    <row r="11238" spans="1:7">
      <c r="A11238">
        <v>11237</v>
      </c>
      <c r="B11238" t="str">
        <f>"011197"</f>
        <v>0</v>
      </c>
      <c r="C11238" t="s">
        <v>16716</v>
      </c>
      <c r="D11238" t="s">
        <v>16717</v>
      </c>
      <c r="E11238" t="str">
        <f>"3340701474051"</f>
        <v>0</v>
      </c>
      <c r="F11238" t="str">
        <f>"001960"</f>
        <v>0</v>
      </c>
      <c r="G11238" t="s">
        <v>21</v>
      </c>
    </row>
    <row r="11239" spans="1:7">
      <c r="A11239">
        <v>11238</v>
      </c>
      <c r="B11239" t="str">
        <f>"011348"</f>
        <v>0</v>
      </c>
      <c r="C11239" t="s">
        <v>2445</v>
      </c>
      <c r="D11239" t="s">
        <v>16718</v>
      </c>
      <c r="E11239" t="str">
        <f>"3340800044292"</f>
        <v>0</v>
      </c>
      <c r="F11239" t="str">
        <f>"001960"</f>
        <v>0</v>
      </c>
      <c r="G11239" t="s">
        <v>21</v>
      </c>
    </row>
    <row r="11240" spans="1:7">
      <c r="A11240">
        <v>11239</v>
      </c>
      <c r="B11240" t="str">
        <f>"011560"</f>
        <v>0</v>
      </c>
      <c r="C11240" t="s">
        <v>2777</v>
      </c>
      <c r="D11240" t="s">
        <v>16719</v>
      </c>
      <c r="E11240" t="str">
        <f>"3341200048514"</f>
        <v>0</v>
      </c>
      <c r="F11240" t="str">
        <f>"001960"</f>
        <v>0</v>
      </c>
      <c r="G11240" t="s">
        <v>21</v>
      </c>
    </row>
    <row r="11241" spans="1:7">
      <c r="A11241">
        <v>11240</v>
      </c>
      <c r="B11241" t="str">
        <f>"011719"</f>
        <v>0</v>
      </c>
      <c r="C11241" t="s">
        <v>16720</v>
      </c>
      <c r="D11241" t="s">
        <v>16721</v>
      </c>
      <c r="E11241" t="str">
        <f>"3330100431781"</f>
        <v>0</v>
      </c>
      <c r="F11241" t="str">
        <f>"001960"</f>
        <v>0</v>
      </c>
      <c r="G11241" t="s">
        <v>21</v>
      </c>
    </row>
    <row r="11242" spans="1:7">
      <c r="A11242">
        <v>11241</v>
      </c>
      <c r="B11242" t="str">
        <f>"011738"</f>
        <v>0</v>
      </c>
      <c r="C11242" t="s">
        <v>16722</v>
      </c>
      <c r="D11242" t="s">
        <v>16723</v>
      </c>
      <c r="E11242" t="str">
        <f>"3349700013199"</f>
        <v>0</v>
      </c>
      <c r="F11242" t="str">
        <f>"001960"</f>
        <v>0</v>
      </c>
      <c r="G11242" t="s">
        <v>21</v>
      </c>
    </row>
    <row r="11243" spans="1:7">
      <c r="A11243">
        <v>11242</v>
      </c>
      <c r="B11243" t="str">
        <f>"012446"</f>
        <v>0</v>
      </c>
      <c r="C11243" t="s">
        <v>375</v>
      </c>
      <c r="D11243" t="s">
        <v>16724</v>
      </c>
      <c r="E11243" t="str">
        <f>"3341000093893"</f>
        <v>0</v>
      </c>
      <c r="F11243" t="str">
        <f>"001960"</f>
        <v>0</v>
      </c>
      <c r="G11243" t="s">
        <v>21</v>
      </c>
    </row>
    <row r="11244" spans="1:7">
      <c r="A11244">
        <v>11243</v>
      </c>
      <c r="B11244" t="str">
        <f>"012982"</f>
        <v>0</v>
      </c>
      <c r="C11244" t="s">
        <v>449</v>
      </c>
      <c r="D11244" t="s">
        <v>16725</v>
      </c>
      <c r="E11244" t="str">
        <f>"3349900923661"</f>
        <v>0</v>
      </c>
      <c r="F11244" t="str">
        <f>"001960"</f>
        <v>0</v>
      </c>
      <c r="G11244" t="s">
        <v>21</v>
      </c>
    </row>
    <row r="11245" spans="1:7">
      <c r="A11245">
        <v>11244</v>
      </c>
      <c r="B11245" t="str">
        <f>"014493"</f>
        <v>0</v>
      </c>
      <c r="C11245" t="s">
        <v>16726</v>
      </c>
      <c r="D11245" t="s">
        <v>16727</v>
      </c>
      <c r="E11245" t="str">
        <f>"3309901312266"</f>
        <v>0</v>
      </c>
      <c r="F11245" t="str">
        <f>"001960"</f>
        <v>0</v>
      </c>
      <c r="G11245" t="s">
        <v>21</v>
      </c>
    </row>
    <row r="11246" spans="1:7">
      <c r="A11246">
        <v>11245</v>
      </c>
      <c r="B11246" t="str">
        <f>"014808"</f>
        <v>0</v>
      </c>
      <c r="C11246" t="s">
        <v>46</v>
      </c>
      <c r="D11246" t="s">
        <v>16728</v>
      </c>
      <c r="E11246" t="str">
        <f>"3800800020101"</f>
        <v>0</v>
      </c>
      <c r="F11246" t="str">
        <f>"001960"</f>
        <v>0</v>
      </c>
      <c r="G11246" t="s">
        <v>21</v>
      </c>
    </row>
    <row r="11247" spans="1:7">
      <c r="A11247">
        <v>11246</v>
      </c>
      <c r="B11247" t="str">
        <f>"014810"</f>
        <v>0</v>
      </c>
      <c r="C11247" t="s">
        <v>7748</v>
      </c>
      <c r="D11247" t="s">
        <v>16729</v>
      </c>
      <c r="E11247" t="str">
        <f>"3330700260856"</f>
        <v>0</v>
      </c>
      <c r="F11247" t="str">
        <f>"001960"</f>
        <v>0</v>
      </c>
      <c r="G11247" t="s">
        <v>21</v>
      </c>
    </row>
    <row r="11248" spans="1:7">
      <c r="A11248">
        <v>11247</v>
      </c>
      <c r="B11248" t="str">
        <f>"014811"</f>
        <v>0</v>
      </c>
      <c r="C11248" t="s">
        <v>14660</v>
      </c>
      <c r="D11248" t="s">
        <v>7943</v>
      </c>
      <c r="E11248" t="str">
        <f>"3340100107186"</f>
        <v>0</v>
      </c>
      <c r="F11248" t="str">
        <f>"001960"</f>
        <v>0</v>
      </c>
      <c r="G11248" t="s">
        <v>21</v>
      </c>
    </row>
    <row r="11249" spans="1:7">
      <c r="A11249">
        <v>11248</v>
      </c>
      <c r="B11249" t="str">
        <f>"014910"</f>
        <v>0</v>
      </c>
      <c r="C11249" t="s">
        <v>16730</v>
      </c>
      <c r="D11249" t="s">
        <v>16731</v>
      </c>
      <c r="E11249" t="str">
        <f>"3341600673050"</f>
        <v>0</v>
      </c>
      <c r="F11249" t="str">
        <f>"001960"</f>
        <v>0</v>
      </c>
      <c r="G11249" t="s">
        <v>21</v>
      </c>
    </row>
    <row r="11250" spans="1:7">
      <c r="A11250">
        <v>11249</v>
      </c>
      <c r="B11250" t="str">
        <f>"015189"</f>
        <v>0</v>
      </c>
      <c r="C11250" t="s">
        <v>16732</v>
      </c>
      <c r="D11250" t="s">
        <v>16567</v>
      </c>
      <c r="E11250" t="str">
        <f>"3349900084570"</f>
        <v>0</v>
      </c>
      <c r="F11250" t="str">
        <f>"001960"</f>
        <v>0</v>
      </c>
      <c r="G11250" t="s">
        <v>21</v>
      </c>
    </row>
    <row r="11251" spans="1:7">
      <c r="A11251">
        <v>11250</v>
      </c>
      <c r="B11251" t="str">
        <f>"015913"</f>
        <v>0</v>
      </c>
      <c r="C11251" t="s">
        <v>1634</v>
      </c>
      <c r="D11251" t="s">
        <v>14673</v>
      </c>
      <c r="E11251" t="str">
        <f>"3349700146601"</f>
        <v>0</v>
      </c>
      <c r="F11251" t="str">
        <f>"001960"</f>
        <v>0</v>
      </c>
      <c r="G11251" t="s">
        <v>21</v>
      </c>
    </row>
    <row r="11252" spans="1:7">
      <c r="A11252">
        <v>11251</v>
      </c>
      <c r="B11252" t="str">
        <f>"015914"</f>
        <v>0</v>
      </c>
      <c r="C11252" t="s">
        <v>16733</v>
      </c>
      <c r="D11252" t="s">
        <v>16734</v>
      </c>
      <c r="E11252" t="str">
        <f>"3341500246699"</f>
        <v>0</v>
      </c>
      <c r="F11252" t="str">
        <f>"001960"</f>
        <v>0</v>
      </c>
      <c r="G11252" t="s">
        <v>21</v>
      </c>
    </row>
    <row r="11253" spans="1:7">
      <c r="A11253">
        <v>11252</v>
      </c>
      <c r="B11253" t="str">
        <f>"015960"</f>
        <v>0</v>
      </c>
      <c r="C11253" t="s">
        <v>16735</v>
      </c>
      <c r="D11253" t="s">
        <v>16736</v>
      </c>
      <c r="E11253" t="str">
        <f>"3349900956828"</f>
        <v>0</v>
      </c>
      <c r="F11253" t="str">
        <f>"001960"</f>
        <v>0</v>
      </c>
      <c r="G11253" t="s">
        <v>21</v>
      </c>
    </row>
    <row r="11254" spans="1:7">
      <c r="A11254">
        <v>11253</v>
      </c>
      <c r="B11254" t="str">
        <f>"015964"</f>
        <v>0</v>
      </c>
      <c r="C11254" t="s">
        <v>4928</v>
      </c>
      <c r="D11254" t="s">
        <v>16737</v>
      </c>
      <c r="E11254" t="str">
        <f>"3350200014449"</f>
        <v>0</v>
      </c>
      <c r="F11254" t="str">
        <f>"001960"</f>
        <v>0</v>
      </c>
      <c r="G11254" t="s">
        <v>21</v>
      </c>
    </row>
    <row r="11255" spans="1:7">
      <c r="A11255">
        <v>11254</v>
      </c>
      <c r="B11255" t="str">
        <f>"015965"</f>
        <v>0</v>
      </c>
      <c r="C11255" t="s">
        <v>15070</v>
      </c>
      <c r="D11255" t="s">
        <v>16738</v>
      </c>
      <c r="E11255" t="str">
        <f>"3340500229165"</f>
        <v>0</v>
      </c>
      <c r="F11255" t="str">
        <f>"001960"</f>
        <v>0</v>
      </c>
      <c r="G11255" t="s">
        <v>21</v>
      </c>
    </row>
    <row r="11256" spans="1:7">
      <c r="A11256">
        <v>11255</v>
      </c>
      <c r="B11256" t="str">
        <f>"016342"</f>
        <v>0</v>
      </c>
      <c r="C11256" t="s">
        <v>16739</v>
      </c>
      <c r="D11256" t="s">
        <v>12276</v>
      </c>
      <c r="E11256" t="str">
        <f>"3340100905198"</f>
        <v>0</v>
      </c>
      <c r="F11256" t="str">
        <f>"001960"</f>
        <v>0</v>
      </c>
      <c r="G11256" t="s">
        <v>21</v>
      </c>
    </row>
    <row r="11257" spans="1:7">
      <c r="A11257">
        <v>11256</v>
      </c>
      <c r="B11257" t="str">
        <f>"016547"</f>
        <v>0</v>
      </c>
      <c r="C11257" t="s">
        <v>16740</v>
      </c>
      <c r="D11257" t="s">
        <v>16741</v>
      </c>
      <c r="E11257" t="str">
        <f>"3341400051110"</f>
        <v>0</v>
      </c>
      <c r="F11257" t="str">
        <f>"001960"</f>
        <v>0</v>
      </c>
      <c r="G11257" t="s">
        <v>21</v>
      </c>
    </row>
    <row r="11258" spans="1:7">
      <c r="A11258">
        <v>11257</v>
      </c>
      <c r="B11258" t="str">
        <f>"016567"</f>
        <v>0</v>
      </c>
      <c r="C11258" t="s">
        <v>16742</v>
      </c>
      <c r="D11258" t="s">
        <v>16743</v>
      </c>
      <c r="E11258" t="str">
        <f>"3340701021391"</f>
        <v>0</v>
      </c>
      <c r="F11258" t="str">
        <f>"001960"</f>
        <v>0</v>
      </c>
      <c r="G11258" t="s">
        <v>21</v>
      </c>
    </row>
    <row r="11259" spans="1:7">
      <c r="A11259">
        <v>11258</v>
      </c>
      <c r="B11259" t="str">
        <f>"016844"</f>
        <v>0</v>
      </c>
      <c r="C11259" t="s">
        <v>2417</v>
      </c>
      <c r="D11259" t="s">
        <v>16744</v>
      </c>
      <c r="E11259" t="str">
        <f>"3349800053877"</f>
        <v>0</v>
      </c>
      <c r="F11259" t="str">
        <f>"001960"</f>
        <v>0</v>
      </c>
      <c r="G11259" t="s">
        <v>21</v>
      </c>
    </row>
    <row r="11260" spans="1:7">
      <c r="A11260">
        <v>11259</v>
      </c>
      <c r="B11260" t="str">
        <f>"017013"</f>
        <v>0</v>
      </c>
      <c r="C11260" t="s">
        <v>6675</v>
      </c>
      <c r="D11260" t="s">
        <v>16745</v>
      </c>
      <c r="E11260" t="str">
        <f>"3341600914821"</f>
        <v>0</v>
      </c>
      <c r="F11260" t="str">
        <f>"001960"</f>
        <v>0</v>
      </c>
      <c r="G11260" t="s">
        <v>21</v>
      </c>
    </row>
    <row r="11261" spans="1:7">
      <c r="A11261">
        <v>11260</v>
      </c>
      <c r="B11261" t="str">
        <f>"017064"</f>
        <v>0</v>
      </c>
      <c r="C11261" t="s">
        <v>60</v>
      </c>
      <c r="D11261" t="s">
        <v>16746</v>
      </c>
      <c r="E11261" t="str">
        <f>"3341500787771"</f>
        <v>0</v>
      </c>
      <c r="F11261" t="str">
        <f>"001960"</f>
        <v>0</v>
      </c>
      <c r="G11261" t="s">
        <v>21</v>
      </c>
    </row>
    <row r="11262" spans="1:7">
      <c r="A11262">
        <v>11261</v>
      </c>
      <c r="B11262" t="str">
        <f>"017184"</f>
        <v>0</v>
      </c>
      <c r="C11262" t="s">
        <v>1800</v>
      </c>
      <c r="D11262" t="s">
        <v>16747</v>
      </c>
      <c r="E11262" t="str">
        <f>"3409900979592"</f>
        <v>0</v>
      </c>
      <c r="F11262" t="str">
        <f>"001960"</f>
        <v>0</v>
      </c>
      <c r="G11262" t="s">
        <v>21</v>
      </c>
    </row>
    <row r="11263" spans="1:7">
      <c r="A11263">
        <v>11262</v>
      </c>
      <c r="B11263" t="str">
        <f>"017435"</f>
        <v>0</v>
      </c>
      <c r="C11263" t="s">
        <v>16748</v>
      </c>
      <c r="D11263" t="s">
        <v>16749</v>
      </c>
      <c r="E11263" t="str">
        <f>"3319900060069"</f>
        <v>0</v>
      </c>
      <c r="F11263" t="str">
        <f>"001960"</f>
        <v>0</v>
      </c>
      <c r="G11263" t="s">
        <v>21</v>
      </c>
    </row>
    <row r="11264" spans="1:7">
      <c r="A11264">
        <v>11263</v>
      </c>
      <c r="B11264" t="str">
        <f>"017441"</f>
        <v>0</v>
      </c>
      <c r="C11264" t="s">
        <v>16750</v>
      </c>
      <c r="D11264" t="s">
        <v>16751</v>
      </c>
      <c r="E11264" t="str">
        <f>"3341601168774"</f>
        <v>0</v>
      </c>
      <c r="F11264" t="str">
        <f>"001960"</f>
        <v>0</v>
      </c>
      <c r="G11264" t="s">
        <v>21</v>
      </c>
    </row>
    <row r="11265" spans="1:7">
      <c r="A11265">
        <v>11264</v>
      </c>
      <c r="B11265" t="str">
        <f>"017445"</f>
        <v>0</v>
      </c>
      <c r="C11265" t="s">
        <v>3020</v>
      </c>
      <c r="D11265" t="s">
        <v>16752</v>
      </c>
      <c r="E11265" t="str">
        <f>"3340701590809"</f>
        <v>0</v>
      </c>
      <c r="F11265" t="str">
        <f>"001960"</f>
        <v>0</v>
      </c>
      <c r="G11265" t="s">
        <v>21</v>
      </c>
    </row>
    <row r="11266" spans="1:7">
      <c r="A11266">
        <v>11265</v>
      </c>
      <c r="B11266" t="str">
        <f>"017703"</f>
        <v>0</v>
      </c>
      <c r="C11266" t="s">
        <v>5776</v>
      </c>
      <c r="D11266" t="s">
        <v>16753</v>
      </c>
      <c r="E11266" t="str">
        <f>"3349900813474"</f>
        <v>0</v>
      </c>
      <c r="F11266" t="str">
        <f>"001960"</f>
        <v>0</v>
      </c>
      <c r="G11266" t="s">
        <v>21</v>
      </c>
    </row>
    <row r="11267" spans="1:7">
      <c r="A11267">
        <v>11266</v>
      </c>
      <c r="B11267" t="str">
        <f>"017790"</f>
        <v>0</v>
      </c>
      <c r="C11267" t="s">
        <v>11045</v>
      </c>
      <c r="D11267" t="s">
        <v>16754</v>
      </c>
      <c r="E11267" t="str">
        <f>"3340701747082"</f>
        <v>0</v>
      </c>
      <c r="F11267" t="str">
        <f>"001960"</f>
        <v>0</v>
      </c>
      <c r="G11267" t="s">
        <v>21</v>
      </c>
    </row>
    <row r="11268" spans="1:7">
      <c r="A11268">
        <v>11267</v>
      </c>
      <c r="B11268" t="str">
        <f>"018055"</f>
        <v>0</v>
      </c>
      <c r="C11268" t="s">
        <v>16755</v>
      </c>
      <c r="D11268" t="s">
        <v>16756</v>
      </c>
      <c r="E11268" t="str">
        <f>"3341400041599"</f>
        <v>0</v>
      </c>
      <c r="F11268" t="str">
        <f>"001960"</f>
        <v>0</v>
      </c>
      <c r="G11268" t="s">
        <v>21</v>
      </c>
    </row>
    <row r="11269" spans="1:7">
      <c r="A11269">
        <v>11268</v>
      </c>
      <c r="B11269" t="str">
        <f>"018277"</f>
        <v>0</v>
      </c>
      <c r="C11269" t="s">
        <v>1634</v>
      </c>
      <c r="D11269" t="s">
        <v>16757</v>
      </c>
      <c r="E11269" t="str">
        <f>"3340100518470"</f>
        <v>0</v>
      </c>
      <c r="F11269" t="str">
        <f>"001960"</f>
        <v>0</v>
      </c>
      <c r="G11269" t="s">
        <v>21</v>
      </c>
    </row>
    <row r="11270" spans="1:7">
      <c r="A11270">
        <v>11269</v>
      </c>
      <c r="B11270" t="str">
        <f>"018431"</f>
        <v>0</v>
      </c>
      <c r="C11270" t="s">
        <v>12123</v>
      </c>
      <c r="D11270" t="s">
        <v>16758</v>
      </c>
      <c r="E11270" t="str">
        <f>"3349900890258"</f>
        <v>0</v>
      </c>
      <c r="F11270" t="str">
        <f>"001960"</f>
        <v>0</v>
      </c>
      <c r="G11270" t="s">
        <v>21</v>
      </c>
    </row>
    <row r="11271" spans="1:7">
      <c r="A11271">
        <v>11270</v>
      </c>
      <c r="B11271" t="str">
        <f>"018499"</f>
        <v>0</v>
      </c>
      <c r="C11271" t="s">
        <v>16759</v>
      </c>
      <c r="D11271" t="s">
        <v>10209</v>
      </c>
      <c r="E11271" t="str">
        <f>"3340100878093"</f>
        <v>0</v>
      </c>
      <c r="F11271" t="str">
        <f>"001960"</f>
        <v>0</v>
      </c>
      <c r="G11271" t="s">
        <v>21</v>
      </c>
    </row>
    <row r="11272" spans="1:7">
      <c r="A11272">
        <v>11271</v>
      </c>
      <c r="B11272" t="str">
        <f>"018524"</f>
        <v>0</v>
      </c>
      <c r="C11272" t="s">
        <v>4864</v>
      </c>
      <c r="D11272" t="s">
        <v>16760</v>
      </c>
      <c r="E11272" t="str">
        <f>"3301500414656"</f>
        <v>0</v>
      </c>
      <c r="F11272" t="str">
        <f>"001960"</f>
        <v>0</v>
      </c>
      <c r="G11272" t="s">
        <v>21</v>
      </c>
    </row>
    <row r="11273" spans="1:7">
      <c r="A11273">
        <v>11272</v>
      </c>
      <c r="B11273" t="str">
        <f>"018659"</f>
        <v>0</v>
      </c>
      <c r="C11273" t="s">
        <v>5919</v>
      </c>
      <c r="D11273" t="s">
        <v>16749</v>
      </c>
      <c r="E11273" t="str">
        <f>"3340200016468"</f>
        <v>0</v>
      </c>
      <c r="F11273" t="str">
        <f>"001960"</f>
        <v>0</v>
      </c>
      <c r="G11273" t="s">
        <v>21</v>
      </c>
    </row>
    <row r="11274" spans="1:7">
      <c r="A11274">
        <v>11273</v>
      </c>
      <c r="B11274" t="str">
        <f>"018719"</f>
        <v>0</v>
      </c>
      <c r="C11274" t="s">
        <v>16761</v>
      </c>
      <c r="D11274" t="s">
        <v>16762</v>
      </c>
      <c r="E11274" t="str">
        <f>"3349900987766"</f>
        <v>0</v>
      </c>
      <c r="F11274" t="str">
        <f>"001960"</f>
        <v>0</v>
      </c>
      <c r="G11274" t="s">
        <v>21</v>
      </c>
    </row>
    <row r="11275" spans="1:7">
      <c r="A11275">
        <v>11274</v>
      </c>
      <c r="B11275" t="str">
        <f>"018720"</f>
        <v>0</v>
      </c>
      <c r="C11275" t="s">
        <v>2936</v>
      </c>
      <c r="D11275" t="s">
        <v>16763</v>
      </c>
      <c r="E11275" t="str">
        <f>"3349800287304"</f>
        <v>0</v>
      </c>
      <c r="F11275" t="str">
        <f>"001960"</f>
        <v>0</v>
      </c>
      <c r="G11275" t="s">
        <v>21</v>
      </c>
    </row>
    <row r="11276" spans="1:7">
      <c r="A11276">
        <v>11275</v>
      </c>
      <c r="B11276" t="str">
        <f>"018753"</f>
        <v>0</v>
      </c>
      <c r="C11276" t="s">
        <v>16764</v>
      </c>
      <c r="D11276" t="s">
        <v>16765</v>
      </c>
      <c r="E11276" t="str">
        <f>"3341500248446"</f>
        <v>0</v>
      </c>
      <c r="F11276" t="str">
        <f>"001960"</f>
        <v>0</v>
      </c>
      <c r="G11276" t="s">
        <v>21</v>
      </c>
    </row>
    <row r="11277" spans="1:7">
      <c r="A11277">
        <v>11276</v>
      </c>
      <c r="B11277" t="str">
        <f>"018834"</f>
        <v>0</v>
      </c>
      <c r="C11277" t="s">
        <v>16766</v>
      </c>
      <c r="D11277" t="s">
        <v>16767</v>
      </c>
      <c r="E11277" t="str">
        <f>"3480700008048"</f>
        <v>0</v>
      </c>
      <c r="F11277" t="str">
        <f>"001960"</f>
        <v>0</v>
      </c>
      <c r="G11277" t="s">
        <v>21</v>
      </c>
    </row>
    <row r="11278" spans="1:7">
      <c r="A11278">
        <v>11277</v>
      </c>
      <c r="B11278" t="str">
        <f>"018859"</f>
        <v>0</v>
      </c>
      <c r="C11278" t="s">
        <v>16768</v>
      </c>
      <c r="D11278" t="s">
        <v>16769</v>
      </c>
      <c r="E11278" t="str">
        <f>"3100600222911"</f>
        <v>0</v>
      </c>
      <c r="F11278" t="str">
        <f>"001960"</f>
        <v>0</v>
      </c>
      <c r="G11278" t="s">
        <v>21</v>
      </c>
    </row>
    <row r="11279" spans="1:7">
      <c r="A11279">
        <v>11278</v>
      </c>
      <c r="B11279" t="str">
        <f>"019275"</f>
        <v>0</v>
      </c>
      <c r="C11279" t="s">
        <v>1849</v>
      </c>
      <c r="D11279" t="s">
        <v>16770</v>
      </c>
      <c r="E11279" t="str">
        <f>"3340400033021"</f>
        <v>0</v>
      </c>
      <c r="F11279" t="str">
        <f>"001960"</f>
        <v>0</v>
      </c>
      <c r="G11279" t="s">
        <v>21</v>
      </c>
    </row>
    <row r="11280" spans="1:7">
      <c r="A11280">
        <v>11279</v>
      </c>
      <c r="B11280" t="str">
        <f>"019421"</f>
        <v>0</v>
      </c>
      <c r="C11280" t="s">
        <v>16771</v>
      </c>
      <c r="D11280" t="s">
        <v>16772</v>
      </c>
      <c r="E11280" t="str">
        <f>"3301200712210"</f>
        <v>0</v>
      </c>
      <c r="F11280" t="str">
        <f>"001960"</f>
        <v>0</v>
      </c>
      <c r="G11280" t="s">
        <v>21</v>
      </c>
    </row>
    <row r="11281" spans="1:7">
      <c r="A11281">
        <v>11280</v>
      </c>
      <c r="B11281" t="str">
        <f>"019517"</f>
        <v>0</v>
      </c>
      <c r="C11281" t="s">
        <v>2303</v>
      </c>
      <c r="D11281" t="s">
        <v>16773</v>
      </c>
      <c r="E11281" t="str">
        <f>"3310700856643"</f>
        <v>0</v>
      </c>
      <c r="F11281" t="str">
        <f>"001960"</f>
        <v>0</v>
      </c>
      <c r="G11281" t="s">
        <v>21</v>
      </c>
    </row>
    <row r="11282" spans="1:7">
      <c r="A11282">
        <v>11281</v>
      </c>
      <c r="B11282" t="str">
        <f>"020034"</f>
        <v>0</v>
      </c>
      <c r="C11282" t="s">
        <v>16774</v>
      </c>
      <c r="D11282" t="s">
        <v>16775</v>
      </c>
      <c r="E11282" t="str">
        <f>"3349700092013"</f>
        <v>0</v>
      </c>
      <c r="F11282" t="str">
        <f>"001960"</f>
        <v>0</v>
      </c>
      <c r="G11282" t="s">
        <v>21</v>
      </c>
    </row>
    <row r="11283" spans="1:7">
      <c r="A11283">
        <v>11282</v>
      </c>
      <c r="B11283" t="str">
        <f>"020144"</f>
        <v>0</v>
      </c>
      <c r="C11283" t="s">
        <v>16776</v>
      </c>
      <c r="D11283" t="s">
        <v>5337</v>
      </c>
      <c r="E11283" t="str">
        <f>"3340100516540"</f>
        <v>0</v>
      </c>
      <c r="F11283" t="str">
        <f>"001960"</f>
        <v>0</v>
      </c>
      <c r="G11283" t="s">
        <v>21</v>
      </c>
    </row>
    <row r="11284" spans="1:7">
      <c r="A11284">
        <v>11283</v>
      </c>
      <c r="B11284" t="str">
        <f>"020188"</f>
        <v>0</v>
      </c>
      <c r="C11284" t="s">
        <v>16777</v>
      </c>
      <c r="D11284" t="s">
        <v>16778</v>
      </c>
      <c r="E11284" t="str">
        <f>"3340100411471"</f>
        <v>0</v>
      </c>
      <c r="F11284" t="str">
        <f>"001960"</f>
        <v>0</v>
      </c>
      <c r="G11284" t="s">
        <v>21</v>
      </c>
    </row>
    <row r="11285" spans="1:7">
      <c r="A11285">
        <v>11284</v>
      </c>
      <c r="B11285" t="str">
        <f>"020189"</f>
        <v>0</v>
      </c>
      <c r="C11285" t="s">
        <v>1315</v>
      </c>
      <c r="D11285" t="s">
        <v>13746</v>
      </c>
      <c r="E11285" t="str">
        <f>"3349800266391"</f>
        <v>0</v>
      </c>
      <c r="F11285" t="str">
        <f>"001960"</f>
        <v>0</v>
      </c>
      <c r="G11285" t="s">
        <v>21</v>
      </c>
    </row>
    <row r="11286" spans="1:7">
      <c r="A11286">
        <v>11285</v>
      </c>
      <c r="B11286" t="str">
        <f>"020209"</f>
        <v>0</v>
      </c>
      <c r="C11286" t="s">
        <v>800</v>
      </c>
      <c r="D11286" t="s">
        <v>16779</v>
      </c>
      <c r="E11286" t="str">
        <f>"3340100523465"</f>
        <v>0</v>
      </c>
      <c r="F11286" t="str">
        <f>"001960"</f>
        <v>0</v>
      </c>
      <c r="G11286" t="s">
        <v>21</v>
      </c>
    </row>
    <row r="11287" spans="1:7">
      <c r="A11287">
        <v>11286</v>
      </c>
      <c r="B11287" t="str">
        <f>"020328"</f>
        <v>0</v>
      </c>
      <c r="C11287" t="s">
        <v>678</v>
      </c>
      <c r="D11287" t="s">
        <v>2065</v>
      </c>
      <c r="E11287" t="str">
        <f>"3340700973755"</f>
        <v>0</v>
      </c>
      <c r="F11287" t="str">
        <f>"001960"</f>
        <v>0</v>
      </c>
      <c r="G11287" t="s">
        <v>21</v>
      </c>
    </row>
    <row r="11288" spans="1:7">
      <c r="A11288">
        <v>11287</v>
      </c>
      <c r="B11288" t="str">
        <f>"020330"</f>
        <v>0</v>
      </c>
      <c r="C11288" t="s">
        <v>16780</v>
      </c>
      <c r="D11288" t="s">
        <v>16781</v>
      </c>
      <c r="E11288" t="str">
        <f>"3340600262024"</f>
        <v>0</v>
      </c>
      <c r="F11288" t="str">
        <f>"001960"</f>
        <v>0</v>
      </c>
      <c r="G11288" t="s">
        <v>21</v>
      </c>
    </row>
    <row r="11289" spans="1:7">
      <c r="A11289">
        <v>11288</v>
      </c>
      <c r="B11289" t="str">
        <f>"020332"</f>
        <v>0</v>
      </c>
      <c r="C11289" t="s">
        <v>6879</v>
      </c>
      <c r="D11289" t="s">
        <v>16782</v>
      </c>
      <c r="E11289" t="str">
        <f>"5340890003783"</f>
        <v>0</v>
      </c>
      <c r="F11289" t="str">
        <f>"001960"</f>
        <v>0</v>
      </c>
      <c r="G11289" t="s">
        <v>21</v>
      </c>
    </row>
    <row r="11290" spans="1:7">
      <c r="A11290">
        <v>11289</v>
      </c>
      <c r="B11290" t="str">
        <f>"020351"</f>
        <v>0</v>
      </c>
      <c r="C11290" t="s">
        <v>250</v>
      </c>
      <c r="D11290" t="s">
        <v>16783</v>
      </c>
      <c r="E11290" t="str">
        <f>"3341100801920"</f>
        <v>0</v>
      </c>
      <c r="F11290" t="str">
        <f>"001960"</f>
        <v>0</v>
      </c>
      <c r="G11290" t="s">
        <v>21</v>
      </c>
    </row>
    <row r="11291" spans="1:7">
      <c r="A11291">
        <v>11290</v>
      </c>
      <c r="B11291" t="str">
        <f>"020390"</f>
        <v>0</v>
      </c>
      <c r="C11291" t="s">
        <v>16784</v>
      </c>
      <c r="D11291" t="s">
        <v>11212</v>
      </c>
      <c r="E11291" t="str">
        <f>"3349800072995"</f>
        <v>0</v>
      </c>
      <c r="F11291" t="str">
        <f>"001960"</f>
        <v>0</v>
      </c>
      <c r="G11291" t="s">
        <v>21</v>
      </c>
    </row>
    <row r="11292" spans="1:7">
      <c r="A11292">
        <v>11291</v>
      </c>
      <c r="B11292" t="str">
        <f>"020505"</f>
        <v>0</v>
      </c>
      <c r="C11292" t="s">
        <v>178</v>
      </c>
      <c r="D11292" t="s">
        <v>16785</v>
      </c>
      <c r="E11292" t="str">
        <f>"3340100793110"</f>
        <v>0</v>
      </c>
      <c r="F11292" t="str">
        <f>"001960"</f>
        <v>0</v>
      </c>
      <c r="G11292" t="s">
        <v>21</v>
      </c>
    </row>
    <row r="11293" spans="1:7">
      <c r="A11293">
        <v>11292</v>
      </c>
      <c r="B11293" t="str">
        <f>"020545"</f>
        <v>0</v>
      </c>
      <c r="C11293" t="s">
        <v>16786</v>
      </c>
      <c r="D11293" t="s">
        <v>16787</v>
      </c>
      <c r="E11293" t="str">
        <f>"3900200125156"</f>
        <v>0</v>
      </c>
      <c r="F11293" t="str">
        <f>"001960"</f>
        <v>0</v>
      </c>
      <c r="G11293" t="s">
        <v>21</v>
      </c>
    </row>
    <row r="11294" spans="1:7">
      <c r="A11294">
        <v>11293</v>
      </c>
      <c r="B11294" t="str">
        <f>"020546"</f>
        <v>0</v>
      </c>
      <c r="C11294" t="s">
        <v>7129</v>
      </c>
      <c r="D11294" t="s">
        <v>16788</v>
      </c>
      <c r="E11294" t="str">
        <f>"3341500057993"</f>
        <v>0</v>
      </c>
      <c r="F11294" t="str">
        <f>"001960"</f>
        <v>0</v>
      </c>
      <c r="G11294" t="s">
        <v>21</v>
      </c>
    </row>
    <row r="11295" spans="1:7">
      <c r="A11295">
        <v>11294</v>
      </c>
      <c r="B11295" t="str">
        <f>"020547"</f>
        <v>0</v>
      </c>
      <c r="C11295" t="s">
        <v>16789</v>
      </c>
      <c r="D11295" t="s">
        <v>16790</v>
      </c>
      <c r="E11295" t="str">
        <f>"3349900511044"</f>
        <v>0</v>
      </c>
      <c r="F11295" t="str">
        <f>"001960"</f>
        <v>0</v>
      </c>
      <c r="G11295" t="s">
        <v>21</v>
      </c>
    </row>
    <row r="11296" spans="1:7">
      <c r="A11296">
        <v>11295</v>
      </c>
      <c r="B11296" t="str">
        <f>"020577"</f>
        <v>0</v>
      </c>
      <c r="C11296" t="s">
        <v>16791</v>
      </c>
      <c r="D11296" t="s">
        <v>16792</v>
      </c>
      <c r="E11296" t="str">
        <f>"3810100159459"</f>
        <v>0</v>
      </c>
      <c r="F11296" t="str">
        <f>"001960"</f>
        <v>0</v>
      </c>
      <c r="G11296" t="s">
        <v>21</v>
      </c>
    </row>
    <row r="11297" spans="1:7">
      <c r="A11297">
        <v>11296</v>
      </c>
      <c r="B11297" t="str">
        <f>"020601"</f>
        <v>0</v>
      </c>
      <c r="C11297" t="s">
        <v>7378</v>
      </c>
      <c r="D11297" t="s">
        <v>14945</v>
      </c>
      <c r="E11297" t="str">
        <f>"3340100637096"</f>
        <v>0</v>
      </c>
      <c r="F11297" t="str">
        <f>"001960"</f>
        <v>0</v>
      </c>
      <c r="G11297" t="s">
        <v>21</v>
      </c>
    </row>
    <row r="11298" spans="1:7">
      <c r="A11298">
        <v>11297</v>
      </c>
      <c r="B11298" t="str">
        <f>"020602"</f>
        <v>0</v>
      </c>
      <c r="C11298" t="s">
        <v>3045</v>
      </c>
      <c r="D11298" t="s">
        <v>16793</v>
      </c>
      <c r="E11298" t="str">
        <f>"3580200125826"</f>
        <v>0</v>
      </c>
      <c r="F11298" t="str">
        <f>"001960"</f>
        <v>0</v>
      </c>
      <c r="G11298" t="s">
        <v>21</v>
      </c>
    </row>
    <row r="11299" spans="1:7">
      <c r="A11299">
        <v>11298</v>
      </c>
      <c r="B11299" t="str">
        <f>"020702"</f>
        <v>0</v>
      </c>
      <c r="C11299" t="s">
        <v>16794</v>
      </c>
      <c r="D11299" t="s">
        <v>14810</v>
      </c>
      <c r="E11299" t="str">
        <f>"3340700013646"</f>
        <v>0</v>
      </c>
      <c r="F11299" t="str">
        <f>"001960"</f>
        <v>0</v>
      </c>
      <c r="G11299" t="s">
        <v>21</v>
      </c>
    </row>
    <row r="11300" spans="1:7">
      <c r="A11300">
        <v>11299</v>
      </c>
      <c r="B11300" t="str">
        <f>"020907"</f>
        <v>0</v>
      </c>
      <c r="C11300" t="s">
        <v>1128</v>
      </c>
      <c r="D11300" t="s">
        <v>16795</v>
      </c>
      <c r="E11300" t="str">
        <f>"3341400372897"</f>
        <v>0</v>
      </c>
      <c r="F11300" t="str">
        <f>"001960"</f>
        <v>0</v>
      </c>
      <c r="G11300" t="s">
        <v>21</v>
      </c>
    </row>
    <row r="11301" spans="1:7">
      <c r="A11301">
        <v>11300</v>
      </c>
      <c r="B11301" t="str">
        <f>"020957"</f>
        <v>0</v>
      </c>
      <c r="C11301" t="s">
        <v>16796</v>
      </c>
      <c r="D11301" t="s">
        <v>16795</v>
      </c>
      <c r="E11301" t="str">
        <f>"3440900920867"</f>
        <v>0</v>
      </c>
      <c r="F11301" t="str">
        <f>"001960"</f>
        <v>0</v>
      </c>
      <c r="G11301" t="s">
        <v>21</v>
      </c>
    </row>
    <row r="11302" spans="1:7">
      <c r="A11302">
        <v>11301</v>
      </c>
      <c r="B11302" t="str">
        <f>"021099"</f>
        <v>0</v>
      </c>
      <c r="C11302" t="s">
        <v>16797</v>
      </c>
      <c r="D11302" t="s">
        <v>16798</v>
      </c>
      <c r="E11302" t="str">
        <f>"3349800140389"</f>
        <v>0</v>
      </c>
      <c r="F11302" t="str">
        <f>"001960"</f>
        <v>0</v>
      </c>
      <c r="G11302" t="s">
        <v>21</v>
      </c>
    </row>
    <row r="11303" spans="1:7">
      <c r="A11303">
        <v>11302</v>
      </c>
      <c r="B11303" t="str">
        <f>"021158"</f>
        <v>0</v>
      </c>
      <c r="C11303" t="s">
        <v>11194</v>
      </c>
      <c r="D11303" t="s">
        <v>16799</v>
      </c>
      <c r="E11303" t="str">
        <f>"3301201074128"</f>
        <v>0</v>
      </c>
      <c r="F11303" t="str">
        <f>"001960"</f>
        <v>0</v>
      </c>
      <c r="G11303" t="s">
        <v>21</v>
      </c>
    </row>
    <row r="11304" spans="1:7">
      <c r="A11304">
        <v>11303</v>
      </c>
      <c r="B11304" t="str">
        <f>"021159"</f>
        <v>0</v>
      </c>
      <c r="C11304" t="s">
        <v>8420</v>
      </c>
      <c r="D11304" t="s">
        <v>16800</v>
      </c>
      <c r="E11304" t="str">
        <f>"3340101265915"</f>
        <v>0</v>
      </c>
      <c r="F11304" t="str">
        <f>"001960"</f>
        <v>0</v>
      </c>
      <c r="G11304" t="s">
        <v>21</v>
      </c>
    </row>
    <row r="11305" spans="1:7">
      <c r="A11305">
        <v>11304</v>
      </c>
      <c r="B11305" t="str">
        <f>"021160"</f>
        <v>0</v>
      </c>
      <c r="C11305" t="s">
        <v>16801</v>
      </c>
      <c r="D11305" t="s">
        <v>16802</v>
      </c>
      <c r="E11305" t="str">
        <f>"3342100024151"</f>
        <v>0</v>
      </c>
      <c r="F11305" t="str">
        <f>"001960"</f>
        <v>0</v>
      </c>
      <c r="G11305" t="s">
        <v>21</v>
      </c>
    </row>
    <row r="11306" spans="1:7">
      <c r="A11306">
        <v>11305</v>
      </c>
      <c r="B11306" t="str">
        <f>"021196"</f>
        <v>0</v>
      </c>
      <c r="C11306" t="s">
        <v>16803</v>
      </c>
      <c r="D11306" t="s">
        <v>16804</v>
      </c>
      <c r="E11306" t="str">
        <f>"5340590025846"</f>
        <v>0</v>
      </c>
      <c r="F11306" t="str">
        <f>"001960"</f>
        <v>0</v>
      </c>
      <c r="G11306" t="s">
        <v>21</v>
      </c>
    </row>
    <row r="11307" spans="1:7">
      <c r="A11307">
        <v>11306</v>
      </c>
      <c r="B11307" t="str">
        <f>"021495"</f>
        <v>0</v>
      </c>
      <c r="C11307" t="s">
        <v>10854</v>
      </c>
      <c r="D11307" t="s">
        <v>12233</v>
      </c>
      <c r="E11307" t="str">
        <f>"3340500250962"</f>
        <v>0</v>
      </c>
      <c r="F11307" t="str">
        <f>"001960"</f>
        <v>0</v>
      </c>
      <c r="G11307" t="s">
        <v>21</v>
      </c>
    </row>
    <row r="11308" spans="1:7">
      <c r="A11308">
        <v>11307</v>
      </c>
      <c r="B11308" t="str">
        <f>"021497"</f>
        <v>0</v>
      </c>
      <c r="C11308" t="s">
        <v>16805</v>
      </c>
      <c r="D11308" t="s">
        <v>16806</v>
      </c>
      <c r="E11308" t="str">
        <f>"3342100009160"</f>
        <v>0</v>
      </c>
      <c r="F11308" t="str">
        <f>"001960"</f>
        <v>0</v>
      </c>
      <c r="G11308" t="s">
        <v>21</v>
      </c>
    </row>
    <row r="11309" spans="1:7">
      <c r="A11309">
        <v>11308</v>
      </c>
      <c r="B11309" t="str">
        <f>"021593"</f>
        <v>0</v>
      </c>
      <c r="C11309" t="s">
        <v>16807</v>
      </c>
      <c r="D11309" t="s">
        <v>16808</v>
      </c>
      <c r="E11309" t="str">
        <f>"3341900977399"</f>
        <v>0</v>
      </c>
      <c r="F11309" t="str">
        <f>"001960"</f>
        <v>0</v>
      </c>
      <c r="G11309" t="s">
        <v>21</v>
      </c>
    </row>
    <row r="11310" spans="1:7">
      <c r="A11310">
        <v>11309</v>
      </c>
      <c r="B11310" t="str">
        <f>"021633"</f>
        <v>0</v>
      </c>
      <c r="C11310" t="s">
        <v>5890</v>
      </c>
      <c r="D11310" t="s">
        <v>16809</v>
      </c>
      <c r="E11310" t="str">
        <f>"3341200037032"</f>
        <v>0</v>
      </c>
      <c r="F11310" t="str">
        <f>"001960"</f>
        <v>0</v>
      </c>
      <c r="G11310" t="s">
        <v>21</v>
      </c>
    </row>
    <row r="11311" spans="1:7">
      <c r="A11311">
        <v>11310</v>
      </c>
      <c r="B11311" t="str">
        <f>"021728"</f>
        <v>0</v>
      </c>
      <c r="C11311" t="s">
        <v>2234</v>
      </c>
      <c r="D11311" t="s">
        <v>16810</v>
      </c>
      <c r="E11311" t="str">
        <f>"3340700703944"</f>
        <v>0</v>
      </c>
      <c r="F11311" t="str">
        <f>"001960"</f>
        <v>0</v>
      </c>
      <c r="G11311" t="s">
        <v>21</v>
      </c>
    </row>
    <row r="11312" spans="1:7">
      <c r="A11312">
        <v>11311</v>
      </c>
      <c r="B11312" t="str">
        <f>"021821"</f>
        <v>0</v>
      </c>
      <c r="C11312" t="s">
        <v>16811</v>
      </c>
      <c r="D11312" t="s">
        <v>16812</v>
      </c>
      <c r="E11312" t="str">
        <f>"3410600535267"</f>
        <v>0</v>
      </c>
      <c r="F11312" t="str">
        <f>"001960"</f>
        <v>0</v>
      </c>
      <c r="G11312" t="s">
        <v>21</v>
      </c>
    </row>
    <row r="11313" spans="1:7">
      <c r="A11313">
        <v>11312</v>
      </c>
      <c r="B11313" t="str">
        <f>"021856"</f>
        <v>0</v>
      </c>
      <c r="C11313" t="s">
        <v>4481</v>
      </c>
      <c r="D11313" t="s">
        <v>16813</v>
      </c>
      <c r="E11313" t="str">
        <f>"3340100457667"</f>
        <v>0</v>
      </c>
      <c r="F11313" t="str">
        <f>"001960"</f>
        <v>0</v>
      </c>
      <c r="G11313" t="s">
        <v>21</v>
      </c>
    </row>
    <row r="11314" spans="1:7">
      <c r="A11314">
        <v>11313</v>
      </c>
      <c r="B11314" t="str">
        <f>"021857"</f>
        <v>0</v>
      </c>
      <c r="C11314" t="s">
        <v>16814</v>
      </c>
      <c r="D11314" t="s">
        <v>16815</v>
      </c>
      <c r="E11314" t="str">
        <f>"5340190002091"</f>
        <v>0</v>
      </c>
      <c r="F11314" t="str">
        <f>"001960"</f>
        <v>0</v>
      </c>
      <c r="G11314" t="s">
        <v>21</v>
      </c>
    </row>
    <row r="11315" spans="1:7">
      <c r="A11315">
        <v>11314</v>
      </c>
      <c r="B11315" t="str">
        <f>"021859"</f>
        <v>0</v>
      </c>
      <c r="C11315" t="s">
        <v>4920</v>
      </c>
      <c r="D11315" t="s">
        <v>16816</v>
      </c>
      <c r="E11315" t="str">
        <f>"3480100646566"</f>
        <v>0</v>
      </c>
      <c r="F11315" t="str">
        <f>"001960"</f>
        <v>0</v>
      </c>
      <c r="G11315" t="s">
        <v>21</v>
      </c>
    </row>
    <row r="11316" spans="1:7">
      <c r="A11316">
        <v>11315</v>
      </c>
      <c r="B11316" t="str">
        <f>"021942"</f>
        <v>0</v>
      </c>
      <c r="C11316" t="s">
        <v>16817</v>
      </c>
      <c r="D11316" t="s">
        <v>16818</v>
      </c>
      <c r="E11316" t="str">
        <f>"3340701604907"</f>
        <v>0</v>
      </c>
      <c r="F11316" t="str">
        <f>"001960"</f>
        <v>0</v>
      </c>
      <c r="G11316" t="s">
        <v>21</v>
      </c>
    </row>
    <row r="11317" spans="1:7">
      <c r="A11317">
        <v>11316</v>
      </c>
      <c r="B11317" t="str">
        <f>"022026"</f>
        <v>0</v>
      </c>
      <c r="C11317" t="s">
        <v>16819</v>
      </c>
      <c r="D11317" t="s">
        <v>16820</v>
      </c>
      <c r="E11317" t="str">
        <f>"3350800341343"</f>
        <v>0</v>
      </c>
      <c r="F11317" t="str">
        <f>"001960"</f>
        <v>0</v>
      </c>
      <c r="G11317" t="s">
        <v>21</v>
      </c>
    </row>
    <row r="11318" spans="1:7">
      <c r="A11318">
        <v>11317</v>
      </c>
      <c r="B11318" t="str">
        <f>"022215"</f>
        <v>0</v>
      </c>
      <c r="C11318" t="s">
        <v>16821</v>
      </c>
      <c r="D11318" t="s">
        <v>16822</v>
      </c>
      <c r="E11318" t="str">
        <f>"3340900541999"</f>
        <v>0</v>
      </c>
      <c r="F11318" t="str">
        <f>"001960"</f>
        <v>0</v>
      </c>
      <c r="G11318" t="s">
        <v>21</v>
      </c>
    </row>
    <row r="11319" spans="1:7">
      <c r="A11319">
        <v>11318</v>
      </c>
      <c r="B11319" t="str">
        <f>"022218"</f>
        <v>0</v>
      </c>
      <c r="C11319" t="s">
        <v>16823</v>
      </c>
      <c r="D11319" t="s">
        <v>16824</v>
      </c>
      <c r="E11319" t="str">
        <f>"3341600553038"</f>
        <v>0</v>
      </c>
      <c r="F11319" t="str">
        <f>"001960"</f>
        <v>0</v>
      </c>
      <c r="G11319" t="s">
        <v>21</v>
      </c>
    </row>
    <row r="11320" spans="1:7">
      <c r="A11320">
        <v>11319</v>
      </c>
      <c r="B11320" t="str">
        <f>"022219"</f>
        <v>0</v>
      </c>
      <c r="C11320" t="s">
        <v>14141</v>
      </c>
      <c r="D11320" t="s">
        <v>16825</v>
      </c>
      <c r="E11320" t="str">
        <f>"3341100029798"</f>
        <v>0</v>
      </c>
      <c r="F11320" t="str">
        <f>"001960"</f>
        <v>0</v>
      </c>
      <c r="G11320" t="s">
        <v>21</v>
      </c>
    </row>
    <row r="11321" spans="1:7">
      <c r="A11321">
        <v>11320</v>
      </c>
      <c r="B11321" t="str">
        <f>"022220"</f>
        <v>0</v>
      </c>
      <c r="C11321" t="s">
        <v>16826</v>
      </c>
      <c r="D11321" t="s">
        <v>16827</v>
      </c>
      <c r="E11321" t="str">
        <f>"1341400001884"</f>
        <v>0</v>
      </c>
      <c r="F11321" t="str">
        <f>"001960"</f>
        <v>0</v>
      </c>
      <c r="G11321" t="s">
        <v>21</v>
      </c>
    </row>
    <row r="11322" spans="1:7">
      <c r="A11322">
        <v>11321</v>
      </c>
      <c r="B11322" t="str">
        <f>"022349"</f>
        <v>0</v>
      </c>
      <c r="C11322" t="s">
        <v>16828</v>
      </c>
      <c r="D11322" t="s">
        <v>16557</v>
      </c>
      <c r="E11322" t="str">
        <f>"1470100049286"</f>
        <v>0</v>
      </c>
      <c r="F11322" t="str">
        <f>"001960"</f>
        <v>0</v>
      </c>
      <c r="G11322" t="s">
        <v>21</v>
      </c>
    </row>
    <row r="11323" spans="1:7">
      <c r="A11323">
        <v>11322</v>
      </c>
      <c r="B11323" t="str">
        <f>"022591"</f>
        <v>0</v>
      </c>
      <c r="C11323" t="s">
        <v>16829</v>
      </c>
      <c r="D11323" t="s">
        <v>16830</v>
      </c>
      <c r="E11323" t="str">
        <f>"3340701039380"</f>
        <v>0</v>
      </c>
      <c r="F11323" t="str">
        <f>"001960"</f>
        <v>0</v>
      </c>
      <c r="G11323" t="s">
        <v>21</v>
      </c>
    </row>
    <row r="11324" spans="1:7">
      <c r="A11324">
        <v>11323</v>
      </c>
      <c r="B11324" t="str">
        <f>"022592"</f>
        <v>0</v>
      </c>
      <c r="C11324" t="s">
        <v>3949</v>
      </c>
      <c r="D11324" t="s">
        <v>16831</v>
      </c>
      <c r="E11324" t="str">
        <f>"3639900050427"</f>
        <v>0</v>
      </c>
      <c r="F11324" t="str">
        <f>"001960"</f>
        <v>0</v>
      </c>
      <c r="G11324" t="s">
        <v>21</v>
      </c>
    </row>
    <row r="11325" spans="1:7">
      <c r="A11325">
        <v>11324</v>
      </c>
      <c r="B11325" t="str">
        <f>"022672"</f>
        <v>0</v>
      </c>
      <c r="C11325" t="s">
        <v>13979</v>
      </c>
      <c r="D11325" t="s">
        <v>16832</v>
      </c>
      <c r="E11325" t="str">
        <f>"3340101087065"</f>
        <v>0</v>
      </c>
      <c r="F11325" t="str">
        <f>"001960"</f>
        <v>0</v>
      </c>
      <c r="G11325" t="s">
        <v>21</v>
      </c>
    </row>
    <row r="11326" spans="1:7">
      <c r="A11326">
        <v>11325</v>
      </c>
      <c r="B11326" t="str">
        <f>"022778"</f>
        <v>0</v>
      </c>
      <c r="C11326" t="s">
        <v>16833</v>
      </c>
      <c r="D11326" t="s">
        <v>16834</v>
      </c>
      <c r="E11326" t="str">
        <f>"3320100156977"</f>
        <v>0</v>
      </c>
      <c r="F11326" t="str">
        <f>"001960"</f>
        <v>0</v>
      </c>
      <c r="G11326" t="s">
        <v>21</v>
      </c>
    </row>
    <row r="11327" spans="1:7">
      <c r="A11327">
        <v>11326</v>
      </c>
      <c r="B11327" t="str">
        <f>"022779"</f>
        <v>0</v>
      </c>
      <c r="C11327" t="s">
        <v>16835</v>
      </c>
      <c r="D11327" t="s">
        <v>16836</v>
      </c>
      <c r="E11327" t="str">
        <f>"3341501025106"</f>
        <v>0</v>
      </c>
      <c r="F11327" t="str">
        <f>"001960"</f>
        <v>0</v>
      </c>
      <c r="G11327" t="s">
        <v>21</v>
      </c>
    </row>
    <row r="11328" spans="1:7">
      <c r="A11328">
        <v>11327</v>
      </c>
      <c r="B11328" t="str">
        <f>"022780"</f>
        <v>0</v>
      </c>
      <c r="C11328" t="s">
        <v>8146</v>
      </c>
      <c r="D11328" t="s">
        <v>16837</v>
      </c>
      <c r="E11328" t="str">
        <f>"3349900452978"</f>
        <v>0</v>
      </c>
      <c r="F11328" t="str">
        <f>"001960"</f>
        <v>0</v>
      </c>
      <c r="G11328" t="s">
        <v>21</v>
      </c>
    </row>
    <row r="11329" spans="1:7">
      <c r="A11329">
        <v>11328</v>
      </c>
      <c r="B11329" t="str">
        <f>"022885"</f>
        <v>0</v>
      </c>
      <c r="C11329" t="s">
        <v>2216</v>
      </c>
      <c r="D11329" t="s">
        <v>16838</v>
      </c>
      <c r="E11329" t="str">
        <f>"3341000520961"</f>
        <v>0</v>
      </c>
      <c r="F11329" t="str">
        <f>"001960"</f>
        <v>0</v>
      </c>
      <c r="G11329" t="s">
        <v>21</v>
      </c>
    </row>
    <row r="11330" spans="1:7">
      <c r="A11330">
        <v>11329</v>
      </c>
      <c r="B11330" t="str">
        <f>"023050"</f>
        <v>0</v>
      </c>
      <c r="C11330" t="s">
        <v>2720</v>
      </c>
      <c r="D11330" t="s">
        <v>16839</v>
      </c>
      <c r="E11330" t="str">
        <f>"3341900592152"</f>
        <v>0</v>
      </c>
      <c r="F11330" t="str">
        <f>"001960"</f>
        <v>0</v>
      </c>
      <c r="G11330" t="s">
        <v>21</v>
      </c>
    </row>
    <row r="11331" spans="1:7">
      <c r="A11331">
        <v>11330</v>
      </c>
      <c r="B11331" t="str">
        <f>"023070"</f>
        <v>0</v>
      </c>
      <c r="C11331" t="s">
        <v>16840</v>
      </c>
      <c r="D11331" t="s">
        <v>16841</v>
      </c>
      <c r="E11331" t="str">
        <f>"3340300073960"</f>
        <v>0</v>
      </c>
      <c r="F11331" t="str">
        <f>"001960"</f>
        <v>0</v>
      </c>
      <c r="G11331" t="s">
        <v>21</v>
      </c>
    </row>
    <row r="11332" spans="1:7">
      <c r="A11332">
        <v>11331</v>
      </c>
      <c r="B11332" t="str">
        <f>"023299"</f>
        <v>0</v>
      </c>
      <c r="C11332" t="s">
        <v>16842</v>
      </c>
      <c r="D11332" t="s">
        <v>16843</v>
      </c>
      <c r="E11332" t="str">
        <f>"1340700041597"</f>
        <v>0</v>
      </c>
      <c r="F11332" t="str">
        <f>"001960"</f>
        <v>0</v>
      </c>
      <c r="G11332" t="s">
        <v>21</v>
      </c>
    </row>
    <row r="11333" spans="1:7">
      <c r="A11333">
        <v>11332</v>
      </c>
      <c r="B11333" t="str">
        <f>"023490"</f>
        <v>0</v>
      </c>
      <c r="C11333" t="s">
        <v>4494</v>
      </c>
      <c r="D11333" t="s">
        <v>16844</v>
      </c>
      <c r="E11333" t="str">
        <f>"3340100243152"</f>
        <v>0</v>
      </c>
      <c r="F11333" t="str">
        <f>"001960"</f>
        <v>0</v>
      </c>
      <c r="G11333" t="s">
        <v>21</v>
      </c>
    </row>
    <row r="11334" spans="1:7">
      <c r="A11334">
        <v>11333</v>
      </c>
      <c r="B11334" t="str">
        <f>"023785"</f>
        <v>0</v>
      </c>
      <c r="C11334" t="s">
        <v>16845</v>
      </c>
      <c r="D11334" t="s">
        <v>16812</v>
      </c>
      <c r="E11334" t="str">
        <f>"3460400022428"</f>
        <v>0</v>
      </c>
      <c r="F11334" t="str">
        <f>"001960"</f>
        <v>0</v>
      </c>
      <c r="G11334" t="s">
        <v>21</v>
      </c>
    </row>
    <row r="11335" spans="1:7">
      <c r="A11335">
        <v>11334</v>
      </c>
      <c r="B11335" t="str">
        <f>"024128"</f>
        <v>0</v>
      </c>
      <c r="C11335" t="s">
        <v>1200</v>
      </c>
      <c r="D11335" t="s">
        <v>16846</v>
      </c>
      <c r="E11335" t="str">
        <f>"1349900091979"</f>
        <v>0</v>
      </c>
      <c r="F11335" t="str">
        <f>"001960"</f>
        <v>0</v>
      </c>
      <c r="G11335" t="s">
        <v>21</v>
      </c>
    </row>
    <row r="11336" spans="1:7">
      <c r="A11336">
        <v>11335</v>
      </c>
      <c r="B11336" t="str">
        <f>"024402"</f>
        <v>0</v>
      </c>
      <c r="C11336" t="s">
        <v>841</v>
      </c>
      <c r="D11336" t="s">
        <v>16847</v>
      </c>
      <c r="E11336" t="str">
        <f>"3340900418232"</f>
        <v>0</v>
      </c>
      <c r="F11336" t="str">
        <f>"001960"</f>
        <v>0</v>
      </c>
      <c r="G11336" t="s">
        <v>21</v>
      </c>
    </row>
    <row r="11337" spans="1:7">
      <c r="A11337">
        <v>11336</v>
      </c>
      <c r="B11337" t="str">
        <f>"024427"</f>
        <v>0</v>
      </c>
      <c r="C11337" t="s">
        <v>16848</v>
      </c>
      <c r="D11337" t="s">
        <v>16849</v>
      </c>
      <c r="E11337" t="str">
        <f>"1349900151823"</f>
        <v>0</v>
      </c>
      <c r="F11337" t="str">
        <f>"001960"</f>
        <v>0</v>
      </c>
      <c r="G11337" t="s">
        <v>21</v>
      </c>
    </row>
    <row r="11338" spans="1:7">
      <c r="A11338">
        <v>11337</v>
      </c>
      <c r="B11338" t="str">
        <f>"024429"</f>
        <v>0</v>
      </c>
      <c r="C11338" t="s">
        <v>16850</v>
      </c>
      <c r="D11338" t="s">
        <v>16851</v>
      </c>
      <c r="E11338" t="str">
        <f>"3341501118422"</f>
        <v>0</v>
      </c>
      <c r="F11338" t="str">
        <f>"001960"</f>
        <v>0</v>
      </c>
      <c r="G11338" t="s">
        <v>21</v>
      </c>
    </row>
    <row r="11339" spans="1:7">
      <c r="A11339">
        <v>11338</v>
      </c>
      <c r="B11339" t="str">
        <f>"024887"</f>
        <v>0</v>
      </c>
      <c r="C11339" t="s">
        <v>16852</v>
      </c>
      <c r="D11339" t="s">
        <v>16853</v>
      </c>
      <c r="E11339" t="str">
        <f>"3341500376665"</f>
        <v>0</v>
      </c>
      <c r="F11339" t="str">
        <f>"001960"</f>
        <v>0</v>
      </c>
      <c r="G11339" t="s">
        <v>21</v>
      </c>
    </row>
    <row r="11340" spans="1:7">
      <c r="A11340">
        <v>11339</v>
      </c>
      <c r="B11340" t="str">
        <f>"024888"</f>
        <v>0</v>
      </c>
      <c r="C11340" t="s">
        <v>16854</v>
      </c>
      <c r="D11340" t="s">
        <v>16855</v>
      </c>
      <c r="E11340" t="str">
        <f>"3349900587881"</f>
        <v>0</v>
      </c>
      <c r="F11340" t="str">
        <f>"001960"</f>
        <v>0</v>
      </c>
      <c r="G11340" t="s">
        <v>21</v>
      </c>
    </row>
    <row r="11341" spans="1:7">
      <c r="A11341">
        <v>11340</v>
      </c>
      <c r="B11341" t="str">
        <f>"024889"</f>
        <v>0</v>
      </c>
      <c r="C11341" t="s">
        <v>16856</v>
      </c>
      <c r="D11341" t="s">
        <v>16857</v>
      </c>
      <c r="E11341" t="str">
        <f>"1310900011861"</f>
        <v>0</v>
      </c>
      <c r="F11341" t="str">
        <f>"001960"</f>
        <v>0</v>
      </c>
      <c r="G11341" t="s">
        <v>21</v>
      </c>
    </row>
    <row r="11342" spans="1:7">
      <c r="A11342">
        <v>11341</v>
      </c>
      <c r="B11342" t="str">
        <f>"024891"</f>
        <v>0</v>
      </c>
      <c r="C11342" t="s">
        <v>16858</v>
      </c>
      <c r="D11342" t="s">
        <v>16859</v>
      </c>
      <c r="E11342" t="str">
        <f>"3340701613442"</f>
        <v>0</v>
      </c>
      <c r="F11342" t="str">
        <f>"001960"</f>
        <v>0</v>
      </c>
      <c r="G11342" t="s">
        <v>21</v>
      </c>
    </row>
    <row r="11343" spans="1:7">
      <c r="A11343">
        <v>11342</v>
      </c>
      <c r="B11343" t="str">
        <f>"024968"</f>
        <v>0</v>
      </c>
      <c r="C11343" t="s">
        <v>16860</v>
      </c>
      <c r="D11343" t="s">
        <v>16861</v>
      </c>
      <c r="E11343" t="str">
        <f>"3341900965412"</f>
        <v>0</v>
      </c>
      <c r="F11343" t="str">
        <f>"001960"</f>
        <v>0</v>
      </c>
      <c r="G11343" t="s">
        <v>21</v>
      </c>
    </row>
    <row r="11344" spans="1:7">
      <c r="A11344">
        <v>11343</v>
      </c>
      <c r="B11344" t="str">
        <f>"025017"</f>
        <v>0</v>
      </c>
      <c r="C11344" t="s">
        <v>16862</v>
      </c>
      <c r="D11344" t="s">
        <v>16863</v>
      </c>
      <c r="E11344" t="str">
        <f>"1350100008360"</f>
        <v>0</v>
      </c>
      <c r="F11344" t="str">
        <f>"001960"</f>
        <v>0</v>
      </c>
      <c r="G11344" t="s">
        <v>21</v>
      </c>
    </row>
    <row r="11345" spans="1:7">
      <c r="A11345">
        <v>11344</v>
      </c>
      <c r="B11345" t="str">
        <f>"025146"</f>
        <v>0</v>
      </c>
      <c r="C11345" t="s">
        <v>16864</v>
      </c>
      <c r="D11345" t="s">
        <v>16865</v>
      </c>
      <c r="E11345" t="str">
        <f>"3340900289491"</f>
        <v>0</v>
      </c>
      <c r="F11345" t="str">
        <f>"001960"</f>
        <v>0</v>
      </c>
      <c r="G11345" t="s">
        <v>21</v>
      </c>
    </row>
    <row r="11346" spans="1:7">
      <c r="A11346">
        <v>11345</v>
      </c>
      <c r="B11346" t="str">
        <f>"025327"</f>
        <v>0</v>
      </c>
      <c r="C11346" t="s">
        <v>8043</v>
      </c>
      <c r="D11346" t="s">
        <v>16866</v>
      </c>
      <c r="E11346" t="str">
        <f>"1340700151317"</f>
        <v>0</v>
      </c>
      <c r="F11346" t="str">
        <f>"001960"</f>
        <v>0</v>
      </c>
      <c r="G11346" t="s">
        <v>21</v>
      </c>
    </row>
    <row r="11347" spans="1:7">
      <c r="A11347">
        <v>11346</v>
      </c>
      <c r="B11347" t="str">
        <f>"025347"</f>
        <v>0</v>
      </c>
      <c r="C11347" t="s">
        <v>16867</v>
      </c>
      <c r="D11347" t="s">
        <v>16868</v>
      </c>
      <c r="E11347" t="str">
        <f>"5340790028474"</f>
        <v>0</v>
      </c>
      <c r="F11347" t="str">
        <f>"001960"</f>
        <v>0</v>
      </c>
      <c r="G11347" t="s">
        <v>21</v>
      </c>
    </row>
    <row r="11348" spans="1:7">
      <c r="A11348">
        <v>11347</v>
      </c>
      <c r="B11348" t="str">
        <f>"025364"</f>
        <v>0</v>
      </c>
      <c r="C11348" t="s">
        <v>16869</v>
      </c>
      <c r="D11348" t="s">
        <v>16870</v>
      </c>
      <c r="E11348" t="str">
        <f>"1471100003732"</f>
        <v>0</v>
      </c>
      <c r="F11348" t="str">
        <f>"001960"</f>
        <v>0</v>
      </c>
      <c r="G11348" t="s">
        <v>21</v>
      </c>
    </row>
    <row r="11349" spans="1:7">
      <c r="A11349">
        <v>11348</v>
      </c>
      <c r="B11349" t="str">
        <f>"025365"</f>
        <v>0</v>
      </c>
      <c r="C11349" t="s">
        <v>16871</v>
      </c>
      <c r="D11349" t="s">
        <v>16872</v>
      </c>
      <c r="E11349" t="str">
        <f>"1340700093091"</f>
        <v>0</v>
      </c>
      <c r="F11349" t="str">
        <f>"001960"</f>
        <v>0</v>
      </c>
      <c r="G11349" t="s">
        <v>21</v>
      </c>
    </row>
    <row r="11350" spans="1:7">
      <c r="A11350">
        <v>11349</v>
      </c>
      <c r="B11350" t="str">
        <f>"025478"</f>
        <v>0</v>
      </c>
      <c r="C11350" t="s">
        <v>16873</v>
      </c>
      <c r="D11350" t="s">
        <v>16874</v>
      </c>
      <c r="E11350" t="str">
        <f>"3341500426697"</f>
        <v>0</v>
      </c>
      <c r="F11350" t="str">
        <f>"001960"</f>
        <v>0</v>
      </c>
      <c r="G11350" t="s">
        <v>21</v>
      </c>
    </row>
    <row r="11351" spans="1:7">
      <c r="A11351">
        <v>11350</v>
      </c>
      <c r="B11351" t="str">
        <f>"025691"</f>
        <v>0</v>
      </c>
      <c r="C11351" t="s">
        <v>16875</v>
      </c>
      <c r="D11351" t="s">
        <v>16876</v>
      </c>
      <c r="E11351" t="str">
        <f>"1341000045540"</f>
        <v>0</v>
      </c>
      <c r="F11351" t="str">
        <f>"001960"</f>
        <v>0</v>
      </c>
      <c r="G11351" t="s">
        <v>21</v>
      </c>
    </row>
    <row r="11352" spans="1:7">
      <c r="A11352">
        <v>11351</v>
      </c>
      <c r="B11352" t="str">
        <f>"025694"</f>
        <v>0</v>
      </c>
      <c r="C11352" t="s">
        <v>4930</v>
      </c>
      <c r="D11352" t="s">
        <v>16877</v>
      </c>
      <c r="E11352" t="str">
        <f>"3340100790552"</f>
        <v>0</v>
      </c>
      <c r="F11352" t="str">
        <f>"001960"</f>
        <v>0</v>
      </c>
      <c r="G11352" t="s">
        <v>21</v>
      </c>
    </row>
    <row r="11353" spans="1:7">
      <c r="A11353">
        <v>11352</v>
      </c>
      <c r="B11353" t="str">
        <f>"025881"</f>
        <v>0</v>
      </c>
      <c r="C11353" t="s">
        <v>16878</v>
      </c>
      <c r="D11353" t="s">
        <v>16879</v>
      </c>
      <c r="E11353" t="str">
        <f>"3341800263301"</f>
        <v>0</v>
      </c>
      <c r="F11353" t="str">
        <f>"001960"</f>
        <v>0</v>
      </c>
      <c r="G11353" t="s">
        <v>21</v>
      </c>
    </row>
    <row r="11354" spans="1:7">
      <c r="A11354">
        <v>11353</v>
      </c>
      <c r="B11354" t="str">
        <f>"026045"</f>
        <v>0</v>
      </c>
      <c r="C11354" t="s">
        <v>16880</v>
      </c>
      <c r="D11354" t="s">
        <v>16881</v>
      </c>
      <c r="E11354" t="str">
        <f>"3341000601325"</f>
        <v>0</v>
      </c>
      <c r="F11354" t="str">
        <f>"001960"</f>
        <v>0</v>
      </c>
      <c r="G11354" t="s">
        <v>21</v>
      </c>
    </row>
    <row r="11355" spans="1:7">
      <c r="A11355">
        <v>11354</v>
      </c>
      <c r="B11355" t="str">
        <f>"026058"</f>
        <v>0</v>
      </c>
      <c r="C11355" t="s">
        <v>16882</v>
      </c>
      <c r="D11355" t="s">
        <v>16883</v>
      </c>
      <c r="E11355" t="str">
        <f>"3340101196930"</f>
        <v>0</v>
      </c>
      <c r="F11355" t="str">
        <f>"001960"</f>
        <v>0</v>
      </c>
      <c r="G11355" t="s">
        <v>21</v>
      </c>
    </row>
    <row r="11356" spans="1:7">
      <c r="A11356">
        <v>11355</v>
      </c>
      <c r="B11356" t="str">
        <f>"026269"</f>
        <v>0</v>
      </c>
      <c r="C11356" t="s">
        <v>16884</v>
      </c>
      <c r="D11356" t="s">
        <v>16885</v>
      </c>
      <c r="E11356" t="str">
        <f>"1342100013063"</f>
        <v>0</v>
      </c>
      <c r="F11356" t="str">
        <f>"001960"</f>
        <v>0</v>
      </c>
      <c r="G11356" t="s">
        <v>21</v>
      </c>
    </row>
    <row r="11357" spans="1:7">
      <c r="A11357">
        <v>11356</v>
      </c>
      <c r="B11357" t="str">
        <f>"026270"</f>
        <v>0</v>
      </c>
      <c r="C11357" t="s">
        <v>16886</v>
      </c>
      <c r="D11357" t="s">
        <v>16887</v>
      </c>
      <c r="E11357" t="str">
        <f>"1409900550379"</f>
        <v>0</v>
      </c>
      <c r="F11357" t="str">
        <f>"001960"</f>
        <v>0</v>
      </c>
      <c r="G11357" t="s">
        <v>21</v>
      </c>
    </row>
    <row r="11358" spans="1:7">
      <c r="A11358">
        <v>11357</v>
      </c>
      <c r="B11358" t="str">
        <f>"026440"</f>
        <v>0</v>
      </c>
      <c r="C11358" t="s">
        <v>16888</v>
      </c>
      <c r="D11358" t="s">
        <v>16889</v>
      </c>
      <c r="E11358" t="str">
        <f>"5341990005827"</f>
        <v>0</v>
      </c>
      <c r="F11358" t="str">
        <f>"001960"</f>
        <v>0</v>
      </c>
      <c r="G11358" t="s">
        <v>21</v>
      </c>
    </row>
    <row r="11359" spans="1:7">
      <c r="A11359">
        <v>11358</v>
      </c>
      <c r="B11359" t="str">
        <f>"026839"</f>
        <v>0</v>
      </c>
      <c r="C11359" t="s">
        <v>10050</v>
      </c>
      <c r="D11359" t="s">
        <v>1448</v>
      </c>
      <c r="E11359" t="str">
        <f>"1340300081991"</f>
        <v>0</v>
      </c>
      <c r="F11359" t="str">
        <f>"001960"</f>
        <v>0</v>
      </c>
      <c r="G11359" t="s">
        <v>21</v>
      </c>
    </row>
    <row r="11360" spans="1:7">
      <c r="A11360">
        <v>11359</v>
      </c>
      <c r="B11360" t="str">
        <f>"026841"</f>
        <v>0</v>
      </c>
      <c r="C11360" t="s">
        <v>13906</v>
      </c>
      <c r="D11360" t="s">
        <v>16890</v>
      </c>
      <c r="E11360" t="str">
        <f>"3349900166291"</f>
        <v>0</v>
      </c>
      <c r="F11360" t="str">
        <f>"001960"</f>
        <v>0</v>
      </c>
      <c r="G11360" t="s">
        <v>21</v>
      </c>
    </row>
    <row r="11361" spans="1:7">
      <c r="A11361">
        <v>11360</v>
      </c>
      <c r="B11361" t="str">
        <f>"026951"</f>
        <v>0</v>
      </c>
      <c r="C11361" t="s">
        <v>7754</v>
      </c>
      <c r="D11361" t="s">
        <v>16891</v>
      </c>
      <c r="E11361" t="str">
        <f>"5341600034584"</f>
        <v>0</v>
      </c>
      <c r="F11361" t="str">
        <f>"001960"</f>
        <v>0</v>
      </c>
      <c r="G11361" t="s">
        <v>21</v>
      </c>
    </row>
    <row r="11362" spans="1:7">
      <c r="A11362">
        <v>11361</v>
      </c>
      <c r="B11362" t="str">
        <f>"027441"</f>
        <v>0</v>
      </c>
      <c r="C11362" t="s">
        <v>16892</v>
      </c>
      <c r="D11362" t="s">
        <v>4870</v>
      </c>
      <c r="E11362" t="str">
        <f>"3349900636904"</f>
        <v>0</v>
      </c>
      <c r="F11362" t="str">
        <f>"001960"</f>
        <v>0</v>
      </c>
      <c r="G11362" t="s">
        <v>21</v>
      </c>
    </row>
    <row r="11363" spans="1:7">
      <c r="A11363">
        <v>11362</v>
      </c>
      <c r="B11363" t="str">
        <f>"018942"</f>
        <v>0</v>
      </c>
      <c r="C11363" t="s">
        <v>16893</v>
      </c>
      <c r="D11363" t="s">
        <v>16894</v>
      </c>
      <c r="E11363" t="str">
        <f>"3401400325529"</f>
        <v>0</v>
      </c>
      <c r="F11363" t="str">
        <f>"001960"</f>
        <v>0</v>
      </c>
      <c r="G11363" t="s">
        <v>21</v>
      </c>
    </row>
    <row r="11364" spans="1:7">
      <c r="A11364">
        <v>11363</v>
      </c>
      <c r="B11364" t="str">
        <f>"023896"</f>
        <v>0</v>
      </c>
      <c r="C11364" t="s">
        <v>36</v>
      </c>
      <c r="D11364" t="s">
        <v>16895</v>
      </c>
      <c r="E11364" t="str">
        <f>"3350800057190"</f>
        <v>0</v>
      </c>
      <c r="F11364" t="str">
        <f>"001960"</f>
        <v>0</v>
      </c>
      <c r="G11364" t="s">
        <v>21</v>
      </c>
    </row>
    <row r="11365" spans="1:7">
      <c r="A11365">
        <v>11364</v>
      </c>
      <c r="B11365" t="str">
        <f>"026840"</f>
        <v>0</v>
      </c>
      <c r="C11365" t="s">
        <v>16896</v>
      </c>
      <c r="D11365" t="s">
        <v>8614</v>
      </c>
      <c r="E11365" t="str">
        <f>"1350100202620"</f>
        <v>0</v>
      </c>
      <c r="F11365" t="str">
        <f>"001960"</f>
        <v>0</v>
      </c>
      <c r="G11365" t="s">
        <v>21</v>
      </c>
    </row>
    <row r="11366" spans="1:7">
      <c r="A11366">
        <v>11365</v>
      </c>
      <c r="B11366" t="str">
        <f>"009093"</f>
        <v>0</v>
      </c>
      <c r="C11366" t="s">
        <v>3212</v>
      </c>
      <c r="D11366" t="s">
        <v>16897</v>
      </c>
      <c r="E11366" t="str">
        <f>"3350400202729"</f>
        <v>0</v>
      </c>
      <c r="F11366" t="str">
        <f>"001960"</f>
        <v>0</v>
      </c>
      <c r="G11366" t="s">
        <v>21</v>
      </c>
    </row>
    <row r="11367" spans="1:7">
      <c r="A11367">
        <v>11366</v>
      </c>
      <c r="B11367" t="str">
        <f>"016092"</f>
        <v>0</v>
      </c>
      <c r="C11367" t="s">
        <v>144</v>
      </c>
      <c r="D11367" t="s">
        <v>16745</v>
      </c>
      <c r="E11367" t="str">
        <f>"3901200126889"</f>
        <v>0</v>
      </c>
      <c r="F11367" t="str">
        <f>"001960"</f>
        <v>0</v>
      </c>
      <c r="G11367" t="s">
        <v>21</v>
      </c>
    </row>
    <row r="11368" spans="1:7">
      <c r="A11368">
        <v>11367</v>
      </c>
      <c r="B11368" t="str">
        <f>"017989"</f>
        <v>0</v>
      </c>
      <c r="C11368" t="s">
        <v>16898</v>
      </c>
      <c r="D11368" t="s">
        <v>16899</v>
      </c>
      <c r="E11368" t="str">
        <f>"3301600027786"</f>
        <v>0</v>
      </c>
      <c r="F11368" t="str">
        <f>"001960"</f>
        <v>0</v>
      </c>
      <c r="G11368" t="s">
        <v>21</v>
      </c>
    </row>
    <row r="11369" spans="1:7">
      <c r="A11369">
        <v>11368</v>
      </c>
      <c r="B11369" t="str">
        <f>"025182"</f>
        <v>0</v>
      </c>
      <c r="C11369" t="s">
        <v>16900</v>
      </c>
      <c r="D11369" t="s">
        <v>16901</v>
      </c>
      <c r="E11369" t="str">
        <f>"3341601283409"</f>
        <v>0</v>
      </c>
      <c r="F11369" t="str">
        <f>"001960"</f>
        <v>0</v>
      </c>
      <c r="G11369" t="s">
        <v>21</v>
      </c>
    </row>
    <row r="11370" spans="1:7">
      <c r="A11370">
        <v>11369</v>
      </c>
      <c r="B11370" t="str">
        <f>"023604"</f>
        <v>0</v>
      </c>
      <c r="C11370" t="s">
        <v>16902</v>
      </c>
      <c r="D11370" t="s">
        <v>16903</v>
      </c>
      <c r="E11370" t="str">
        <f>"1409800070626"</f>
        <v>0</v>
      </c>
      <c r="F11370" t="str">
        <f>"001960"</f>
        <v>0</v>
      </c>
      <c r="G11370" t="s">
        <v>21</v>
      </c>
    </row>
    <row r="11371" spans="1:7">
      <c r="A11371">
        <v>11370</v>
      </c>
      <c r="B11371" t="str">
        <f>"019113"</f>
        <v>0</v>
      </c>
      <c r="C11371" t="s">
        <v>16904</v>
      </c>
      <c r="D11371" t="s">
        <v>3592</v>
      </c>
      <c r="E11371" t="str">
        <f>"3340100755790"</f>
        <v>0</v>
      </c>
      <c r="F11371" t="str">
        <f>"001960"</f>
        <v>0</v>
      </c>
      <c r="G11371" t="s">
        <v>21</v>
      </c>
    </row>
    <row r="11372" spans="1:7">
      <c r="A11372">
        <v>11371</v>
      </c>
      <c r="B11372" t="str">
        <f>"018814"</f>
        <v>0</v>
      </c>
      <c r="C11372" t="s">
        <v>16905</v>
      </c>
      <c r="D11372" t="s">
        <v>16906</v>
      </c>
      <c r="E11372" t="str">
        <f>"3349900356901"</f>
        <v>0</v>
      </c>
      <c r="F11372" t="str">
        <f>"001960"</f>
        <v>0</v>
      </c>
      <c r="G11372" t="s">
        <v>21</v>
      </c>
    </row>
    <row r="11373" spans="1:7">
      <c r="A11373">
        <v>11372</v>
      </c>
      <c r="B11373" t="str">
        <f>"018892"</f>
        <v>0</v>
      </c>
      <c r="C11373" t="s">
        <v>16907</v>
      </c>
      <c r="D11373" t="s">
        <v>16908</v>
      </c>
      <c r="E11373" t="str">
        <f>"3340400052328"</f>
        <v>0</v>
      </c>
      <c r="F11373" t="str">
        <f>"001960"</f>
        <v>0</v>
      </c>
      <c r="G11373" t="s">
        <v>21</v>
      </c>
    </row>
    <row r="11374" spans="1:7">
      <c r="A11374">
        <v>11373</v>
      </c>
      <c r="B11374" t="str">
        <f>"026551"</f>
        <v>0</v>
      </c>
      <c r="C11374" t="s">
        <v>5757</v>
      </c>
      <c r="D11374" t="s">
        <v>16909</v>
      </c>
      <c r="E11374" t="str">
        <f>"1509900995264"</f>
        <v>0</v>
      </c>
      <c r="F11374" t="str">
        <f>"001960"</f>
        <v>0</v>
      </c>
      <c r="G11374" t="s">
        <v>21</v>
      </c>
    </row>
    <row r="11375" spans="1:7">
      <c r="A11375">
        <v>11374</v>
      </c>
      <c r="B11375" t="str">
        <f>"025344"</f>
        <v>0</v>
      </c>
      <c r="C11375" t="s">
        <v>16910</v>
      </c>
      <c r="D11375" t="s">
        <v>16911</v>
      </c>
      <c r="E11375" t="str">
        <f>"3640900307799"</f>
        <v>0</v>
      </c>
      <c r="F11375" t="str">
        <f>"001960"</f>
        <v>0</v>
      </c>
      <c r="G11375" t="s">
        <v>21</v>
      </c>
    </row>
    <row r="11376" spans="1:7">
      <c r="A11376">
        <v>11375</v>
      </c>
      <c r="B11376" t="str">
        <f>"023236"</f>
        <v>0</v>
      </c>
      <c r="C11376" t="s">
        <v>16912</v>
      </c>
      <c r="D11376" t="s">
        <v>16913</v>
      </c>
      <c r="E11376" t="str">
        <f>"3340700907230"</f>
        <v>0</v>
      </c>
      <c r="F11376" t="str">
        <f>"001960"</f>
        <v>0</v>
      </c>
      <c r="G11376" t="s">
        <v>21</v>
      </c>
    </row>
    <row r="11377" spans="1:7">
      <c r="A11377">
        <v>11376</v>
      </c>
      <c r="B11377" t="str">
        <f>"019942"</f>
        <v>0</v>
      </c>
      <c r="C11377" t="s">
        <v>13429</v>
      </c>
      <c r="D11377" t="s">
        <v>6105</v>
      </c>
      <c r="E11377" t="str">
        <f>"3940200242772"</f>
        <v>0</v>
      </c>
      <c r="F11377" t="str">
        <f>"001960"</f>
        <v>0</v>
      </c>
      <c r="G11377" t="s">
        <v>21</v>
      </c>
    </row>
    <row r="11378" spans="1:7">
      <c r="A11378">
        <v>11377</v>
      </c>
      <c r="B11378" t="str">
        <f>"003670"</f>
        <v>0</v>
      </c>
      <c r="C11378" t="s">
        <v>16914</v>
      </c>
      <c r="D11378" t="s">
        <v>16915</v>
      </c>
      <c r="E11378" t="str">
        <f>"3341400012726"</f>
        <v>0</v>
      </c>
      <c r="F11378" t="str">
        <f>"001980"</f>
        <v>0</v>
      </c>
      <c r="G11378" t="s">
        <v>21</v>
      </c>
    </row>
    <row r="11379" spans="1:7">
      <c r="A11379">
        <v>11378</v>
      </c>
      <c r="B11379" t="str">
        <f>"004028"</f>
        <v>0</v>
      </c>
      <c r="C11379" t="s">
        <v>2811</v>
      </c>
      <c r="D11379" t="s">
        <v>16916</v>
      </c>
      <c r="E11379" t="str">
        <f>"3349900214236"</f>
        <v>0</v>
      </c>
      <c r="F11379" t="str">
        <f>"001980"</f>
        <v>0</v>
      </c>
      <c r="G11379" t="s">
        <v>21</v>
      </c>
    </row>
    <row r="11380" spans="1:7">
      <c r="A11380">
        <v>11379</v>
      </c>
      <c r="B11380" t="str">
        <f>"004032"</f>
        <v>0</v>
      </c>
      <c r="C11380" t="s">
        <v>6031</v>
      </c>
      <c r="D11380" t="s">
        <v>2808</v>
      </c>
      <c r="E11380" t="str">
        <f>"3320100019201"</f>
        <v>0</v>
      </c>
      <c r="F11380" t="str">
        <f>"001980"</f>
        <v>0</v>
      </c>
      <c r="G11380" t="s">
        <v>21</v>
      </c>
    </row>
    <row r="11381" spans="1:7">
      <c r="A11381">
        <v>11380</v>
      </c>
      <c r="B11381" t="str">
        <f>"004812"</f>
        <v>0</v>
      </c>
      <c r="C11381" t="s">
        <v>3990</v>
      </c>
      <c r="D11381" t="s">
        <v>16827</v>
      </c>
      <c r="E11381" t="str">
        <f>"3359900071532"</f>
        <v>0</v>
      </c>
      <c r="F11381" t="str">
        <f>"001980"</f>
        <v>0</v>
      </c>
      <c r="G11381" t="s">
        <v>21</v>
      </c>
    </row>
    <row r="11382" spans="1:7">
      <c r="A11382">
        <v>11381</v>
      </c>
      <c r="B11382" t="str">
        <f>"005539"</f>
        <v>0</v>
      </c>
      <c r="C11382" t="s">
        <v>12247</v>
      </c>
      <c r="D11382" t="s">
        <v>16917</v>
      </c>
      <c r="E11382" t="str">
        <f>"3341700142862"</f>
        <v>0</v>
      </c>
      <c r="F11382" t="str">
        <f>"001980"</f>
        <v>0</v>
      </c>
      <c r="G11382" t="s">
        <v>21</v>
      </c>
    </row>
    <row r="11383" spans="1:7">
      <c r="A11383">
        <v>11382</v>
      </c>
      <c r="B11383" t="str">
        <f>"005542"</f>
        <v>0</v>
      </c>
      <c r="C11383" t="s">
        <v>16918</v>
      </c>
      <c r="D11383" t="s">
        <v>16919</v>
      </c>
      <c r="E11383" t="str">
        <f>"3341300368561"</f>
        <v>0</v>
      </c>
      <c r="F11383" t="str">
        <f>"001980"</f>
        <v>0</v>
      </c>
      <c r="G11383" t="s">
        <v>21</v>
      </c>
    </row>
    <row r="11384" spans="1:7">
      <c r="A11384">
        <v>11383</v>
      </c>
      <c r="B11384" t="str">
        <f>"005924"</f>
        <v>0</v>
      </c>
      <c r="C11384" t="s">
        <v>16920</v>
      </c>
      <c r="D11384" t="s">
        <v>6983</v>
      </c>
      <c r="E11384" t="str">
        <f>"3301501025921"</f>
        <v>0</v>
      </c>
      <c r="F11384" t="str">
        <f>"001980"</f>
        <v>0</v>
      </c>
      <c r="G11384" t="s">
        <v>21</v>
      </c>
    </row>
    <row r="11385" spans="1:7">
      <c r="A11385">
        <v>11384</v>
      </c>
      <c r="B11385" t="str">
        <f>"006900"</f>
        <v>0</v>
      </c>
      <c r="C11385" t="s">
        <v>5158</v>
      </c>
      <c r="D11385" t="s">
        <v>16921</v>
      </c>
      <c r="E11385" t="str">
        <f>"3341400015652"</f>
        <v>0</v>
      </c>
      <c r="F11385" t="str">
        <f>"001980"</f>
        <v>0</v>
      </c>
      <c r="G11385" t="s">
        <v>21</v>
      </c>
    </row>
    <row r="11386" spans="1:7">
      <c r="A11386">
        <v>11385</v>
      </c>
      <c r="B11386" t="str">
        <f>"007691"</f>
        <v>0</v>
      </c>
      <c r="C11386" t="s">
        <v>9970</v>
      </c>
      <c r="D11386" t="s">
        <v>16922</v>
      </c>
      <c r="E11386" t="str">
        <f>"3341600593528"</f>
        <v>0</v>
      </c>
      <c r="F11386" t="str">
        <f>"001980"</f>
        <v>0</v>
      </c>
      <c r="G11386" t="s">
        <v>21</v>
      </c>
    </row>
    <row r="11387" spans="1:7">
      <c r="A11387">
        <v>11386</v>
      </c>
      <c r="B11387" t="str">
        <f>"008105"</f>
        <v>0</v>
      </c>
      <c r="C11387" t="s">
        <v>126</v>
      </c>
      <c r="D11387" t="s">
        <v>16923</v>
      </c>
      <c r="E11387" t="str">
        <f>"3450200072570"</f>
        <v>0</v>
      </c>
      <c r="F11387" t="str">
        <f>"001980"</f>
        <v>0</v>
      </c>
      <c r="G11387" t="s">
        <v>21</v>
      </c>
    </row>
    <row r="11388" spans="1:7">
      <c r="A11388">
        <v>11387</v>
      </c>
      <c r="B11388" t="str">
        <f>"009079"</f>
        <v>0</v>
      </c>
      <c r="C11388" t="s">
        <v>16924</v>
      </c>
      <c r="D11388" t="s">
        <v>16925</v>
      </c>
      <c r="E11388" t="str">
        <f>"3341700226217"</f>
        <v>0</v>
      </c>
      <c r="F11388" t="str">
        <f>"001980"</f>
        <v>0</v>
      </c>
      <c r="G11388" t="s">
        <v>21</v>
      </c>
    </row>
    <row r="11389" spans="1:7">
      <c r="A11389">
        <v>11388</v>
      </c>
      <c r="B11389" t="str">
        <f>"009596"</f>
        <v>0</v>
      </c>
      <c r="C11389" t="s">
        <v>520</v>
      </c>
      <c r="D11389" t="s">
        <v>16926</v>
      </c>
      <c r="E11389" t="str">
        <f>"3490600125484"</f>
        <v>0</v>
      </c>
      <c r="F11389" t="str">
        <f>"001980"</f>
        <v>0</v>
      </c>
      <c r="G11389" t="s">
        <v>21</v>
      </c>
    </row>
    <row r="11390" spans="1:7">
      <c r="A11390">
        <v>11389</v>
      </c>
      <c r="B11390" t="str">
        <f>"010744"</f>
        <v>0</v>
      </c>
      <c r="C11390" t="s">
        <v>655</v>
      </c>
      <c r="D11390" t="s">
        <v>16927</v>
      </c>
      <c r="E11390" t="str">
        <f>"3341600914774"</f>
        <v>0</v>
      </c>
      <c r="F11390" t="str">
        <f>"001980"</f>
        <v>0</v>
      </c>
      <c r="G11390" t="s">
        <v>21</v>
      </c>
    </row>
    <row r="11391" spans="1:7">
      <c r="A11391">
        <v>11390</v>
      </c>
      <c r="B11391" t="str">
        <f>"011643"</f>
        <v>0</v>
      </c>
      <c r="C11391" t="s">
        <v>5811</v>
      </c>
      <c r="D11391" t="s">
        <v>2808</v>
      </c>
      <c r="E11391" t="str">
        <f>"3102002432639"</f>
        <v>0</v>
      </c>
      <c r="F11391" t="str">
        <f>"001980"</f>
        <v>0</v>
      </c>
      <c r="G11391" t="s">
        <v>21</v>
      </c>
    </row>
    <row r="11392" spans="1:7">
      <c r="A11392">
        <v>11391</v>
      </c>
      <c r="B11392" t="str">
        <f>"011751"</f>
        <v>0</v>
      </c>
      <c r="C11392" t="s">
        <v>3909</v>
      </c>
      <c r="D11392" t="s">
        <v>16928</v>
      </c>
      <c r="E11392" t="str">
        <f>"3660500399998"</f>
        <v>0</v>
      </c>
      <c r="F11392" t="str">
        <f>"001980"</f>
        <v>0</v>
      </c>
      <c r="G11392" t="s">
        <v>21</v>
      </c>
    </row>
    <row r="11393" spans="1:7">
      <c r="A11393">
        <v>11392</v>
      </c>
      <c r="B11393" t="str">
        <f>"014909"</f>
        <v>0</v>
      </c>
      <c r="C11393" t="s">
        <v>1001</v>
      </c>
      <c r="D11393" t="s">
        <v>16929</v>
      </c>
      <c r="E11393" t="str">
        <f>"5340790039204"</f>
        <v>0</v>
      </c>
      <c r="F11393" t="str">
        <f>"001980"</f>
        <v>0</v>
      </c>
      <c r="G11393" t="s">
        <v>21</v>
      </c>
    </row>
    <row r="11394" spans="1:7">
      <c r="A11394">
        <v>11393</v>
      </c>
      <c r="B11394" t="str">
        <f>"015243"</f>
        <v>0</v>
      </c>
      <c r="C11394" t="s">
        <v>3150</v>
      </c>
      <c r="D11394" t="s">
        <v>16930</v>
      </c>
      <c r="E11394" t="str">
        <f>"3341601302128"</f>
        <v>0</v>
      </c>
      <c r="F11394" t="str">
        <f>"001980"</f>
        <v>0</v>
      </c>
      <c r="G11394" t="s">
        <v>21</v>
      </c>
    </row>
    <row r="11395" spans="1:7">
      <c r="A11395">
        <v>11394</v>
      </c>
      <c r="B11395" t="str">
        <f>"018258"</f>
        <v>0</v>
      </c>
      <c r="C11395" t="s">
        <v>6174</v>
      </c>
      <c r="D11395" t="s">
        <v>16931</v>
      </c>
      <c r="E11395" t="str">
        <f>"3349900723637"</f>
        <v>0</v>
      </c>
      <c r="F11395" t="str">
        <f>"001980"</f>
        <v>0</v>
      </c>
      <c r="G11395" t="s">
        <v>21</v>
      </c>
    </row>
    <row r="11396" spans="1:7">
      <c r="A11396">
        <v>11395</v>
      </c>
      <c r="B11396" t="str">
        <f>"019195"</f>
        <v>0</v>
      </c>
      <c r="C11396" t="s">
        <v>814</v>
      </c>
      <c r="D11396" t="s">
        <v>16930</v>
      </c>
      <c r="E11396" t="str">
        <f>"5341600078832"</f>
        <v>0</v>
      </c>
      <c r="F11396" t="str">
        <f>"001980"</f>
        <v>0</v>
      </c>
      <c r="G11396" t="s">
        <v>21</v>
      </c>
    </row>
    <row r="11397" spans="1:7">
      <c r="A11397">
        <v>11396</v>
      </c>
      <c r="B11397" t="str">
        <f>"025555"</f>
        <v>0</v>
      </c>
      <c r="C11397" t="s">
        <v>16932</v>
      </c>
      <c r="D11397" t="s">
        <v>16933</v>
      </c>
      <c r="E11397" t="str">
        <f>"3341601125404"</f>
        <v>0</v>
      </c>
      <c r="F11397" t="str">
        <f>"001980"</f>
        <v>0</v>
      </c>
      <c r="G11397" t="s">
        <v>21</v>
      </c>
    </row>
    <row r="11398" spans="1:7">
      <c r="A11398">
        <v>11397</v>
      </c>
      <c r="B11398" t="str">
        <f>"007689"</f>
        <v>0</v>
      </c>
      <c r="C11398" t="s">
        <v>16934</v>
      </c>
      <c r="D11398" t="s">
        <v>16935</v>
      </c>
      <c r="E11398" t="str">
        <f>"3341600575660"</f>
        <v>0</v>
      </c>
      <c r="F11398" t="str">
        <f>"001980"</f>
        <v>0</v>
      </c>
      <c r="G11398" t="s">
        <v>21</v>
      </c>
    </row>
    <row r="11399" spans="1:7">
      <c r="A11399">
        <v>11398</v>
      </c>
      <c r="B11399" t="str">
        <f>"014812"</f>
        <v>0</v>
      </c>
      <c r="C11399" t="s">
        <v>6950</v>
      </c>
      <c r="D11399" t="s">
        <v>16936</v>
      </c>
      <c r="E11399" t="str">
        <f>"3341600187392"</f>
        <v>0</v>
      </c>
      <c r="F11399" t="str">
        <f>"001980"</f>
        <v>0</v>
      </c>
      <c r="G11399" t="s">
        <v>21</v>
      </c>
    </row>
    <row r="11400" spans="1:7">
      <c r="A11400">
        <v>11399</v>
      </c>
      <c r="B11400" t="str">
        <f>"017016"</f>
        <v>0</v>
      </c>
      <c r="C11400" t="s">
        <v>1162</v>
      </c>
      <c r="D11400" t="s">
        <v>16937</v>
      </c>
      <c r="E11400" t="str">
        <f>"3341800018411"</f>
        <v>0</v>
      </c>
      <c r="F11400" t="str">
        <f>"001980"</f>
        <v>0</v>
      </c>
      <c r="G11400" t="s">
        <v>21</v>
      </c>
    </row>
    <row r="11401" spans="1:7">
      <c r="A11401">
        <v>11400</v>
      </c>
      <c r="B11401" t="str">
        <f>"009127"</f>
        <v>0</v>
      </c>
      <c r="C11401" t="s">
        <v>16938</v>
      </c>
      <c r="D11401" t="s">
        <v>16939</v>
      </c>
      <c r="E11401" t="str">
        <f>"3340400627908"</f>
        <v>0</v>
      </c>
      <c r="F11401" t="str">
        <f>"001980"</f>
        <v>0</v>
      </c>
      <c r="G11401" t="s">
        <v>21</v>
      </c>
    </row>
    <row r="11402" spans="1:7">
      <c r="A11402">
        <v>11401</v>
      </c>
      <c r="B11402" t="str">
        <f>"013243"</f>
        <v>0</v>
      </c>
      <c r="C11402" t="s">
        <v>2312</v>
      </c>
      <c r="D11402" t="s">
        <v>16940</v>
      </c>
      <c r="E11402" t="str">
        <f>"3501300705418"</f>
        <v>0</v>
      </c>
      <c r="F11402" t="str">
        <f>"001980"</f>
        <v>0</v>
      </c>
      <c r="G11402" t="s">
        <v>21</v>
      </c>
    </row>
    <row r="11403" spans="1:7">
      <c r="A11403">
        <v>11402</v>
      </c>
      <c r="B11403" t="str">
        <f>"018578"</f>
        <v>0</v>
      </c>
      <c r="C11403" t="s">
        <v>587</v>
      </c>
      <c r="D11403" t="s">
        <v>16941</v>
      </c>
      <c r="E11403" t="str">
        <f>"3341600469495"</f>
        <v>0</v>
      </c>
      <c r="F11403" t="str">
        <f>"001980"</f>
        <v>0</v>
      </c>
      <c r="G11403" t="s">
        <v>21</v>
      </c>
    </row>
    <row r="11404" spans="1:7">
      <c r="A11404">
        <v>11403</v>
      </c>
      <c r="B11404" t="str">
        <f>"019520"</f>
        <v>0</v>
      </c>
      <c r="C11404" t="s">
        <v>16942</v>
      </c>
      <c r="D11404" t="s">
        <v>16943</v>
      </c>
      <c r="E11404" t="str">
        <f>"3341601137321"</f>
        <v>0</v>
      </c>
      <c r="F11404" t="str">
        <f>"001980"</f>
        <v>0</v>
      </c>
      <c r="G11404" t="s">
        <v>21</v>
      </c>
    </row>
    <row r="11405" spans="1:7">
      <c r="A11405">
        <v>11404</v>
      </c>
      <c r="B11405" t="str">
        <f>"023225"</f>
        <v>0</v>
      </c>
      <c r="C11405" t="s">
        <v>614</v>
      </c>
      <c r="D11405" t="s">
        <v>4221</v>
      </c>
      <c r="E11405" t="str">
        <f>"3350800579005"</f>
        <v>0</v>
      </c>
      <c r="F11405" t="str">
        <f>"001980"</f>
        <v>0</v>
      </c>
      <c r="G11405" t="s">
        <v>21</v>
      </c>
    </row>
    <row r="11406" spans="1:7">
      <c r="A11406">
        <v>11405</v>
      </c>
      <c r="B11406" t="str">
        <f>"025487"</f>
        <v>0</v>
      </c>
      <c r="C11406" t="s">
        <v>14328</v>
      </c>
      <c r="D11406" t="s">
        <v>16944</v>
      </c>
      <c r="E11406" t="str">
        <f>"3341400228923"</f>
        <v>0</v>
      </c>
      <c r="F11406" t="str">
        <f>"001980"</f>
        <v>0</v>
      </c>
      <c r="G11406" t="s">
        <v>21</v>
      </c>
    </row>
    <row r="11407" spans="1:7">
      <c r="A11407">
        <v>11406</v>
      </c>
      <c r="B11407" t="str">
        <f>"026273"</f>
        <v>0</v>
      </c>
      <c r="C11407" t="s">
        <v>16945</v>
      </c>
      <c r="D11407" t="s">
        <v>16946</v>
      </c>
      <c r="E11407" t="str">
        <f>"1349900340219"</f>
        <v>0</v>
      </c>
      <c r="F11407" t="str">
        <f>"001980"</f>
        <v>0</v>
      </c>
      <c r="G11407" t="s">
        <v>21</v>
      </c>
    </row>
    <row r="11408" spans="1:7">
      <c r="A11408">
        <v>11407</v>
      </c>
      <c r="B11408" t="str">
        <f>"017252"</f>
        <v>0</v>
      </c>
      <c r="C11408" t="s">
        <v>154</v>
      </c>
      <c r="D11408" t="s">
        <v>11913</v>
      </c>
      <c r="E11408" t="str">
        <f>"3440500446165"</f>
        <v>0</v>
      </c>
      <c r="F11408" t="str">
        <f>"001980"</f>
        <v>0</v>
      </c>
      <c r="G11408" t="s">
        <v>21</v>
      </c>
    </row>
    <row r="11409" spans="1:7">
      <c r="A11409">
        <v>11408</v>
      </c>
      <c r="B11409" t="str">
        <f>"019238"</f>
        <v>0</v>
      </c>
      <c r="C11409" t="s">
        <v>86</v>
      </c>
      <c r="D11409" t="s">
        <v>16947</v>
      </c>
      <c r="E11409" t="str">
        <f>"3460400048061"</f>
        <v>0</v>
      </c>
      <c r="F11409" t="str">
        <f>"001980"</f>
        <v>0</v>
      </c>
      <c r="G11409" t="s">
        <v>21</v>
      </c>
    </row>
    <row r="11410" spans="1:7">
      <c r="A11410">
        <v>11409</v>
      </c>
      <c r="B11410" t="str">
        <f>"024277"</f>
        <v>0</v>
      </c>
      <c r="C11410" t="s">
        <v>14766</v>
      </c>
      <c r="D11410" t="s">
        <v>16948</v>
      </c>
      <c r="E11410" t="str">
        <f>"1350200033781"</f>
        <v>0</v>
      </c>
      <c r="F11410" t="str">
        <f>"001980"</f>
        <v>0</v>
      </c>
      <c r="G11410" t="s">
        <v>21</v>
      </c>
    </row>
    <row r="11411" spans="1:7">
      <c r="A11411">
        <v>11410</v>
      </c>
      <c r="B11411" t="str">
        <f>"025696"</f>
        <v>0</v>
      </c>
      <c r="C11411" t="s">
        <v>16949</v>
      </c>
      <c r="D11411" t="s">
        <v>16950</v>
      </c>
      <c r="E11411" t="str">
        <f>"1409800034654"</f>
        <v>0</v>
      </c>
      <c r="F11411" t="str">
        <f>"001980"</f>
        <v>0</v>
      </c>
      <c r="G11411" t="s">
        <v>21</v>
      </c>
    </row>
    <row r="11412" spans="1:7">
      <c r="A11412">
        <v>11411</v>
      </c>
      <c r="B11412" t="str">
        <f>"026600"</f>
        <v>0</v>
      </c>
      <c r="C11412" t="s">
        <v>16951</v>
      </c>
      <c r="D11412" t="s">
        <v>16952</v>
      </c>
      <c r="E11412" t="str">
        <f>"1100700652237"</f>
        <v>0</v>
      </c>
      <c r="F11412" t="str">
        <f>"001980"</f>
        <v>0</v>
      </c>
      <c r="G11412" t="s">
        <v>21</v>
      </c>
    </row>
    <row r="11413" spans="1:7">
      <c r="A11413">
        <v>11412</v>
      </c>
      <c r="B11413" t="str">
        <f>"026842"</f>
        <v>0</v>
      </c>
      <c r="C11413" t="s">
        <v>16953</v>
      </c>
      <c r="D11413" t="s">
        <v>16954</v>
      </c>
      <c r="E11413" t="str">
        <f>"1350500064020"</f>
        <v>0</v>
      </c>
      <c r="F11413" t="str">
        <f>"001980"</f>
        <v>0</v>
      </c>
      <c r="G11413" t="s">
        <v>21</v>
      </c>
    </row>
    <row r="11414" spans="1:7">
      <c r="A11414">
        <v>11413</v>
      </c>
      <c r="B11414" t="str">
        <f>"010312"</f>
        <v>0</v>
      </c>
      <c r="C11414" t="s">
        <v>4395</v>
      </c>
      <c r="D11414" t="s">
        <v>16955</v>
      </c>
      <c r="E11414" t="str">
        <f>"3499900163801"</f>
        <v>0</v>
      </c>
      <c r="F11414" t="str">
        <f>"001980"</f>
        <v>0</v>
      </c>
      <c r="G11414" t="s">
        <v>21</v>
      </c>
    </row>
    <row r="11415" spans="1:7">
      <c r="A11415">
        <v>11414</v>
      </c>
      <c r="B11415" t="str">
        <f>"010652"</f>
        <v>0</v>
      </c>
      <c r="C11415" t="s">
        <v>130</v>
      </c>
      <c r="D11415" t="s">
        <v>9814</v>
      </c>
      <c r="E11415" t="str">
        <f>"3340600237020"</f>
        <v>0</v>
      </c>
      <c r="F11415" t="str">
        <f>"001980"</f>
        <v>0</v>
      </c>
      <c r="G11415" t="s">
        <v>21</v>
      </c>
    </row>
    <row r="11416" spans="1:7">
      <c r="A11416">
        <v>11415</v>
      </c>
      <c r="B11416" t="str">
        <f>"011938"</f>
        <v>0</v>
      </c>
      <c r="C11416" t="s">
        <v>2308</v>
      </c>
      <c r="D11416" t="s">
        <v>16956</v>
      </c>
      <c r="E11416" t="str">
        <f>"3340600262121"</f>
        <v>0</v>
      </c>
      <c r="F11416" t="str">
        <f>"001980"</f>
        <v>0</v>
      </c>
      <c r="G11416" t="s">
        <v>21</v>
      </c>
    </row>
    <row r="11417" spans="1:7">
      <c r="A11417">
        <v>11416</v>
      </c>
      <c r="B11417" t="str">
        <f>"015963"</f>
        <v>0</v>
      </c>
      <c r="C11417" t="s">
        <v>16957</v>
      </c>
      <c r="D11417" t="s">
        <v>16958</v>
      </c>
      <c r="E11417" t="str">
        <f>"3341600755307"</f>
        <v>0</v>
      </c>
      <c r="F11417" t="str">
        <f>"001980"</f>
        <v>0</v>
      </c>
      <c r="G11417" t="s">
        <v>21</v>
      </c>
    </row>
    <row r="11418" spans="1:7">
      <c r="A11418">
        <v>11417</v>
      </c>
      <c r="B11418" t="str">
        <f>"016369"</f>
        <v>0</v>
      </c>
      <c r="C11418" t="s">
        <v>16959</v>
      </c>
      <c r="D11418" t="s">
        <v>16960</v>
      </c>
      <c r="E11418" t="str">
        <f>"3349900831553"</f>
        <v>0</v>
      </c>
      <c r="F11418" t="str">
        <f>"001980"</f>
        <v>0</v>
      </c>
      <c r="G11418" t="s">
        <v>21</v>
      </c>
    </row>
    <row r="11419" spans="1:7">
      <c r="A11419">
        <v>11418</v>
      </c>
      <c r="B11419" t="str">
        <f>"016885"</f>
        <v>0</v>
      </c>
      <c r="C11419" t="s">
        <v>16961</v>
      </c>
      <c r="D11419" t="s">
        <v>16962</v>
      </c>
      <c r="E11419" t="str">
        <f>"3341300369347"</f>
        <v>0</v>
      </c>
      <c r="F11419" t="str">
        <f>"001980"</f>
        <v>0</v>
      </c>
      <c r="G11419" t="s">
        <v>21</v>
      </c>
    </row>
    <row r="11420" spans="1:7">
      <c r="A11420">
        <v>11419</v>
      </c>
      <c r="B11420" t="str">
        <f>"017391"</f>
        <v>0</v>
      </c>
      <c r="C11420" t="s">
        <v>16963</v>
      </c>
      <c r="D11420" t="s">
        <v>16964</v>
      </c>
      <c r="E11420" t="str">
        <f>"3341000005013"</f>
        <v>0</v>
      </c>
      <c r="F11420" t="str">
        <f>"001980"</f>
        <v>0</v>
      </c>
      <c r="G11420" t="s">
        <v>21</v>
      </c>
    </row>
    <row r="11421" spans="1:7">
      <c r="A11421">
        <v>11420</v>
      </c>
      <c r="B11421" t="str">
        <f>"017675"</f>
        <v>0</v>
      </c>
      <c r="C11421" t="s">
        <v>16965</v>
      </c>
      <c r="D11421" t="s">
        <v>16966</v>
      </c>
      <c r="E11421" t="str">
        <f>"3341800011379"</f>
        <v>0</v>
      </c>
      <c r="F11421" t="str">
        <f>"001980"</f>
        <v>0</v>
      </c>
      <c r="G11421" t="s">
        <v>21</v>
      </c>
    </row>
    <row r="11422" spans="1:7">
      <c r="A11422">
        <v>11421</v>
      </c>
      <c r="B11422" t="str">
        <f>"018412"</f>
        <v>0</v>
      </c>
      <c r="C11422" t="s">
        <v>16967</v>
      </c>
      <c r="D11422" t="s">
        <v>16968</v>
      </c>
      <c r="E11422" t="str">
        <f>"3349900350423"</f>
        <v>0</v>
      </c>
      <c r="F11422" t="str">
        <f>"001980"</f>
        <v>0</v>
      </c>
      <c r="G11422" t="s">
        <v>21</v>
      </c>
    </row>
    <row r="11423" spans="1:7">
      <c r="A11423">
        <v>11422</v>
      </c>
      <c r="B11423" t="str">
        <f>"018549"</f>
        <v>0</v>
      </c>
      <c r="C11423" t="s">
        <v>16969</v>
      </c>
      <c r="D11423" t="s">
        <v>1793</v>
      </c>
      <c r="E11423" t="str">
        <f>"3341800309467"</f>
        <v>0</v>
      </c>
      <c r="F11423" t="str">
        <f>"001980"</f>
        <v>0</v>
      </c>
      <c r="G11423" t="s">
        <v>21</v>
      </c>
    </row>
    <row r="11424" spans="1:7">
      <c r="A11424">
        <v>11423</v>
      </c>
      <c r="B11424" t="str">
        <f>"018555"</f>
        <v>0</v>
      </c>
      <c r="C11424" t="s">
        <v>5312</v>
      </c>
      <c r="D11424" t="s">
        <v>2095</v>
      </c>
      <c r="E11424" t="str">
        <f>"3341601112183"</f>
        <v>0</v>
      </c>
      <c r="F11424" t="str">
        <f>"001980"</f>
        <v>0</v>
      </c>
      <c r="G11424" t="s">
        <v>21</v>
      </c>
    </row>
    <row r="11425" spans="1:7">
      <c r="A11425">
        <v>11424</v>
      </c>
      <c r="B11425" t="str">
        <f>"018791"</f>
        <v>0</v>
      </c>
      <c r="C11425" t="s">
        <v>5823</v>
      </c>
      <c r="D11425" t="s">
        <v>16970</v>
      </c>
      <c r="E11425" t="str">
        <f>"3860400062779"</f>
        <v>0</v>
      </c>
      <c r="F11425" t="str">
        <f>"001980"</f>
        <v>0</v>
      </c>
      <c r="G11425" t="s">
        <v>21</v>
      </c>
    </row>
    <row r="11426" spans="1:7">
      <c r="A11426">
        <v>11425</v>
      </c>
      <c r="B11426" t="str">
        <f>"018973"</f>
        <v>0</v>
      </c>
      <c r="C11426" t="s">
        <v>16971</v>
      </c>
      <c r="D11426" t="s">
        <v>16972</v>
      </c>
      <c r="E11426" t="str">
        <f>"3342100023146"</f>
        <v>0</v>
      </c>
      <c r="F11426" t="str">
        <f>"001980"</f>
        <v>0</v>
      </c>
      <c r="G11426" t="s">
        <v>21</v>
      </c>
    </row>
    <row r="11427" spans="1:7">
      <c r="A11427">
        <v>11426</v>
      </c>
      <c r="B11427" t="str">
        <f>"019081"</f>
        <v>0</v>
      </c>
      <c r="C11427" t="s">
        <v>12278</v>
      </c>
      <c r="D11427" t="s">
        <v>16973</v>
      </c>
      <c r="E11427" t="str">
        <f>"3341600585240"</f>
        <v>0</v>
      </c>
      <c r="F11427" t="str">
        <f>"001980"</f>
        <v>0</v>
      </c>
      <c r="G11427" t="s">
        <v>21</v>
      </c>
    </row>
    <row r="11428" spans="1:7">
      <c r="A11428">
        <v>11427</v>
      </c>
      <c r="B11428" t="str">
        <f>"019764"</f>
        <v>0</v>
      </c>
      <c r="C11428" t="s">
        <v>7606</v>
      </c>
      <c r="D11428" t="s">
        <v>16974</v>
      </c>
      <c r="E11428" t="str">
        <f>"3100503677977"</f>
        <v>0</v>
      </c>
      <c r="F11428" t="str">
        <f>"001980"</f>
        <v>0</v>
      </c>
      <c r="G11428" t="s">
        <v>21</v>
      </c>
    </row>
    <row r="11429" spans="1:7">
      <c r="A11429">
        <v>11428</v>
      </c>
      <c r="B11429" t="str">
        <f>"020179"</f>
        <v>0</v>
      </c>
      <c r="C11429" t="s">
        <v>5070</v>
      </c>
      <c r="D11429" t="s">
        <v>7120</v>
      </c>
      <c r="E11429" t="str">
        <f>"5341590011102"</f>
        <v>0</v>
      </c>
      <c r="F11429" t="str">
        <f>"001980"</f>
        <v>0</v>
      </c>
      <c r="G11429" t="s">
        <v>21</v>
      </c>
    </row>
    <row r="11430" spans="1:7">
      <c r="A11430">
        <v>11429</v>
      </c>
      <c r="B11430" t="str">
        <f>"020824"</f>
        <v>0</v>
      </c>
      <c r="C11430" t="s">
        <v>16975</v>
      </c>
      <c r="D11430" t="s">
        <v>16976</v>
      </c>
      <c r="E11430" t="str">
        <f>"3341300217342"</f>
        <v>0</v>
      </c>
      <c r="F11430" t="str">
        <f>"001980"</f>
        <v>0</v>
      </c>
      <c r="G11430" t="s">
        <v>21</v>
      </c>
    </row>
    <row r="11431" spans="1:7">
      <c r="A11431">
        <v>11430</v>
      </c>
      <c r="B11431" t="str">
        <f>"021798"</f>
        <v>0</v>
      </c>
      <c r="C11431" t="s">
        <v>16977</v>
      </c>
      <c r="D11431" t="s">
        <v>16978</v>
      </c>
      <c r="E11431" t="str">
        <f>"3451400599726"</f>
        <v>0</v>
      </c>
      <c r="F11431" t="str">
        <f>"001980"</f>
        <v>0</v>
      </c>
      <c r="G11431" t="s">
        <v>21</v>
      </c>
    </row>
    <row r="11432" spans="1:7">
      <c r="A11432">
        <v>11431</v>
      </c>
      <c r="B11432" t="str">
        <f>"021858"</f>
        <v>0</v>
      </c>
      <c r="C11432" t="s">
        <v>16979</v>
      </c>
      <c r="D11432" t="s">
        <v>16980</v>
      </c>
      <c r="E11432" t="str">
        <f>"3341300077877"</f>
        <v>0</v>
      </c>
      <c r="F11432" t="str">
        <f>"001980"</f>
        <v>0</v>
      </c>
      <c r="G11432" t="s">
        <v>21</v>
      </c>
    </row>
    <row r="11433" spans="1:7">
      <c r="A11433">
        <v>11432</v>
      </c>
      <c r="B11433" t="str">
        <f>"021939"</f>
        <v>0</v>
      </c>
      <c r="C11433" t="s">
        <v>16981</v>
      </c>
      <c r="D11433" t="s">
        <v>16982</v>
      </c>
      <c r="E11433" t="str">
        <f>"3102300166112"</f>
        <v>0</v>
      </c>
      <c r="F11433" t="str">
        <f>"001980"</f>
        <v>0</v>
      </c>
      <c r="G11433" t="s">
        <v>21</v>
      </c>
    </row>
    <row r="11434" spans="1:7">
      <c r="A11434">
        <v>11433</v>
      </c>
      <c r="B11434" t="str">
        <f>"022252"</f>
        <v>0</v>
      </c>
      <c r="C11434" t="s">
        <v>5015</v>
      </c>
      <c r="D11434" t="s">
        <v>16983</v>
      </c>
      <c r="E11434" t="str">
        <f>"3500200316753"</f>
        <v>0</v>
      </c>
      <c r="F11434" t="str">
        <f>"001980"</f>
        <v>0</v>
      </c>
      <c r="G11434" t="s">
        <v>21</v>
      </c>
    </row>
    <row r="11435" spans="1:7">
      <c r="A11435">
        <v>11434</v>
      </c>
      <c r="B11435" t="str">
        <f>"022821"</f>
        <v>0</v>
      </c>
      <c r="C11435" t="s">
        <v>16984</v>
      </c>
      <c r="D11435" t="s">
        <v>16985</v>
      </c>
      <c r="E11435" t="str">
        <f>"1349900057771"</f>
        <v>0</v>
      </c>
      <c r="F11435" t="str">
        <f>"001980"</f>
        <v>0</v>
      </c>
      <c r="G11435" t="s">
        <v>21</v>
      </c>
    </row>
    <row r="11436" spans="1:7">
      <c r="A11436">
        <v>11435</v>
      </c>
      <c r="B11436" t="str">
        <f>"022823"</f>
        <v>0</v>
      </c>
      <c r="C11436" t="s">
        <v>16986</v>
      </c>
      <c r="D11436" t="s">
        <v>16987</v>
      </c>
      <c r="E11436" t="str">
        <f>"3341300486939"</f>
        <v>0</v>
      </c>
      <c r="F11436" t="str">
        <f>"001980"</f>
        <v>0</v>
      </c>
      <c r="G11436" t="s">
        <v>21</v>
      </c>
    </row>
    <row r="11437" spans="1:7">
      <c r="A11437">
        <v>11436</v>
      </c>
      <c r="B11437" t="str">
        <f>"022980"</f>
        <v>0</v>
      </c>
      <c r="C11437" t="s">
        <v>16988</v>
      </c>
      <c r="D11437" t="s">
        <v>16989</v>
      </c>
      <c r="E11437" t="str">
        <f>"3341601119951"</f>
        <v>0</v>
      </c>
      <c r="F11437" t="str">
        <f>"001980"</f>
        <v>0</v>
      </c>
      <c r="G11437" t="s">
        <v>21</v>
      </c>
    </row>
    <row r="11438" spans="1:7">
      <c r="A11438">
        <v>11437</v>
      </c>
      <c r="B11438" t="str">
        <f>"023072"</f>
        <v>0</v>
      </c>
      <c r="C11438" t="s">
        <v>16990</v>
      </c>
      <c r="D11438" t="s">
        <v>16991</v>
      </c>
      <c r="E11438" t="str">
        <f>"1341600109590"</f>
        <v>0</v>
      </c>
      <c r="F11438" t="str">
        <f>"001980"</f>
        <v>0</v>
      </c>
      <c r="G11438" t="s">
        <v>21</v>
      </c>
    </row>
    <row r="11439" spans="1:7">
      <c r="A11439">
        <v>11438</v>
      </c>
      <c r="B11439" t="str">
        <f>"024182"</f>
        <v>0</v>
      </c>
      <c r="C11439" t="s">
        <v>16992</v>
      </c>
      <c r="D11439" t="s">
        <v>16993</v>
      </c>
      <c r="E11439" t="str">
        <f>"3460500343277"</f>
        <v>0</v>
      </c>
      <c r="F11439" t="str">
        <f>"001980"</f>
        <v>0</v>
      </c>
      <c r="G11439" t="s">
        <v>21</v>
      </c>
    </row>
    <row r="11440" spans="1:7">
      <c r="A11440">
        <v>11439</v>
      </c>
      <c r="B11440" t="str">
        <f>"025018"</f>
        <v>0</v>
      </c>
      <c r="C11440" t="s">
        <v>16994</v>
      </c>
      <c r="D11440" t="s">
        <v>16995</v>
      </c>
      <c r="E11440" t="str">
        <f>"3341601099853"</f>
        <v>0</v>
      </c>
      <c r="F11440" t="str">
        <f>"001980"</f>
        <v>0</v>
      </c>
      <c r="G11440" t="s">
        <v>21</v>
      </c>
    </row>
    <row r="11441" spans="1:7">
      <c r="A11441">
        <v>11440</v>
      </c>
      <c r="B11441" t="str">
        <f>"025697"</f>
        <v>0</v>
      </c>
      <c r="C11441" t="s">
        <v>16996</v>
      </c>
      <c r="D11441" t="s">
        <v>16997</v>
      </c>
      <c r="E11441" t="str">
        <f>"3440300109939"</f>
        <v>0</v>
      </c>
      <c r="F11441" t="str">
        <f>"001980"</f>
        <v>0</v>
      </c>
      <c r="G11441" t="s">
        <v>21</v>
      </c>
    </row>
    <row r="11442" spans="1:7">
      <c r="A11442">
        <v>11441</v>
      </c>
      <c r="B11442" t="str">
        <f>"026024"</f>
        <v>0</v>
      </c>
      <c r="C11442" t="s">
        <v>16998</v>
      </c>
      <c r="D11442" t="s">
        <v>16999</v>
      </c>
      <c r="E11442" t="str">
        <f>"1341600150735"</f>
        <v>0</v>
      </c>
      <c r="F11442" t="str">
        <f>"001980"</f>
        <v>0</v>
      </c>
      <c r="G11442" t="s">
        <v>21</v>
      </c>
    </row>
    <row r="11443" spans="1:7">
      <c r="A11443">
        <v>11442</v>
      </c>
      <c r="B11443" t="str">
        <f>"026274"</f>
        <v>0</v>
      </c>
      <c r="C11443" t="s">
        <v>17000</v>
      </c>
      <c r="D11443" t="s">
        <v>17001</v>
      </c>
      <c r="E11443" t="str">
        <f>"1341600156393"</f>
        <v>0</v>
      </c>
      <c r="F11443" t="str">
        <f>"001980"</f>
        <v>0</v>
      </c>
      <c r="G11443" t="s">
        <v>21</v>
      </c>
    </row>
    <row r="11444" spans="1:7">
      <c r="A11444">
        <v>11443</v>
      </c>
      <c r="B11444" t="str">
        <f>"026843"</f>
        <v>0</v>
      </c>
      <c r="C11444" t="s">
        <v>16306</v>
      </c>
      <c r="D11444" t="s">
        <v>17002</v>
      </c>
      <c r="E11444" t="str">
        <f>"1409900140537"</f>
        <v>0</v>
      </c>
      <c r="F11444" t="str">
        <f>"001980"</f>
        <v>0</v>
      </c>
      <c r="G11444" t="s">
        <v>21</v>
      </c>
    </row>
    <row r="11445" spans="1:7">
      <c r="A11445">
        <v>11444</v>
      </c>
      <c r="B11445" t="str">
        <f>"019516"</f>
        <v>0</v>
      </c>
      <c r="C11445" t="s">
        <v>5845</v>
      </c>
      <c r="D11445" t="s">
        <v>7209</v>
      </c>
      <c r="E11445" t="str">
        <f>"3440300614404"</f>
        <v>0</v>
      </c>
      <c r="F11445" t="str">
        <f>"001980"</f>
        <v>0</v>
      </c>
      <c r="G11445" t="s">
        <v>21</v>
      </c>
    </row>
    <row r="11446" spans="1:7">
      <c r="A11446">
        <v>11445</v>
      </c>
      <c r="B11446" t="str">
        <f>"022253"</f>
        <v>0</v>
      </c>
      <c r="C11446" t="s">
        <v>3699</v>
      </c>
      <c r="D11446" t="s">
        <v>17003</v>
      </c>
      <c r="E11446" t="str">
        <f>"1451000008091"</f>
        <v>0</v>
      </c>
      <c r="F11446" t="str">
        <f>"001980"</f>
        <v>0</v>
      </c>
      <c r="G11446" t="s">
        <v>21</v>
      </c>
    </row>
    <row r="11447" spans="1:7">
      <c r="A11447">
        <v>11446</v>
      </c>
      <c r="B11447" t="str">
        <f>"024563"</f>
        <v>0</v>
      </c>
      <c r="C11447" t="s">
        <v>7895</v>
      </c>
      <c r="D11447" t="s">
        <v>17004</v>
      </c>
      <c r="E11447" t="str">
        <f>"1451100086972"</f>
        <v>0</v>
      </c>
      <c r="F11447" t="str">
        <f>"001980"</f>
        <v>0</v>
      </c>
      <c r="G11447" t="s">
        <v>21</v>
      </c>
    </row>
    <row r="11448" spans="1:7">
      <c r="A11448">
        <v>11447</v>
      </c>
      <c r="B11448" t="str">
        <f>"024564"</f>
        <v>0</v>
      </c>
      <c r="C11448" t="s">
        <v>17005</v>
      </c>
      <c r="D11448" t="s">
        <v>17006</v>
      </c>
      <c r="E11448" t="str">
        <f>"1450600030371"</f>
        <v>0</v>
      </c>
      <c r="F11448" t="str">
        <f>"001980"</f>
        <v>0</v>
      </c>
      <c r="G11448" t="s">
        <v>21</v>
      </c>
    </row>
    <row r="11449" spans="1:7">
      <c r="A11449">
        <v>11448</v>
      </c>
      <c r="B11449" t="str">
        <f>"026954"</f>
        <v>0</v>
      </c>
      <c r="C11449" t="s">
        <v>17007</v>
      </c>
      <c r="D11449" t="s">
        <v>17008</v>
      </c>
      <c r="E11449" t="str">
        <f>"3490300267399"</f>
        <v>0</v>
      </c>
      <c r="F11449" t="str">
        <f>"001980"</f>
        <v>0</v>
      </c>
      <c r="G11449" t="s">
        <v>21</v>
      </c>
    </row>
    <row r="11450" spans="1:7">
      <c r="A11450">
        <v>11449</v>
      </c>
      <c r="B11450" t="str">
        <f>"026955"</f>
        <v>0</v>
      </c>
      <c r="C11450" t="s">
        <v>7970</v>
      </c>
      <c r="D11450" t="s">
        <v>17009</v>
      </c>
      <c r="E11450" t="str">
        <f>"1499900008566"</f>
        <v>0</v>
      </c>
      <c r="F11450" t="str">
        <f>"001980"</f>
        <v>0</v>
      </c>
      <c r="G11450" t="s">
        <v>21</v>
      </c>
    </row>
    <row r="11451" spans="1:7">
      <c r="A11451">
        <v>11450</v>
      </c>
      <c r="B11451" t="str">
        <f>"013452"</f>
        <v>0</v>
      </c>
      <c r="C11451" t="s">
        <v>17010</v>
      </c>
      <c r="D11451" t="s">
        <v>17011</v>
      </c>
      <c r="E11451" t="str">
        <f>"3100500052585"</f>
        <v>0</v>
      </c>
      <c r="F11451" t="str">
        <f>"003003"</f>
        <v>0</v>
      </c>
      <c r="G11451" t="s">
        <v>21</v>
      </c>
    </row>
    <row r="11452" spans="1:7">
      <c r="A11452">
        <v>11451</v>
      </c>
      <c r="B11452" t="str">
        <f>"015129"</f>
        <v>0</v>
      </c>
      <c r="C11452" t="s">
        <v>191</v>
      </c>
      <c r="D11452" t="s">
        <v>450</v>
      </c>
      <c r="E11452" t="str">
        <f>"3409900124040"</f>
        <v>0</v>
      </c>
      <c r="F11452" t="str">
        <f>"003003"</f>
        <v>0</v>
      </c>
      <c r="G11452" t="s">
        <v>21</v>
      </c>
    </row>
    <row r="11453" spans="1:7">
      <c r="A11453">
        <v>11452</v>
      </c>
      <c r="B11453" t="str">
        <f>"015342"</f>
        <v>0</v>
      </c>
      <c r="C11453" t="s">
        <v>17012</v>
      </c>
      <c r="D11453" t="s">
        <v>17013</v>
      </c>
      <c r="E11453" t="str">
        <f>"3101700866650"</f>
        <v>0</v>
      </c>
      <c r="F11453" t="str">
        <f>"003003"</f>
        <v>0</v>
      </c>
      <c r="G11453" t="s">
        <v>21</v>
      </c>
    </row>
    <row r="11454" spans="1:7">
      <c r="A11454">
        <v>11453</v>
      </c>
      <c r="B11454" t="str">
        <f>"016157"</f>
        <v>0</v>
      </c>
      <c r="C11454" t="s">
        <v>17014</v>
      </c>
      <c r="D11454" t="s">
        <v>17015</v>
      </c>
      <c r="E11454" t="str">
        <f>"3549900053630"</f>
        <v>0</v>
      </c>
      <c r="F11454" t="str">
        <f>"003003"</f>
        <v>0</v>
      </c>
      <c r="G11454" t="s">
        <v>21</v>
      </c>
    </row>
    <row r="11455" spans="1:7">
      <c r="A11455">
        <v>11454</v>
      </c>
      <c r="B11455" t="str">
        <f>"018603"</f>
        <v>0</v>
      </c>
      <c r="C11455" t="s">
        <v>132</v>
      </c>
      <c r="D11455" t="s">
        <v>5337</v>
      </c>
      <c r="E11455" t="str">
        <f>"3100602236928"</f>
        <v>0</v>
      </c>
      <c r="F11455" t="str">
        <f>"003003"</f>
        <v>0</v>
      </c>
      <c r="G11455" t="s">
        <v>21</v>
      </c>
    </row>
    <row r="11456" spans="1:7">
      <c r="A11456">
        <v>11455</v>
      </c>
      <c r="B11456" t="str">
        <f>"011942"</f>
        <v>0</v>
      </c>
      <c r="C11456" t="s">
        <v>17016</v>
      </c>
      <c r="D11456" t="s">
        <v>17017</v>
      </c>
      <c r="E11456" t="str">
        <f>"3309901627691"</f>
        <v>0</v>
      </c>
      <c r="F11456" t="str">
        <f>"003003"</f>
        <v>0</v>
      </c>
      <c r="G11456" t="s">
        <v>21</v>
      </c>
    </row>
    <row r="11457" spans="1:7">
      <c r="A11457">
        <v>11456</v>
      </c>
      <c r="B11457" t="str">
        <f>"022312"</f>
        <v>0</v>
      </c>
      <c r="C11457" t="s">
        <v>17018</v>
      </c>
      <c r="D11457" t="s">
        <v>17019</v>
      </c>
      <c r="E11457" t="str">
        <f>"3101900457273"</f>
        <v>0</v>
      </c>
      <c r="F11457" t="str">
        <f>"003003"</f>
        <v>0</v>
      </c>
      <c r="G11457" t="s">
        <v>21</v>
      </c>
    </row>
    <row r="11458" spans="1:7">
      <c r="A11458">
        <v>11457</v>
      </c>
      <c r="B11458" t="str">
        <f>"017227"</f>
        <v>0</v>
      </c>
      <c r="C11458" t="s">
        <v>1162</v>
      </c>
      <c r="D11458" t="s">
        <v>17020</v>
      </c>
      <c r="E11458" t="str">
        <f>"3320900164877"</f>
        <v>0</v>
      </c>
      <c r="F11458" t="str">
        <f>"003003"</f>
        <v>0</v>
      </c>
      <c r="G11458" t="s">
        <v>21</v>
      </c>
    </row>
    <row r="11459" spans="1:7">
      <c r="A11459">
        <v>11458</v>
      </c>
      <c r="B11459" t="str">
        <f>"003695"</f>
        <v>0</v>
      </c>
      <c r="C11459" t="s">
        <v>4341</v>
      </c>
      <c r="D11459" t="s">
        <v>6623</v>
      </c>
      <c r="E11459" t="str">
        <f>"3190900390852"</f>
        <v>0</v>
      </c>
      <c r="F11459" t="str">
        <f>"003003"</f>
        <v>0</v>
      </c>
      <c r="G11459" t="s">
        <v>21</v>
      </c>
    </row>
    <row r="11460" spans="1:7">
      <c r="A11460">
        <v>11459</v>
      </c>
      <c r="B11460" t="str">
        <f>"003191"</f>
        <v>0</v>
      </c>
      <c r="C11460" t="s">
        <v>670</v>
      </c>
      <c r="D11460" t="s">
        <v>17021</v>
      </c>
      <c r="E11460" t="str">
        <f>"3440900017407"</f>
        <v>0</v>
      </c>
      <c r="F11460" t="str">
        <f>"003003"</f>
        <v>0</v>
      </c>
      <c r="G11460" t="s">
        <v>21</v>
      </c>
    </row>
    <row r="11461" spans="1:7">
      <c r="A11461">
        <v>11460</v>
      </c>
      <c r="B11461" t="str">
        <f>"020408"</f>
        <v>0</v>
      </c>
      <c r="C11461" t="s">
        <v>17022</v>
      </c>
      <c r="D11461" t="s">
        <v>17023</v>
      </c>
      <c r="E11461" t="str">
        <f>"3461000257585"</f>
        <v>0</v>
      </c>
      <c r="F11461" t="str">
        <f>"003003"</f>
        <v>0</v>
      </c>
      <c r="G11461" t="s">
        <v>21</v>
      </c>
    </row>
    <row r="11462" spans="1:7">
      <c r="A11462">
        <v>11461</v>
      </c>
      <c r="B11462" t="str">
        <f>"022472"</f>
        <v>0</v>
      </c>
      <c r="C11462" t="s">
        <v>17024</v>
      </c>
      <c r="D11462" t="s">
        <v>17025</v>
      </c>
      <c r="E11462" t="str">
        <f>"3460300074370"</f>
        <v>0</v>
      </c>
      <c r="F11462" t="str">
        <f>"003003"</f>
        <v>0</v>
      </c>
      <c r="G11462" t="s">
        <v>21</v>
      </c>
    </row>
    <row r="11463" spans="1:7">
      <c r="A11463">
        <v>11462</v>
      </c>
      <c r="B11463" t="str">
        <f>"009487"</f>
        <v>0</v>
      </c>
      <c r="C11463" t="s">
        <v>17026</v>
      </c>
      <c r="D11463" t="s">
        <v>17027</v>
      </c>
      <c r="E11463" t="str">
        <f>"3480700327160"</f>
        <v>0</v>
      </c>
      <c r="F11463" t="str">
        <f>"003003"</f>
        <v>0</v>
      </c>
      <c r="G11463" t="s">
        <v>21</v>
      </c>
    </row>
    <row r="11464" spans="1:7">
      <c r="A11464">
        <v>11463</v>
      </c>
      <c r="B11464" t="str">
        <f>"007675"</f>
        <v>0</v>
      </c>
      <c r="C11464" t="s">
        <v>10912</v>
      </c>
      <c r="D11464" t="s">
        <v>15435</v>
      </c>
      <c r="E11464" t="str">
        <f>"3411500329224"</f>
        <v>0</v>
      </c>
      <c r="F11464" t="str">
        <f>"003003"</f>
        <v>0</v>
      </c>
      <c r="G11464" t="s">
        <v>21</v>
      </c>
    </row>
    <row r="11465" spans="1:7">
      <c r="A11465">
        <v>11464</v>
      </c>
      <c r="B11465" t="str">
        <f>"008458"</f>
        <v>0</v>
      </c>
      <c r="C11465" t="s">
        <v>17028</v>
      </c>
      <c r="D11465" t="s">
        <v>17029</v>
      </c>
      <c r="E11465" t="str">
        <f>"3100903140369"</f>
        <v>0</v>
      </c>
      <c r="F11465" t="str">
        <f>"003003"</f>
        <v>0</v>
      </c>
      <c r="G11465" t="s">
        <v>21</v>
      </c>
    </row>
    <row r="11466" spans="1:7">
      <c r="A11466">
        <v>11465</v>
      </c>
      <c r="B11466" t="str">
        <f>"013093"</f>
        <v>0</v>
      </c>
      <c r="C11466" t="s">
        <v>104</v>
      </c>
      <c r="D11466" t="s">
        <v>17030</v>
      </c>
      <c r="E11466" t="str">
        <f>"3550100407447"</f>
        <v>0</v>
      </c>
      <c r="F11466" t="str">
        <f>"003003"</f>
        <v>0</v>
      </c>
      <c r="G11466" t="s">
        <v>21</v>
      </c>
    </row>
    <row r="11467" spans="1:7">
      <c r="A11467">
        <v>11466</v>
      </c>
      <c r="B11467" t="str">
        <f>"010795"</f>
        <v>0</v>
      </c>
      <c r="C11467" t="s">
        <v>352</v>
      </c>
      <c r="D11467" t="s">
        <v>17031</v>
      </c>
      <c r="E11467" t="str">
        <f>"3601100896511"</f>
        <v>0</v>
      </c>
      <c r="F11467" t="str">
        <f>"003003"</f>
        <v>0</v>
      </c>
      <c r="G11467" t="s">
        <v>21</v>
      </c>
    </row>
    <row r="11468" spans="1:7">
      <c r="A11468">
        <v>11467</v>
      </c>
      <c r="B11468" t="str">
        <f>"007933"</f>
        <v>0</v>
      </c>
      <c r="C11468" t="s">
        <v>6377</v>
      </c>
      <c r="D11468" t="s">
        <v>17032</v>
      </c>
      <c r="E11468" t="str">
        <f>"3929900459632"</f>
        <v>0</v>
      </c>
      <c r="F11468" t="str">
        <f>"003003"</f>
        <v>0</v>
      </c>
      <c r="G11468" t="s">
        <v>21</v>
      </c>
    </row>
    <row r="11469" spans="1:7">
      <c r="A11469">
        <v>11468</v>
      </c>
      <c r="B11469" t="str">
        <f>"008367"</f>
        <v>0</v>
      </c>
      <c r="C11469" t="s">
        <v>411</v>
      </c>
      <c r="D11469" t="s">
        <v>17033</v>
      </c>
      <c r="E11469" t="str">
        <f>"3841600010340"</f>
        <v>0</v>
      </c>
      <c r="F11469" t="str">
        <f>"003003"</f>
        <v>0</v>
      </c>
      <c r="G11469" t="s">
        <v>21</v>
      </c>
    </row>
    <row r="11470" spans="1:7">
      <c r="A11470">
        <v>11469</v>
      </c>
      <c r="B11470" t="str">
        <f>"011207"</f>
        <v>0</v>
      </c>
      <c r="C11470" t="s">
        <v>17034</v>
      </c>
      <c r="D11470" t="s">
        <v>14246</v>
      </c>
      <c r="E11470" t="str">
        <f>"3860100701806"</f>
        <v>0</v>
      </c>
      <c r="F11470" t="str">
        <f>"003003"</f>
        <v>0</v>
      </c>
      <c r="G11470" t="s">
        <v>21</v>
      </c>
    </row>
    <row r="11471" spans="1:7">
      <c r="A11471">
        <v>11470</v>
      </c>
      <c r="B11471" t="str">
        <f>"015276"</f>
        <v>0</v>
      </c>
      <c r="C11471" t="s">
        <v>508</v>
      </c>
      <c r="D11471" t="s">
        <v>17035</v>
      </c>
      <c r="E11471" t="str">
        <f>"3309900073691"</f>
        <v>0</v>
      </c>
      <c r="F11471" t="str">
        <f>"003003"</f>
        <v>0</v>
      </c>
      <c r="G11471" t="s">
        <v>21</v>
      </c>
    </row>
    <row r="11472" spans="1:7">
      <c r="A11472">
        <v>11471</v>
      </c>
      <c r="B11472" t="str">
        <f>"015279"</f>
        <v>0</v>
      </c>
      <c r="C11472" t="s">
        <v>314</v>
      </c>
      <c r="D11472" t="s">
        <v>17036</v>
      </c>
      <c r="E11472" t="str">
        <f>"3302000638831"</f>
        <v>0</v>
      </c>
      <c r="F11472" t="str">
        <f>"003003"</f>
        <v>0</v>
      </c>
      <c r="G11472" t="s">
        <v>21</v>
      </c>
    </row>
    <row r="11473" spans="1:7">
      <c r="A11473">
        <v>11472</v>
      </c>
      <c r="B11473" t="str">
        <f>"016117"</f>
        <v>0</v>
      </c>
      <c r="C11473" t="s">
        <v>86</v>
      </c>
      <c r="D11473" t="s">
        <v>17037</v>
      </c>
      <c r="E11473" t="str">
        <f>"3310400467251"</f>
        <v>0</v>
      </c>
      <c r="F11473" t="str">
        <f>"003003"</f>
        <v>0</v>
      </c>
      <c r="G11473" t="s">
        <v>21</v>
      </c>
    </row>
    <row r="11474" spans="1:7">
      <c r="A11474">
        <v>11473</v>
      </c>
      <c r="B11474" t="str">
        <f>"016870"</f>
        <v>0</v>
      </c>
      <c r="C11474" t="s">
        <v>3746</v>
      </c>
      <c r="D11474" t="s">
        <v>17038</v>
      </c>
      <c r="E11474" t="str">
        <f>"3310400627266"</f>
        <v>0</v>
      </c>
      <c r="F11474" t="str">
        <f>"003003"</f>
        <v>0</v>
      </c>
      <c r="G11474" t="s">
        <v>21</v>
      </c>
    </row>
    <row r="11475" spans="1:7">
      <c r="A11475">
        <v>11474</v>
      </c>
      <c r="B11475" t="str">
        <f>"015306"</f>
        <v>0</v>
      </c>
      <c r="C11475" t="s">
        <v>17039</v>
      </c>
      <c r="D11475" t="s">
        <v>17040</v>
      </c>
      <c r="E11475" t="str">
        <f>"3330100128426"</f>
        <v>0</v>
      </c>
      <c r="F11475" t="str">
        <f>"003003"</f>
        <v>0</v>
      </c>
      <c r="G11475" t="s">
        <v>21</v>
      </c>
    </row>
    <row r="11476" spans="1:7">
      <c r="A11476">
        <v>11475</v>
      </c>
      <c r="B11476" t="str">
        <f>"015220"</f>
        <v>0</v>
      </c>
      <c r="C11476" t="s">
        <v>11306</v>
      </c>
      <c r="D11476" t="s">
        <v>5146</v>
      </c>
      <c r="E11476" t="str">
        <f>"3409900505001"</f>
        <v>0</v>
      </c>
      <c r="F11476" t="str">
        <f>"003003"</f>
        <v>0</v>
      </c>
      <c r="G11476" t="s">
        <v>21</v>
      </c>
    </row>
    <row r="11477" spans="1:7">
      <c r="A11477">
        <v>11476</v>
      </c>
      <c r="B11477" t="str">
        <f>"015898"</f>
        <v>0</v>
      </c>
      <c r="C11477" t="s">
        <v>411</v>
      </c>
      <c r="D11477" t="s">
        <v>17041</v>
      </c>
      <c r="E11477" t="str">
        <f>"3310400137471"</f>
        <v>0</v>
      </c>
      <c r="F11477" t="str">
        <f>"003003"</f>
        <v>0</v>
      </c>
      <c r="G11477" t="s">
        <v>21</v>
      </c>
    </row>
    <row r="11478" spans="1:7">
      <c r="A11478">
        <v>11477</v>
      </c>
      <c r="B11478" t="str">
        <f>"019179"</f>
        <v>0</v>
      </c>
      <c r="C11478" t="s">
        <v>17042</v>
      </c>
      <c r="D11478" t="s">
        <v>17043</v>
      </c>
      <c r="E11478" t="str">
        <f>"3320100196511"</f>
        <v>0</v>
      </c>
      <c r="F11478" t="str">
        <f>"003003"</f>
        <v>0</v>
      </c>
      <c r="G11478" t="s">
        <v>21</v>
      </c>
    </row>
    <row r="11479" spans="1:7">
      <c r="A11479">
        <v>11478</v>
      </c>
      <c r="B11479" t="str">
        <f>"019430"</f>
        <v>0</v>
      </c>
      <c r="C11479" t="s">
        <v>4903</v>
      </c>
      <c r="D11479" t="s">
        <v>151</v>
      </c>
      <c r="E11479" t="str">
        <f>"3330400872601"</f>
        <v>0</v>
      </c>
      <c r="F11479" t="str">
        <f>"003003"</f>
        <v>0</v>
      </c>
      <c r="G11479" t="s">
        <v>21</v>
      </c>
    </row>
    <row r="11480" spans="1:7">
      <c r="A11480">
        <v>11479</v>
      </c>
      <c r="B11480" t="str">
        <f>"022782"</f>
        <v>0</v>
      </c>
      <c r="C11480" t="s">
        <v>17044</v>
      </c>
      <c r="D11480" t="s">
        <v>17045</v>
      </c>
      <c r="E11480" t="str">
        <f>"1190900014200"</f>
        <v>0</v>
      </c>
      <c r="F11480" t="str">
        <f>"003003"</f>
        <v>0</v>
      </c>
      <c r="G11480" t="s">
        <v>21</v>
      </c>
    </row>
    <row r="11481" spans="1:7">
      <c r="A11481">
        <v>11480</v>
      </c>
      <c r="B11481" t="str">
        <f>"027025"</f>
        <v>0</v>
      </c>
      <c r="C11481" t="s">
        <v>17046</v>
      </c>
      <c r="D11481" t="s">
        <v>17047</v>
      </c>
      <c r="E11481" t="str">
        <f>"1589900074649"</f>
        <v>0</v>
      </c>
      <c r="F11481" t="str">
        <f>"003003"</f>
        <v>0</v>
      </c>
      <c r="G11481" t="s">
        <v>21</v>
      </c>
    </row>
    <row r="11482" spans="1:7">
      <c r="A11482">
        <v>11481</v>
      </c>
      <c r="B11482" t="str">
        <f>"021103"</f>
        <v>0</v>
      </c>
      <c r="C11482" t="s">
        <v>17048</v>
      </c>
      <c r="D11482" t="s">
        <v>17049</v>
      </c>
      <c r="E11482" t="str">
        <f>"3670300140915"</f>
        <v>0</v>
      </c>
      <c r="F11482" t="str">
        <f>"003003"</f>
        <v>0</v>
      </c>
      <c r="G11482" t="s">
        <v>21</v>
      </c>
    </row>
    <row r="11483" spans="1:7">
      <c r="A11483">
        <v>11482</v>
      </c>
      <c r="B11483" t="str">
        <f>"023241"</f>
        <v>0</v>
      </c>
      <c r="C11483" t="s">
        <v>17050</v>
      </c>
      <c r="D11483" t="s">
        <v>7414</v>
      </c>
      <c r="E11483" t="str">
        <f>"5330490026883"</f>
        <v>0</v>
      </c>
      <c r="F11483" t="str">
        <f>"003003"</f>
        <v>0</v>
      </c>
      <c r="G11483" t="s">
        <v>21</v>
      </c>
    </row>
    <row r="11484" spans="1:7">
      <c r="A11484">
        <v>11483</v>
      </c>
      <c r="B11484" t="str">
        <f>"025538"</f>
        <v>0</v>
      </c>
      <c r="C11484" t="s">
        <v>14417</v>
      </c>
      <c r="D11484" t="s">
        <v>17051</v>
      </c>
      <c r="E11484" t="str">
        <f>"3841700688755"</f>
        <v>0</v>
      </c>
      <c r="F11484" t="str">
        <f>"003003"</f>
        <v>0</v>
      </c>
      <c r="G11484" t="s">
        <v>21</v>
      </c>
    </row>
    <row r="11485" spans="1:7">
      <c r="A11485">
        <v>11484</v>
      </c>
      <c r="B11485" t="str">
        <f>"027024"</f>
        <v>0</v>
      </c>
      <c r="C11485" t="s">
        <v>17052</v>
      </c>
      <c r="D11485" t="s">
        <v>8311</v>
      </c>
      <c r="E11485" t="str">
        <f>"3660101030737"</f>
        <v>0</v>
      </c>
      <c r="F11485" t="str">
        <f>"003003"</f>
        <v>0</v>
      </c>
      <c r="G11485" t="s">
        <v>21</v>
      </c>
    </row>
    <row r="11486" spans="1:7">
      <c r="A11486">
        <v>11485</v>
      </c>
      <c r="B11486" t="str">
        <f>"010902"</f>
        <v>0</v>
      </c>
      <c r="C11486" t="s">
        <v>2298</v>
      </c>
      <c r="D11486" t="s">
        <v>17053</v>
      </c>
      <c r="E11486" t="str">
        <f>"3480300403683"</f>
        <v>0</v>
      </c>
      <c r="F11486" t="str">
        <f>"003003"</f>
        <v>0</v>
      </c>
      <c r="G11486" t="s">
        <v>21</v>
      </c>
    </row>
    <row r="11487" spans="1:7">
      <c r="A11487">
        <v>11486</v>
      </c>
      <c r="B11487" t="str">
        <f>"026452"</f>
        <v>0</v>
      </c>
      <c r="C11487" t="s">
        <v>734</v>
      </c>
      <c r="D11487" t="s">
        <v>17054</v>
      </c>
      <c r="E11487" t="str">
        <f>"1709800004469"</f>
        <v>0</v>
      </c>
      <c r="F11487" t="str">
        <f>"003003"</f>
        <v>0</v>
      </c>
      <c r="G11487" t="s">
        <v>21</v>
      </c>
    </row>
    <row r="11488" spans="1:7">
      <c r="A11488">
        <v>11487</v>
      </c>
      <c r="B11488" t="str">
        <f>"009738"</f>
        <v>0</v>
      </c>
      <c r="C11488" t="s">
        <v>725</v>
      </c>
      <c r="D11488" t="s">
        <v>17055</v>
      </c>
      <c r="E11488" t="str">
        <f>"3720400557116"</f>
        <v>0</v>
      </c>
      <c r="F11488" t="str">
        <f>"003003"</f>
        <v>0</v>
      </c>
      <c r="G11488" t="s">
        <v>21</v>
      </c>
    </row>
    <row r="11489" spans="1:7">
      <c r="A11489">
        <v>11488</v>
      </c>
      <c r="B11489" t="str">
        <f>"023948"</f>
        <v>0</v>
      </c>
      <c r="C11489" t="s">
        <v>17056</v>
      </c>
      <c r="D11489" t="s">
        <v>17057</v>
      </c>
      <c r="E11489" t="str">
        <f>"3820400259611"</f>
        <v>0</v>
      </c>
      <c r="F11489" t="str">
        <f>"003003"</f>
        <v>0</v>
      </c>
      <c r="G11489" t="s">
        <v>21</v>
      </c>
    </row>
    <row r="11490" spans="1:7">
      <c r="A11490">
        <v>11489</v>
      </c>
      <c r="B11490" t="str">
        <f>"013416"</f>
        <v>0</v>
      </c>
      <c r="C11490" t="s">
        <v>4866</v>
      </c>
      <c r="D11490" t="s">
        <v>17058</v>
      </c>
      <c r="E11490" t="str">
        <f>"3102101629058"</f>
        <v>0</v>
      </c>
      <c r="F11490" t="str">
        <f>"003003"</f>
        <v>0</v>
      </c>
      <c r="G11490" t="s">
        <v>21</v>
      </c>
    </row>
    <row r="11491" spans="1:7">
      <c r="A11491">
        <v>11490</v>
      </c>
      <c r="B11491" t="str">
        <f>"021933"</f>
        <v>0</v>
      </c>
      <c r="C11491" t="s">
        <v>6062</v>
      </c>
      <c r="D11491" t="s">
        <v>17059</v>
      </c>
      <c r="E11491" t="str">
        <f>"3510300374500"</f>
        <v>0</v>
      </c>
      <c r="F11491" t="str">
        <f>"003003"</f>
        <v>0</v>
      </c>
      <c r="G11491" t="s">
        <v>21</v>
      </c>
    </row>
    <row r="11492" spans="1:7">
      <c r="A11492">
        <v>11491</v>
      </c>
      <c r="B11492" t="str">
        <f>"022636"</f>
        <v>0</v>
      </c>
      <c r="C11492" t="s">
        <v>17060</v>
      </c>
      <c r="D11492" t="s">
        <v>3567</v>
      </c>
      <c r="E11492" t="str">
        <f>"3100502717398"</f>
        <v>0</v>
      </c>
      <c r="F11492" t="str">
        <f>"003003"</f>
        <v>0</v>
      </c>
      <c r="G11492" t="s">
        <v>21</v>
      </c>
    </row>
    <row r="11493" spans="1:7">
      <c r="A11493">
        <v>11492</v>
      </c>
      <c r="B11493" t="str">
        <f>"023208"</f>
        <v>0</v>
      </c>
      <c r="C11493" t="s">
        <v>17061</v>
      </c>
      <c r="D11493" t="s">
        <v>17062</v>
      </c>
      <c r="E11493" t="str">
        <f>"3309901060763"</f>
        <v>0</v>
      </c>
      <c r="F11493" t="str">
        <f>"003003"</f>
        <v>0</v>
      </c>
      <c r="G11493" t="s">
        <v>21</v>
      </c>
    </row>
    <row r="11494" spans="1:7">
      <c r="A11494">
        <v>11493</v>
      </c>
      <c r="B11494" t="str">
        <f>"024712"</f>
        <v>0</v>
      </c>
      <c r="C11494" t="s">
        <v>638</v>
      </c>
      <c r="D11494" t="s">
        <v>17063</v>
      </c>
      <c r="E11494" t="str">
        <f>"1801400023522"</f>
        <v>0</v>
      </c>
      <c r="F11494" t="str">
        <f>"003003"</f>
        <v>0</v>
      </c>
      <c r="G11494" t="s">
        <v>21</v>
      </c>
    </row>
    <row r="11495" spans="1:7">
      <c r="A11495">
        <v>11494</v>
      </c>
      <c r="B11495" t="str">
        <f>"021543"</f>
        <v>0</v>
      </c>
      <c r="C11495" t="s">
        <v>6289</v>
      </c>
      <c r="D11495" t="s">
        <v>17064</v>
      </c>
      <c r="E11495" t="str">
        <f>"3140900277258"</f>
        <v>0</v>
      </c>
      <c r="F11495" t="str">
        <f>"003003"</f>
        <v>0</v>
      </c>
      <c r="G11495" t="s">
        <v>21</v>
      </c>
    </row>
    <row r="11496" spans="1:7">
      <c r="A11496">
        <v>11495</v>
      </c>
      <c r="B11496" t="str">
        <f>"024431"</f>
        <v>0</v>
      </c>
      <c r="C11496" t="s">
        <v>17065</v>
      </c>
      <c r="D11496" t="s">
        <v>17066</v>
      </c>
      <c r="E11496" t="str">
        <f>"3169900025150"</f>
        <v>0</v>
      </c>
      <c r="F11496" t="str">
        <f>"003003"</f>
        <v>0</v>
      </c>
      <c r="G11496" t="s">
        <v>21</v>
      </c>
    </row>
    <row r="11497" spans="1:7">
      <c r="A11497">
        <v>11496</v>
      </c>
      <c r="B11497" t="str">
        <f>"024095"</f>
        <v>0</v>
      </c>
      <c r="C11497" t="s">
        <v>17067</v>
      </c>
      <c r="D11497" t="s">
        <v>2810</v>
      </c>
      <c r="E11497" t="str">
        <f>"3490600039618"</f>
        <v>0</v>
      </c>
      <c r="F11497" t="str">
        <f>"003003"</f>
        <v>0</v>
      </c>
      <c r="G11497" t="s">
        <v>21</v>
      </c>
    </row>
    <row r="11498" spans="1:7">
      <c r="A11498">
        <v>11497</v>
      </c>
      <c r="B11498" t="str">
        <f>"023289"</f>
        <v>0</v>
      </c>
      <c r="C11498" t="s">
        <v>17068</v>
      </c>
      <c r="D11498" t="s">
        <v>17069</v>
      </c>
      <c r="E11498" t="str">
        <f>"3730600970785"</f>
        <v>0</v>
      </c>
      <c r="F11498" t="str">
        <f>"003003"</f>
        <v>0</v>
      </c>
      <c r="G11498" t="s">
        <v>21</v>
      </c>
    </row>
    <row r="11499" spans="1:7">
      <c r="A11499">
        <v>11498</v>
      </c>
      <c r="B11499" t="str">
        <f>"018819"</f>
        <v>0</v>
      </c>
      <c r="C11499" t="s">
        <v>17070</v>
      </c>
      <c r="D11499" t="s">
        <v>17071</v>
      </c>
      <c r="E11499" t="str">
        <f>"3100601715920"</f>
        <v>0</v>
      </c>
      <c r="F11499" t="str">
        <f>"003003"</f>
        <v>0</v>
      </c>
      <c r="G11499" t="s">
        <v>21</v>
      </c>
    </row>
    <row r="11500" spans="1:7">
      <c r="A11500">
        <v>11499</v>
      </c>
      <c r="B11500" t="str">
        <f>"019983"</f>
        <v>0</v>
      </c>
      <c r="C11500" t="s">
        <v>17072</v>
      </c>
      <c r="D11500" t="s">
        <v>17073</v>
      </c>
      <c r="E11500" t="str">
        <f>"3101700745097"</f>
        <v>0</v>
      </c>
      <c r="F11500" t="str">
        <f>"003003"</f>
        <v>0</v>
      </c>
      <c r="G11500" t="s">
        <v>21</v>
      </c>
    </row>
    <row r="11501" spans="1:7">
      <c r="A11501">
        <v>11500</v>
      </c>
      <c r="B11501" t="str">
        <f>"020903"</f>
        <v>0</v>
      </c>
      <c r="C11501" t="s">
        <v>5201</v>
      </c>
      <c r="D11501" t="s">
        <v>17074</v>
      </c>
      <c r="E11501" t="str">
        <f>"3100202353421"</f>
        <v>0</v>
      </c>
      <c r="F11501" t="str">
        <f>"003003"</f>
        <v>0</v>
      </c>
      <c r="G11501" t="s">
        <v>21</v>
      </c>
    </row>
    <row r="11502" spans="1:7">
      <c r="A11502">
        <v>11501</v>
      </c>
      <c r="B11502" t="str">
        <f>"022674"</f>
        <v>0</v>
      </c>
      <c r="C11502" t="s">
        <v>17075</v>
      </c>
      <c r="D11502" t="s">
        <v>17076</v>
      </c>
      <c r="E11502" t="str">
        <f>"1101400436041"</f>
        <v>0</v>
      </c>
      <c r="F11502" t="str">
        <f>"003003"</f>
        <v>0</v>
      </c>
      <c r="G11502" t="s">
        <v>21</v>
      </c>
    </row>
    <row r="11503" spans="1:7">
      <c r="A11503">
        <v>11502</v>
      </c>
      <c r="B11503" t="str">
        <f>"023514"</f>
        <v>0</v>
      </c>
      <c r="C11503" t="s">
        <v>17077</v>
      </c>
      <c r="D11503" t="s">
        <v>17078</v>
      </c>
      <c r="E11503" t="str">
        <f>"1929900035160"</f>
        <v>0</v>
      </c>
      <c r="F11503" t="str">
        <f>"003003"</f>
        <v>0</v>
      </c>
      <c r="G11503" t="s">
        <v>21</v>
      </c>
    </row>
    <row r="11504" spans="1:7">
      <c r="A11504">
        <v>11503</v>
      </c>
      <c r="B11504" t="str">
        <f>"023515"</f>
        <v>0</v>
      </c>
      <c r="C11504" t="s">
        <v>17079</v>
      </c>
      <c r="D11504" t="s">
        <v>17080</v>
      </c>
      <c r="E11504" t="str">
        <f>"2709800016899"</f>
        <v>0</v>
      </c>
      <c r="F11504" t="str">
        <f>"003003"</f>
        <v>0</v>
      </c>
      <c r="G11504" t="s">
        <v>21</v>
      </c>
    </row>
    <row r="11505" spans="1:7">
      <c r="A11505">
        <v>11504</v>
      </c>
      <c r="B11505" t="str">
        <f>"023920"</f>
        <v>0</v>
      </c>
      <c r="C11505" t="s">
        <v>17081</v>
      </c>
      <c r="D11505" t="s">
        <v>17082</v>
      </c>
      <c r="E11505" t="str">
        <f>"3629900139461"</f>
        <v>0</v>
      </c>
      <c r="F11505" t="str">
        <f>"003003"</f>
        <v>0</v>
      </c>
      <c r="G11505" t="s">
        <v>21</v>
      </c>
    </row>
    <row r="11506" spans="1:7">
      <c r="A11506">
        <v>11505</v>
      </c>
      <c r="B11506" t="str">
        <f>"025493"</f>
        <v>0</v>
      </c>
      <c r="C11506" t="s">
        <v>17083</v>
      </c>
      <c r="D11506" t="s">
        <v>17084</v>
      </c>
      <c r="E11506" t="str">
        <f>"3260400421111"</f>
        <v>0</v>
      </c>
      <c r="F11506" t="str">
        <f>"003003"</f>
        <v>0</v>
      </c>
      <c r="G11506" t="s">
        <v>21</v>
      </c>
    </row>
    <row r="11507" spans="1:7">
      <c r="A11507">
        <v>11506</v>
      </c>
      <c r="B11507" t="str">
        <f>"025698"</f>
        <v>0</v>
      </c>
      <c r="C11507" t="s">
        <v>17085</v>
      </c>
      <c r="D11507" t="s">
        <v>17086</v>
      </c>
      <c r="E11507" t="str">
        <f>"3301000256831"</f>
        <v>0</v>
      </c>
      <c r="F11507" t="str">
        <f>"003003"</f>
        <v>0</v>
      </c>
      <c r="G11507" t="s">
        <v>21</v>
      </c>
    </row>
    <row r="11508" spans="1:7">
      <c r="A11508">
        <v>11507</v>
      </c>
      <c r="B11508" t="str">
        <f>"027443"</f>
        <v>0</v>
      </c>
      <c r="C11508" t="s">
        <v>17087</v>
      </c>
      <c r="D11508" t="s">
        <v>17088</v>
      </c>
      <c r="E11508" t="str">
        <f>"1110100030031"</f>
        <v>0</v>
      </c>
      <c r="F11508" t="str">
        <f>"003003"</f>
        <v>0</v>
      </c>
      <c r="G11508" t="s">
        <v>21</v>
      </c>
    </row>
    <row r="11509" spans="1:7">
      <c r="A11509">
        <v>11508</v>
      </c>
      <c r="B11509" t="str">
        <f>"022309"</f>
        <v>0</v>
      </c>
      <c r="C11509" t="s">
        <v>11723</v>
      </c>
      <c r="D11509" t="s">
        <v>17089</v>
      </c>
      <c r="E11509" t="str">
        <f>"3240800174341"</f>
        <v>0</v>
      </c>
      <c r="F11509" t="str">
        <f>"003003"</f>
        <v>0</v>
      </c>
      <c r="G11509" t="s">
        <v>21</v>
      </c>
    </row>
    <row r="11510" spans="1:7">
      <c r="A11510">
        <v>11509</v>
      </c>
      <c r="B11510" t="str">
        <f>"023911"</f>
        <v>0</v>
      </c>
      <c r="C11510" t="s">
        <v>1597</v>
      </c>
      <c r="D11510" t="s">
        <v>17090</v>
      </c>
      <c r="E11510" t="str">
        <f>"1709900285826"</f>
        <v>0</v>
      </c>
      <c r="F11510" t="str">
        <f>"003003"</f>
        <v>0</v>
      </c>
      <c r="G11510" t="s">
        <v>21</v>
      </c>
    </row>
    <row r="11511" spans="1:7">
      <c r="A11511">
        <v>11510</v>
      </c>
      <c r="B11511" t="str">
        <f>"016458"</f>
        <v>0</v>
      </c>
      <c r="C11511" t="s">
        <v>17091</v>
      </c>
      <c r="D11511" t="s">
        <v>17092</v>
      </c>
      <c r="E11511" t="str">
        <f>"3101800655910"</f>
        <v>0</v>
      </c>
      <c r="F11511" t="str">
        <f>"003003"</f>
        <v>0</v>
      </c>
      <c r="G11511" t="s">
        <v>21</v>
      </c>
    </row>
    <row r="11512" spans="1:7">
      <c r="A11512">
        <v>11511</v>
      </c>
      <c r="B11512" t="str">
        <f>"017622"</f>
        <v>0</v>
      </c>
      <c r="C11512" t="s">
        <v>587</v>
      </c>
      <c r="D11512" t="s">
        <v>4155</v>
      </c>
      <c r="E11512" t="str">
        <f>"3180400122565"</f>
        <v>0</v>
      </c>
      <c r="F11512" t="str">
        <f>"003003"</f>
        <v>0</v>
      </c>
      <c r="G11512" t="s">
        <v>21</v>
      </c>
    </row>
    <row r="11513" spans="1:7">
      <c r="A11513">
        <v>11512</v>
      </c>
      <c r="B11513" t="str">
        <f>"022266"</f>
        <v>0</v>
      </c>
      <c r="C11513" t="s">
        <v>17093</v>
      </c>
      <c r="D11513" t="s">
        <v>17094</v>
      </c>
      <c r="E11513" t="str">
        <f>"3460600404677"</f>
        <v>0</v>
      </c>
      <c r="F11513" t="str">
        <f>"003003"</f>
        <v>0</v>
      </c>
      <c r="G11513" t="s">
        <v>21</v>
      </c>
    </row>
    <row r="11514" spans="1:7">
      <c r="A11514">
        <v>11513</v>
      </c>
      <c r="B11514" t="str">
        <f>"025019"</f>
        <v>0</v>
      </c>
      <c r="C11514" t="s">
        <v>17095</v>
      </c>
      <c r="D11514" t="s">
        <v>17096</v>
      </c>
      <c r="E11514" t="str">
        <f>"3101402246874"</f>
        <v>0</v>
      </c>
      <c r="F11514" t="str">
        <f>"003003"</f>
        <v>0</v>
      </c>
      <c r="G11514" t="s">
        <v>21</v>
      </c>
    </row>
    <row r="11515" spans="1:7">
      <c r="A11515">
        <v>11514</v>
      </c>
      <c r="B11515" t="str">
        <f>"027293"</f>
        <v>0</v>
      </c>
      <c r="C11515" t="s">
        <v>17097</v>
      </c>
      <c r="D11515" t="s">
        <v>17098</v>
      </c>
      <c r="E11515" t="str">
        <f>"1529900125596"</f>
        <v>0</v>
      </c>
      <c r="F11515" t="str">
        <f>"003003"</f>
        <v>0</v>
      </c>
      <c r="G11515" t="s">
        <v>21</v>
      </c>
    </row>
    <row r="11516" spans="1:7">
      <c r="A11516">
        <v>11515</v>
      </c>
      <c r="B11516" t="str">
        <f>"024902"</f>
        <v>0</v>
      </c>
      <c r="C11516" t="s">
        <v>12876</v>
      </c>
      <c r="D11516" t="s">
        <v>6916</v>
      </c>
      <c r="E11516" t="str">
        <f>"3301800026180"</f>
        <v>0</v>
      </c>
      <c r="F11516" t="str">
        <f>"003003"</f>
        <v>0</v>
      </c>
      <c r="G11516" t="s">
        <v>21</v>
      </c>
    </row>
    <row r="11517" spans="1:7">
      <c r="A11517">
        <v>11516</v>
      </c>
      <c r="B11517" t="str">
        <f>"022638"</f>
        <v>0</v>
      </c>
      <c r="C11517" t="s">
        <v>17099</v>
      </c>
      <c r="D11517" t="s">
        <v>1144</v>
      </c>
      <c r="E11517" t="str">
        <f>"3409800094149"</f>
        <v>0</v>
      </c>
      <c r="F11517" t="str">
        <f>"003003"</f>
        <v>0</v>
      </c>
      <c r="G11517" t="s">
        <v>21</v>
      </c>
    </row>
    <row r="11518" spans="1:7">
      <c r="A11518">
        <v>11517</v>
      </c>
      <c r="B11518" t="str">
        <f>"024901"</f>
        <v>0</v>
      </c>
      <c r="C11518" t="s">
        <v>17100</v>
      </c>
      <c r="D11518" t="s">
        <v>17101</v>
      </c>
      <c r="E11518" t="str">
        <f>"3550900031069"</f>
        <v>0</v>
      </c>
      <c r="F11518" t="str">
        <f>"003003"</f>
        <v>0</v>
      </c>
      <c r="G11518" t="s">
        <v>21</v>
      </c>
    </row>
    <row r="11519" spans="1:7">
      <c r="A11519">
        <v>11518</v>
      </c>
      <c r="B11519" t="str">
        <f>"022637"</f>
        <v>0</v>
      </c>
      <c r="C11519" t="s">
        <v>2176</v>
      </c>
      <c r="D11519" t="s">
        <v>17102</v>
      </c>
      <c r="E11519" t="str">
        <f>"3840600275067"</f>
        <v>0</v>
      </c>
      <c r="F11519" t="str">
        <f>"003003"</f>
        <v>0</v>
      </c>
      <c r="G11519" t="s">
        <v>21</v>
      </c>
    </row>
    <row r="11520" spans="1:7">
      <c r="A11520">
        <v>11519</v>
      </c>
      <c r="B11520" t="str">
        <f>"020910"</f>
        <v>0</v>
      </c>
      <c r="C11520" t="s">
        <v>17103</v>
      </c>
      <c r="D11520" t="s">
        <v>17104</v>
      </c>
      <c r="E11520" t="str">
        <f>"3100201803881"</f>
        <v>0</v>
      </c>
      <c r="F11520" t="str">
        <f>"003003"</f>
        <v>0</v>
      </c>
      <c r="G11520" t="s">
        <v>21</v>
      </c>
    </row>
    <row r="11521" spans="1:7">
      <c r="A11521">
        <v>11520</v>
      </c>
      <c r="B11521" t="str">
        <f>"027428"</f>
        <v>0</v>
      </c>
      <c r="C11521" t="s">
        <v>17105</v>
      </c>
      <c r="D11521" t="s">
        <v>4867</v>
      </c>
      <c r="E11521" t="str">
        <f>"3350700075544"</f>
        <v>0</v>
      </c>
      <c r="F11521" t="str">
        <f>"003003"</f>
        <v>0</v>
      </c>
      <c r="G11521" t="s">
        <v>21</v>
      </c>
    </row>
    <row r="11522" spans="1:7">
      <c r="A11522">
        <v>11521</v>
      </c>
      <c r="B11522" t="str">
        <f>"020075"</f>
        <v>0</v>
      </c>
      <c r="C11522" t="s">
        <v>17106</v>
      </c>
      <c r="D11522" t="s">
        <v>17107</v>
      </c>
      <c r="E11522" t="str">
        <f>"3110200328933"</f>
        <v>0</v>
      </c>
      <c r="F11522" t="str">
        <f>"003003"</f>
        <v>0</v>
      </c>
      <c r="G11522" t="s">
        <v>21</v>
      </c>
    </row>
    <row r="11523" spans="1:7">
      <c r="A11523">
        <v>11522</v>
      </c>
      <c r="B11523" t="str">
        <f>"027284"</f>
        <v>0</v>
      </c>
      <c r="C11523" t="s">
        <v>17108</v>
      </c>
      <c r="D11523" t="s">
        <v>17109</v>
      </c>
      <c r="E11523" t="str">
        <f>"5509990020465"</f>
        <v>0</v>
      </c>
      <c r="F11523" t="str">
        <f>"003003"</f>
        <v>0</v>
      </c>
      <c r="G11523" t="s">
        <v>21</v>
      </c>
    </row>
    <row r="11524" spans="1:7">
      <c r="A11524">
        <v>11523</v>
      </c>
      <c r="B11524" t="str">
        <f>"022223"</f>
        <v>0</v>
      </c>
      <c r="C11524" t="s">
        <v>17110</v>
      </c>
      <c r="D11524" t="s">
        <v>17111</v>
      </c>
      <c r="E11524" t="str">
        <f>"3500500154937"</f>
        <v>0</v>
      </c>
      <c r="F11524" t="str">
        <f>"003003"</f>
        <v>0</v>
      </c>
      <c r="G11524" t="s">
        <v>21</v>
      </c>
    </row>
    <row r="11525" spans="1:7">
      <c r="A11525">
        <v>11524</v>
      </c>
      <c r="B11525" t="str">
        <f>"022374"</f>
        <v>0</v>
      </c>
      <c r="C11525" t="s">
        <v>17112</v>
      </c>
      <c r="D11525" t="s">
        <v>17113</v>
      </c>
      <c r="E11525" t="str">
        <f>"3540100673732"</f>
        <v>0</v>
      </c>
      <c r="F11525" t="str">
        <f>"003003"</f>
        <v>0</v>
      </c>
      <c r="G11525" t="s">
        <v>21</v>
      </c>
    </row>
    <row r="11526" spans="1:7">
      <c r="A11526">
        <v>11525</v>
      </c>
      <c r="B11526" t="str">
        <f>"014347"</f>
        <v>0</v>
      </c>
      <c r="C11526" t="s">
        <v>403</v>
      </c>
      <c r="D11526" t="s">
        <v>17114</v>
      </c>
      <c r="E11526" t="str">
        <f>"3301700077891"</f>
        <v>0</v>
      </c>
      <c r="F11526" t="str">
        <f>"003003"</f>
        <v>0</v>
      </c>
      <c r="G11526" t="s">
        <v>21</v>
      </c>
    </row>
    <row r="11527" spans="1:7">
      <c r="A11527">
        <v>11526</v>
      </c>
      <c r="B11527" t="str">
        <f>"014990"</f>
        <v>0</v>
      </c>
      <c r="C11527" t="s">
        <v>14200</v>
      </c>
      <c r="D11527" t="s">
        <v>17115</v>
      </c>
      <c r="E11527" t="str">
        <f>"3759900324666"</f>
        <v>0</v>
      </c>
      <c r="F11527" t="str">
        <f>"003003"</f>
        <v>0</v>
      </c>
      <c r="G11527" t="s">
        <v>21</v>
      </c>
    </row>
    <row r="11528" spans="1:7">
      <c r="A11528">
        <v>11527</v>
      </c>
      <c r="B11528" t="str">
        <f>"019710"</f>
        <v>0</v>
      </c>
      <c r="C11528" t="s">
        <v>160</v>
      </c>
      <c r="D11528" t="s">
        <v>4179</v>
      </c>
      <c r="E11528" t="str">
        <f>"3710100645672"</f>
        <v>0</v>
      </c>
      <c r="F11528" t="str">
        <f>"003003"</f>
        <v>0</v>
      </c>
      <c r="G11528" t="s">
        <v>21</v>
      </c>
    </row>
    <row r="11529" spans="1:7">
      <c r="A11529">
        <v>11528</v>
      </c>
      <c r="B11529" t="str">
        <f>"019809"</f>
        <v>0</v>
      </c>
      <c r="C11529" t="s">
        <v>3331</v>
      </c>
      <c r="D11529" t="s">
        <v>10755</v>
      </c>
      <c r="E11529" t="str">
        <f>"3710100288489"</f>
        <v>0</v>
      </c>
      <c r="F11529" t="str">
        <f>"003003"</f>
        <v>0</v>
      </c>
      <c r="G11529" t="s">
        <v>21</v>
      </c>
    </row>
    <row r="11530" spans="1:7">
      <c r="A11530">
        <v>11529</v>
      </c>
      <c r="B11530" t="str">
        <f>"021250"</f>
        <v>0</v>
      </c>
      <c r="C11530" t="s">
        <v>9780</v>
      </c>
      <c r="D11530" t="s">
        <v>6483</v>
      </c>
      <c r="E11530" t="str">
        <f>"3710100223689"</f>
        <v>0</v>
      </c>
      <c r="F11530" t="str">
        <f>"003003"</f>
        <v>0</v>
      </c>
      <c r="G11530" t="s">
        <v>21</v>
      </c>
    </row>
    <row r="11531" spans="1:7">
      <c r="A11531">
        <v>11530</v>
      </c>
      <c r="B11531" t="str">
        <f>"023790"</f>
        <v>0</v>
      </c>
      <c r="C11531" t="s">
        <v>12882</v>
      </c>
      <c r="D11531" t="s">
        <v>17116</v>
      </c>
      <c r="E11531" t="str">
        <f>"2710300025297"</f>
        <v>0</v>
      </c>
      <c r="F11531" t="str">
        <f>"003003"</f>
        <v>0</v>
      </c>
      <c r="G11531" t="s">
        <v>21</v>
      </c>
    </row>
    <row r="11532" spans="1:7">
      <c r="A11532">
        <v>11531</v>
      </c>
      <c r="B11532" t="str">
        <f>"018968"</f>
        <v>0</v>
      </c>
      <c r="C11532" t="s">
        <v>14624</v>
      </c>
      <c r="D11532" t="s">
        <v>17117</v>
      </c>
      <c r="E11532" t="str">
        <f>"5720300004031"</f>
        <v>0</v>
      </c>
      <c r="F11532" t="str">
        <f>"003003"</f>
        <v>0</v>
      </c>
      <c r="G11532" t="s">
        <v>21</v>
      </c>
    </row>
    <row r="11533" spans="1:7">
      <c r="A11533">
        <v>11532</v>
      </c>
      <c r="B11533" t="str">
        <f>"016323"</f>
        <v>0</v>
      </c>
      <c r="C11533" t="s">
        <v>17118</v>
      </c>
      <c r="D11533" t="s">
        <v>17119</v>
      </c>
      <c r="E11533" t="str">
        <f>"3709700081271"</f>
        <v>0</v>
      </c>
      <c r="F11533" t="str">
        <f>"003003"</f>
        <v>0</v>
      </c>
      <c r="G11533" t="s">
        <v>21</v>
      </c>
    </row>
    <row r="11534" spans="1:7">
      <c r="A11534">
        <v>11533</v>
      </c>
      <c r="B11534" t="str">
        <f>"014115"</f>
        <v>0</v>
      </c>
      <c r="C11534" t="s">
        <v>3812</v>
      </c>
      <c r="D11534" t="s">
        <v>17120</v>
      </c>
      <c r="E11534" t="str">
        <f>"3401600015973"</f>
        <v>0</v>
      </c>
      <c r="F11534" t="str">
        <f>"003003"</f>
        <v>0</v>
      </c>
      <c r="G11534" t="s">
        <v>21</v>
      </c>
    </row>
    <row r="11535" spans="1:7">
      <c r="A11535">
        <v>11534</v>
      </c>
      <c r="B11535" t="str">
        <f>"015214"</f>
        <v>0</v>
      </c>
      <c r="C11535" t="s">
        <v>2262</v>
      </c>
      <c r="D11535" t="s">
        <v>17121</v>
      </c>
      <c r="E11535" t="str">
        <f>"3440400334241"</f>
        <v>0</v>
      </c>
      <c r="F11535" t="str">
        <f>"003003"</f>
        <v>0</v>
      </c>
      <c r="G11535" t="s">
        <v>21</v>
      </c>
    </row>
    <row r="11536" spans="1:7">
      <c r="A11536">
        <v>11535</v>
      </c>
      <c r="B11536" t="str">
        <f>"015656"</f>
        <v>0</v>
      </c>
      <c r="C11536" t="s">
        <v>13647</v>
      </c>
      <c r="D11536" t="s">
        <v>17122</v>
      </c>
      <c r="E11536" t="str">
        <f>"3409700131042"</f>
        <v>0</v>
      </c>
      <c r="F11536" t="str">
        <f>"003003"</f>
        <v>0</v>
      </c>
      <c r="G11536" t="s">
        <v>21</v>
      </c>
    </row>
    <row r="11537" spans="1:7">
      <c r="A11537">
        <v>11536</v>
      </c>
      <c r="B11537" t="str">
        <f>"016756"</f>
        <v>0</v>
      </c>
      <c r="C11537" t="s">
        <v>13272</v>
      </c>
      <c r="D11537" t="s">
        <v>17123</v>
      </c>
      <c r="E11537" t="str">
        <f>"3400101235616"</f>
        <v>0</v>
      </c>
      <c r="F11537" t="str">
        <f>"003003"</f>
        <v>0</v>
      </c>
      <c r="G11537" t="s">
        <v>21</v>
      </c>
    </row>
    <row r="11538" spans="1:7">
      <c r="A11538">
        <v>11537</v>
      </c>
      <c r="B11538" t="str">
        <f>"017499"</f>
        <v>0</v>
      </c>
      <c r="C11538" t="s">
        <v>2078</v>
      </c>
      <c r="D11538" t="s">
        <v>17124</v>
      </c>
      <c r="E11538" t="str">
        <f>"3400101205181"</f>
        <v>0</v>
      </c>
      <c r="F11538" t="str">
        <f>"003003"</f>
        <v>0</v>
      </c>
      <c r="G11538" t="s">
        <v>21</v>
      </c>
    </row>
    <row r="11539" spans="1:7">
      <c r="A11539">
        <v>11538</v>
      </c>
      <c r="B11539" t="str">
        <f>"018246"</f>
        <v>0</v>
      </c>
      <c r="C11539" t="s">
        <v>5390</v>
      </c>
      <c r="D11539" t="s">
        <v>17125</v>
      </c>
      <c r="E11539" t="str">
        <f>"3440500699632"</f>
        <v>0</v>
      </c>
      <c r="F11539" t="str">
        <f>"003003"</f>
        <v>0</v>
      </c>
      <c r="G11539" t="s">
        <v>21</v>
      </c>
    </row>
    <row r="11540" spans="1:7">
      <c r="A11540">
        <v>11539</v>
      </c>
      <c r="B11540" t="str">
        <f>"018530"</f>
        <v>0</v>
      </c>
      <c r="C11540" t="s">
        <v>1543</v>
      </c>
      <c r="D11540" t="s">
        <v>17126</v>
      </c>
      <c r="E11540" t="str">
        <f>"3199900506760"</f>
        <v>0</v>
      </c>
      <c r="F11540" t="str">
        <f>"003003"</f>
        <v>0</v>
      </c>
      <c r="G11540" t="s">
        <v>21</v>
      </c>
    </row>
    <row r="11541" spans="1:7">
      <c r="A11541">
        <v>11540</v>
      </c>
      <c r="B11541" t="str">
        <f>"019716"</f>
        <v>0</v>
      </c>
      <c r="C11541" t="s">
        <v>3618</v>
      </c>
      <c r="D11541" t="s">
        <v>17127</v>
      </c>
      <c r="E11541" t="str">
        <f>"3439900071485"</f>
        <v>0</v>
      </c>
      <c r="F11541" t="str">
        <f>"003003"</f>
        <v>0</v>
      </c>
      <c r="G11541" t="s">
        <v>21</v>
      </c>
    </row>
    <row r="11542" spans="1:7">
      <c r="A11542">
        <v>11541</v>
      </c>
      <c r="B11542" t="str">
        <f>"019993"</f>
        <v>0</v>
      </c>
      <c r="C11542" t="s">
        <v>17128</v>
      </c>
      <c r="D11542" t="s">
        <v>17129</v>
      </c>
      <c r="E11542" t="str">
        <f>"3469900013281"</f>
        <v>0</v>
      </c>
      <c r="F11542" t="str">
        <f>"003003"</f>
        <v>0</v>
      </c>
      <c r="G11542" t="s">
        <v>21</v>
      </c>
    </row>
    <row r="11543" spans="1:7">
      <c r="A11543">
        <v>11542</v>
      </c>
      <c r="B11543" t="str">
        <f>"023142"</f>
        <v>0</v>
      </c>
      <c r="C11543" t="s">
        <v>17130</v>
      </c>
      <c r="D11543" t="s">
        <v>17131</v>
      </c>
      <c r="E11543" t="str">
        <f>"1449900018774"</f>
        <v>0</v>
      </c>
      <c r="F11543" t="str">
        <f>"003003"</f>
        <v>0</v>
      </c>
      <c r="G11543" t="s">
        <v>21</v>
      </c>
    </row>
    <row r="11544" spans="1:7">
      <c r="A11544">
        <v>11543</v>
      </c>
      <c r="B11544" t="str">
        <f>"015567"</f>
        <v>0</v>
      </c>
      <c r="C11544" t="s">
        <v>1699</v>
      </c>
      <c r="D11544" t="s">
        <v>17132</v>
      </c>
      <c r="E11544" t="str">
        <f>"3410400003768"</f>
        <v>0</v>
      </c>
      <c r="F11544" t="str">
        <f>"003003"</f>
        <v>0</v>
      </c>
      <c r="G11544" t="s">
        <v>21</v>
      </c>
    </row>
    <row r="11545" spans="1:7">
      <c r="A11545">
        <v>11544</v>
      </c>
      <c r="B11545" t="str">
        <f>"022221"</f>
        <v>0</v>
      </c>
      <c r="C11545" t="s">
        <v>16356</v>
      </c>
      <c r="D11545" t="s">
        <v>17133</v>
      </c>
      <c r="E11545" t="str">
        <f>"3460700655779"</f>
        <v>0</v>
      </c>
      <c r="F11545" t="str">
        <f>"003003"</f>
        <v>0</v>
      </c>
      <c r="G11545" t="s">
        <v>21</v>
      </c>
    </row>
    <row r="11546" spans="1:7">
      <c r="A11546">
        <v>11545</v>
      </c>
      <c r="B11546" t="str">
        <f>"017045"</f>
        <v>0</v>
      </c>
      <c r="C11546" t="s">
        <v>7249</v>
      </c>
      <c r="D11546" t="s">
        <v>17134</v>
      </c>
      <c r="E11546" t="str">
        <f>"3800101618244"</f>
        <v>0</v>
      </c>
      <c r="F11546" t="str">
        <f>"003003"</f>
        <v>0</v>
      </c>
      <c r="G11546" t="s">
        <v>21</v>
      </c>
    </row>
    <row r="11547" spans="1:7">
      <c r="A11547">
        <v>11546</v>
      </c>
      <c r="B11547" t="str">
        <f>"020782"</f>
        <v>0</v>
      </c>
      <c r="C11547" t="s">
        <v>1731</v>
      </c>
      <c r="D11547" t="s">
        <v>17135</v>
      </c>
      <c r="E11547" t="str">
        <f>"5401000040647"</f>
        <v>0</v>
      </c>
      <c r="F11547" t="str">
        <f>"003003"</f>
        <v>0</v>
      </c>
      <c r="G11547" t="s">
        <v>21</v>
      </c>
    </row>
    <row r="11548" spans="1:7">
      <c r="A11548">
        <v>11547</v>
      </c>
      <c r="B11548" t="str">
        <f>"022311"</f>
        <v>0</v>
      </c>
      <c r="C11548" t="s">
        <v>17136</v>
      </c>
      <c r="D11548" t="s">
        <v>17137</v>
      </c>
      <c r="E11548" t="str">
        <f>"3301201086959"</f>
        <v>0</v>
      </c>
      <c r="F11548" t="str">
        <f>"003003"</f>
        <v>0</v>
      </c>
      <c r="G11548" t="s">
        <v>21</v>
      </c>
    </row>
    <row r="11549" spans="1:7">
      <c r="A11549">
        <v>11548</v>
      </c>
      <c r="B11549" t="str">
        <f>"025494"</f>
        <v>0</v>
      </c>
      <c r="C11549" t="s">
        <v>17138</v>
      </c>
      <c r="D11549" t="s">
        <v>17139</v>
      </c>
      <c r="E11549" t="str">
        <f>"1309900523712"</f>
        <v>0</v>
      </c>
      <c r="F11549" t="str">
        <f>"003003"</f>
        <v>0</v>
      </c>
      <c r="G11549" t="s">
        <v>21</v>
      </c>
    </row>
    <row r="11550" spans="1:7">
      <c r="A11550">
        <v>11549</v>
      </c>
      <c r="B11550" t="str">
        <f>"008349"</f>
        <v>0</v>
      </c>
      <c r="C11550" t="s">
        <v>6289</v>
      </c>
      <c r="D11550" t="s">
        <v>17140</v>
      </c>
      <c r="E11550" t="str">
        <f>"3331200004657"</f>
        <v>0</v>
      </c>
      <c r="F11550" t="str">
        <f>"003003"</f>
        <v>0</v>
      </c>
      <c r="G11550" t="s">
        <v>21</v>
      </c>
    </row>
    <row r="11551" spans="1:7">
      <c r="A11551">
        <v>11550</v>
      </c>
      <c r="B11551" t="str">
        <f>"023623"</f>
        <v>0</v>
      </c>
      <c r="C11551" t="s">
        <v>17141</v>
      </c>
      <c r="D11551" t="s">
        <v>17142</v>
      </c>
      <c r="E11551" t="str">
        <f>"3440500693871"</f>
        <v>0</v>
      </c>
      <c r="F11551" t="str">
        <f>"003003"</f>
        <v>0</v>
      </c>
      <c r="G11551" t="s">
        <v>21</v>
      </c>
    </row>
    <row r="11552" spans="1:7">
      <c r="A11552">
        <v>11551</v>
      </c>
      <c r="B11552" t="str">
        <f>"023643"</f>
        <v>0</v>
      </c>
      <c r="C11552" t="s">
        <v>474</v>
      </c>
      <c r="D11552" t="s">
        <v>17143</v>
      </c>
      <c r="E11552" t="str">
        <f>"3400100365141"</f>
        <v>0</v>
      </c>
      <c r="F11552" t="str">
        <f>"003003"</f>
        <v>0</v>
      </c>
      <c r="G11552" t="s">
        <v>21</v>
      </c>
    </row>
    <row r="11553" spans="1:7">
      <c r="A11553">
        <v>11552</v>
      </c>
      <c r="B11553" t="str">
        <f>"022750"</f>
        <v>0</v>
      </c>
      <c r="C11553" t="s">
        <v>17144</v>
      </c>
      <c r="D11553" t="s">
        <v>6143</v>
      </c>
      <c r="E11553" t="str">
        <f>"1450800018995"</f>
        <v>0</v>
      </c>
      <c r="F11553" t="str">
        <f>"003003"</f>
        <v>0</v>
      </c>
      <c r="G11553" t="s">
        <v>21</v>
      </c>
    </row>
    <row r="11554" spans="1:7">
      <c r="A11554">
        <v>11553</v>
      </c>
      <c r="B11554" t="str">
        <f>"019186"</f>
        <v>0</v>
      </c>
      <c r="C11554" t="s">
        <v>17145</v>
      </c>
      <c r="D11554" t="s">
        <v>17146</v>
      </c>
      <c r="E11554" t="str">
        <f>"3460800367350"</f>
        <v>0</v>
      </c>
      <c r="F11554" t="str">
        <f>"003003"</f>
        <v>0</v>
      </c>
      <c r="G11554" t="s">
        <v>21</v>
      </c>
    </row>
    <row r="11555" spans="1:7">
      <c r="A11555">
        <v>11554</v>
      </c>
      <c r="B11555" t="str">
        <f>"022635"</f>
        <v>0</v>
      </c>
      <c r="C11555" t="s">
        <v>7104</v>
      </c>
      <c r="D11555" t="s">
        <v>17147</v>
      </c>
      <c r="E11555" t="str">
        <f>"1100400104234"</f>
        <v>0</v>
      </c>
      <c r="F11555" t="str">
        <f>"003003"</f>
        <v>0</v>
      </c>
      <c r="G11555" t="s">
        <v>21</v>
      </c>
    </row>
    <row r="11556" spans="1:7">
      <c r="A11556">
        <v>11555</v>
      </c>
      <c r="B11556" t="str">
        <f>"023463"</f>
        <v>0</v>
      </c>
      <c r="C11556" t="s">
        <v>17148</v>
      </c>
      <c r="D11556" t="s">
        <v>17149</v>
      </c>
      <c r="E11556" t="str">
        <f>"3190300185310"</f>
        <v>0</v>
      </c>
      <c r="F11556" t="str">
        <f>"003003"</f>
        <v>0</v>
      </c>
      <c r="G11556" t="s">
        <v>21</v>
      </c>
    </row>
    <row r="11557" spans="1:7">
      <c r="A11557">
        <v>11556</v>
      </c>
      <c r="B11557" t="str">
        <f>"022548"</f>
        <v>0</v>
      </c>
      <c r="C11557" t="s">
        <v>17150</v>
      </c>
      <c r="D11557" t="s">
        <v>17151</v>
      </c>
      <c r="E11557" t="str">
        <f>"3451100702670"</f>
        <v>0</v>
      </c>
      <c r="F11557" t="str">
        <f>"003003"</f>
        <v>0</v>
      </c>
      <c r="G11557" t="s">
        <v>21</v>
      </c>
    </row>
    <row r="11558" spans="1:7">
      <c r="A11558">
        <v>11557</v>
      </c>
      <c r="B11558" t="str">
        <f>"017167"</f>
        <v>0</v>
      </c>
      <c r="C11558" t="s">
        <v>17152</v>
      </c>
      <c r="D11558" t="s">
        <v>17153</v>
      </c>
      <c r="E11558" t="str">
        <f>"3400900711311"</f>
        <v>0</v>
      </c>
      <c r="F11558" t="str">
        <f>"003003"</f>
        <v>0</v>
      </c>
      <c r="G11558" t="s">
        <v>21</v>
      </c>
    </row>
    <row r="11559" spans="1:7">
      <c r="A11559">
        <v>11558</v>
      </c>
      <c r="B11559" t="str">
        <f>"023577"</f>
        <v>0</v>
      </c>
      <c r="C11559" t="s">
        <v>13985</v>
      </c>
      <c r="D11559" t="s">
        <v>17154</v>
      </c>
      <c r="E11559" t="str">
        <f>"1840600004199"</f>
        <v>0</v>
      </c>
      <c r="F11559" t="str">
        <f>"003003"</f>
        <v>0</v>
      </c>
      <c r="G11559" t="s">
        <v>21</v>
      </c>
    </row>
    <row r="11560" spans="1:7">
      <c r="A11560">
        <v>11559</v>
      </c>
      <c r="B11560" t="str">
        <f>"024433"</f>
        <v>0</v>
      </c>
      <c r="C11560" t="s">
        <v>17155</v>
      </c>
      <c r="D11560" t="s">
        <v>17156</v>
      </c>
      <c r="E11560" t="str">
        <f>"1849800057634"</f>
        <v>0</v>
      </c>
      <c r="F11560" t="str">
        <f>"003003"</f>
        <v>0</v>
      </c>
      <c r="G11560" t="s">
        <v>21</v>
      </c>
    </row>
    <row r="11561" spans="1:7">
      <c r="A11561">
        <v>11560</v>
      </c>
      <c r="B11561" t="str">
        <f>"027309"</f>
        <v>0</v>
      </c>
      <c r="C11561" t="s">
        <v>17157</v>
      </c>
      <c r="D11561" t="s">
        <v>17158</v>
      </c>
      <c r="E11561" t="str">
        <f>"1411700132070"</f>
        <v>0</v>
      </c>
      <c r="F11561" t="str">
        <f>"003003"</f>
        <v>0</v>
      </c>
      <c r="G11561" t="s">
        <v>21</v>
      </c>
    </row>
    <row r="11562" spans="1:7">
      <c r="A11562">
        <v>11561</v>
      </c>
      <c r="B11562" t="str">
        <f>"019485"</f>
        <v>0</v>
      </c>
      <c r="C11562" t="s">
        <v>12243</v>
      </c>
      <c r="D11562" t="s">
        <v>17159</v>
      </c>
      <c r="E11562" t="str">
        <f>"3860100438633"</f>
        <v>0</v>
      </c>
      <c r="F11562" t="str">
        <f>"003003"</f>
        <v>0</v>
      </c>
      <c r="G11562" t="s">
        <v>21</v>
      </c>
    </row>
    <row r="11563" spans="1:7">
      <c r="A11563">
        <v>11562</v>
      </c>
      <c r="B11563" t="str">
        <f>"020653"</f>
        <v>0</v>
      </c>
      <c r="C11563" t="s">
        <v>2848</v>
      </c>
      <c r="D11563" t="s">
        <v>17160</v>
      </c>
      <c r="E11563" t="str">
        <f>"3860200284395"</f>
        <v>0</v>
      </c>
      <c r="F11563" t="str">
        <f>"003003"</f>
        <v>0</v>
      </c>
      <c r="G11563" t="s">
        <v>21</v>
      </c>
    </row>
    <row r="11564" spans="1:7">
      <c r="A11564">
        <v>11563</v>
      </c>
      <c r="B11564" t="str">
        <f>"023949"</f>
        <v>0</v>
      </c>
      <c r="C11564" t="s">
        <v>17161</v>
      </c>
      <c r="D11564" t="s">
        <v>17162</v>
      </c>
      <c r="E11564" t="str">
        <f>"1860200043952"</f>
        <v>0</v>
      </c>
      <c r="F11564" t="str">
        <f>"003003"</f>
        <v>0</v>
      </c>
      <c r="G11564" t="s">
        <v>21</v>
      </c>
    </row>
    <row r="11565" spans="1:7">
      <c r="A11565">
        <v>11564</v>
      </c>
      <c r="B11565" t="str">
        <f>"023950"</f>
        <v>0</v>
      </c>
      <c r="C11565" t="s">
        <v>5549</v>
      </c>
      <c r="D11565" t="s">
        <v>3094</v>
      </c>
      <c r="E11565" t="str">
        <f>"3860200090647"</f>
        <v>0</v>
      </c>
      <c r="F11565" t="str">
        <f>"003003"</f>
        <v>0</v>
      </c>
      <c r="G11565" t="s">
        <v>21</v>
      </c>
    </row>
    <row r="11566" spans="1:7">
      <c r="A11566">
        <v>11565</v>
      </c>
      <c r="B11566" t="str">
        <f>"025540"</f>
        <v>0</v>
      </c>
      <c r="C11566" t="s">
        <v>17163</v>
      </c>
      <c r="D11566" t="s">
        <v>17164</v>
      </c>
      <c r="E11566" t="str">
        <f>"3860200292835"</f>
        <v>0</v>
      </c>
      <c r="F11566" t="str">
        <f>"003003"</f>
        <v>0</v>
      </c>
      <c r="G11566" t="s">
        <v>21</v>
      </c>
    </row>
    <row r="11567" spans="1:7">
      <c r="A11567">
        <v>11566</v>
      </c>
      <c r="B11567" t="str">
        <f>"027288"</f>
        <v>0</v>
      </c>
      <c r="C11567" t="s">
        <v>17165</v>
      </c>
      <c r="D11567" t="s">
        <v>17166</v>
      </c>
      <c r="E11567" t="str">
        <f>"1549900346380"</f>
        <v>0</v>
      </c>
      <c r="F11567" t="str">
        <f>"003003"</f>
        <v>0</v>
      </c>
      <c r="G11567" t="s">
        <v>21</v>
      </c>
    </row>
    <row r="11568" spans="1:7">
      <c r="A11568">
        <v>11567</v>
      </c>
      <c r="B11568" t="str">
        <f>"022267"</f>
        <v>0</v>
      </c>
      <c r="C11568" t="s">
        <v>17167</v>
      </c>
      <c r="D11568" t="s">
        <v>17168</v>
      </c>
      <c r="E11568" t="str">
        <f>"3501500219207"</f>
        <v>0</v>
      </c>
      <c r="F11568" t="str">
        <f>"003003"</f>
        <v>0</v>
      </c>
      <c r="G11568" t="s">
        <v>21</v>
      </c>
    </row>
    <row r="11569" spans="1:7">
      <c r="A11569">
        <v>11568</v>
      </c>
      <c r="B11569" t="str">
        <f>"022376"</f>
        <v>0</v>
      </c>
      <c r="C11569" t="s">
        <v>17169</v>
      </c>
      <c r="D11569" t="s">
        <v>17170</v>
      </c>
      <c r="E11569" t="str">
        <f>"3639800141625"</f>
        <v>0</v>
      </c>
      <c r="F11569" t="str">
        <f>"003003"</f>
        <v>0</v>
      </c>
      <c r="G11569" t="s">
        <v>21</v>
      </c>
    </row>
    <row r="11570" spans="1:7">
      <c r="A11570">
        <v>11569</v>
      </c>
      <c r="B11570" t="str">
        <f>"023291"</f>
        <v>0</v>
      </c>
      <c r="C11570" t="s">
        <v>17171</v>
      </c>
      <c r="D11570" t="s">
        <v>17172</v>
      </c>
      <c r="E11570" t="str">
        <f>"3501200589351"</f>
        <v>0</v>
      </c>
      <c r="F11570" t="str">
        <f>"003003"</f>
        <v>0</v>
      </c>
      <c r="G11570" t="s">
        <v>21</v>
      </c>
    </row>
    <row r="11571" spans="1:7">
      <c r="A11571">
        <v>11570</v>
      </c>
      <c r="B11571" t="str">
        <f>"025804"</f>
        <v>0</v>
      </c>
      <c r="C11571" t="s">
        <v>9024</v>
      </c>
      <c r="D11571" t="s">
        <v>17173</v>
      </c>
      <c r="E11571" t="str">
        <f>"3510300041063"</f>
        <v>0</v>
      </c>
      <c r="F11571" t="str">
        <f>"003003"</f>
        <v>0</v>
      </c>
      <c r="G11571" t="s">
        <v>21</v>
      </c>
    </row>
    <row r="11572" spans="1:7">
      <c r="A11572">
        <v>11571</v>
      </c>
      <c r="B11572" t="str">
        <f>"027429"</f>
        <v>0</v>
      </c>
      <c r="C11572" t="s">
        <v>17174</v>
      </c>
      <c r="D11572" t="s">
        <v>17175</v>
      </c>
      <c r="E11572" t="str">
        <f>"1160100165815"</f>
        <v>0</v>
      </c>
      <c r="F11572" t="str">
        <f>"003003"</f>
        <v>0</v>
      </c>
      <c r="G11572" t="s">
        <v>21</v>
      </c>
    </row>
    <row r="11573" spans="1:7">
      <c r="A11573">
        <v>11572</v>
      </c>
      <c r="B11573" t="str">
        <f>"027430"</f>
        <v>0</v>
      </c>
      <c r="C11573" t="s">
        <v>17176</v>
      </c>
      <c r="D11573" t="s">
        <v>9357</v>
      </c>
      <c r="E11573" t="str">
        <f>"3501900500451"</f>
        <v>0</v>
      </c>
      <c r="F11573" t="str">
        <f>"003003"</f>
        <v>0</v>
      </c>
      <c r="G11573" t="s">
        <v>21</v>
      </c>
    </row>
    <row r="11574" spans="1:7">
      <c r="A11574">
        <v>11573</v>
      </c>
      <c r="B11574" t="str">
        <f>"008283"</f>
        <v>0</v>
      </c>
      <c r="C11574" t="s">
        <v>17177</v>
      </c>
      <c r="D11574" t="s">
        <v>17178</v>
      </c>
      <c r="E11574" t="str">
        <f>"3540100244513"</f>
        <v>0</v>
      </c>
      <c r="F11574" t="str">
        <f>"003003"</f>
        <v>0</v>
      </c>
      <c r="G11574" t="s">
        <v>21</v>
      </c>
    </row>
    <row r="11575" spans="1:7">
      <c r="A11575">
        <v>11574</v>
      </c>
      <c r="B11575" t="str">
        <f>"022596"</f>
        <v>0</v>
      </c>
      <c r="C11575" t="s">
        <v>17179</v>
      </c>
      <c r="D11575" t="s">
        <v>17180</v>
      </c>
      <c r="E11575" t="str">
        <f>"3521100020594"</f>
        <v>0</v>
      </c>
      <c r="F11575" t="str">
        <f>"003003"</f>
        <v>0</v>
      </c>
      <c r="G11575" t="s">
        <v>21</v>
      </c>
    </row>
    <row r="11576" spans="1:7">
      <c r="A11576">
        <v>11575</v>
      </c>
      <c r="B11576" t="str">
        <f>"017650"</f>
        <v>0</v>
      </c>
      <c r="C11576" t="s">
        <v>3823</v>
      </c>
      <c r="D11576" t="s">
        <v>15754</v>
      </c>
      <c r="E11576" t="str">
        <f>"3320200055307"</f>
        <v>0</v>
      </c>
      <c r="F11576" t="str">
        <f>"003003"</f>
        <v>0</v>
      </c>
      <c r="G11576" t="s">
        <v>21</v>
      </c>
    </row>
    <row r="11577" spans="1:7">
      <c r="A11577">
        <v>11576</v>
      </c>
      <c r="B11577" t="str">
        <f>"022854"</f>
        <v>0</v>
      </c>
      <c r="C11577" t="s">
        <v>6417</v>
      </c>
      <c r="D11577" t="s">
        <v>17181</v>
      </c>
      <c r="E11577" t="str">
        <f>"3560200093703"</f>
        <v>0</v>
      </c>
      <c r="F11577" t="str">
        <f>"003003"</f>
        <v>0</v>
      </c>
      <c r="G11577" t="s">
        <v>21</v>
      </c>
    </row>
    <row r="11578" spans="1:7">
      <c r="A11578">
        <v>11577</v>
      </c>
      <c r="B11578" t="str">
        <f>"022377"</f>
        <v>0</v>
      </c>
      <c r="C11578" t="s">
        <v>17182</v>
      </c>
      <c r="D11578" t="s">
        <v>17183</v>
      </c>
      <c r="E11578" t="str">
        <f>"1629900085682"</f>
        <v>0</v>
      </c>
      <c r="F11578" t="str">
        <f>"003003"</f>
        <v>0</v>
      </c>
      <c r="G11578" t="s">
        <v>21</v>
      </c>
    </row>
    <row r="11579" spans="1:7">
      <c r="A11579">
        <v>11578</v>
      </c>
      <c r="B11579" t="str">
        <f>"027042"</f>
        <v>0</v>
      </c>
      <c r="C11579" t="s">
        <v>5029</v>
      </c>
      <c r="D11579" t="s">
        <v>17184</v>
      </c>
      <c r="E11579" t="str">
        <f>"4630100003157"</f>
        <v>0</v>
      </c>
      <c r="F11579" t="str">
        <f>"003003"</f>
        <v>0</v>
      </c>
      <c r="G11579" t="s">
        <v>21</v>
      </c>
    </row>
    <row r="11580" spans="1:7">
      <c r="A11580">
        <v>11579</v>
      </c>
      <c r="B11580" t="str">
        <f>"027057"</f>
        <v>0</v>
      </c>
      <c r="C11580" t="s">
        <v>17185</v>
      </c>
      <c r="D11580" t="s">
        <v>17186</v>
      </c>
      <c r="E11580" t="str">
        <f>"1530400056589"</f>
        <v>0</v>
      </c>
      <c r="F11580" t="str">
        <f>"003003"</f>
        <v>0</v>
      </c>
      <c r="G11580" t="s">
        <v>21</v>
      </c>
    </row>
    <row r="11581" spans="1:7">
      <c r="A11581">
        <v>11580</v>
      </c>
      <c r="B11581" t="str">
        <f>"018941"</f>
        <v>0</v>
      </c>
      <c r="C11581" t="s">
        <v>17187</v>
      </c>
      <c r="D11581" t="s">
        <v>17188</v>
      </c>
      <c r="E11581" t="str">
        <f>"3300101070715"</f>
        <v>0</v>
      </c>
      <c r="F11581" t="str">
        <f>"003003"</f>
        <v>0</v>
      </c>
      <c r="G11581" t="s">
        <v>21</v>
      </c>
    </row>
    <row r="11582" spans="1:7">
      <c r="A11582">
        <v>11581</v>
      </c>
      <c r="B11582" t="str">
        <f>"022346"</f>
        <v>0</v>
      </c>
      <c r="C11582" t="s">
        <v>17189</v>
      </c>
      <c r="D11582" t="s">
        <v>17190</v>
      </c>
      <c r="E11582" t="str">
        <f>"3301000489649"</f>
        <v>0</v>
      </c>
      <c r="F11582" t="str">
        <f>"003003"</f>
        <v>0</v>
      </c>
      <c r="G11582" t="s">
        <v>21</v>
      </c>
    </row>
    <row r="11583" spans="1:7">
      <c r="A11583">
        <v>11582</v>
      </c>
      <c r="B11583" t="str">
        <f>"023539"</f>
        <v>0</v>
      </c>
      <c r="C11583" t="s">
        <v>17191</v>
      </c>
      <c r="D11583" t="s">
        <v>17192</v>
      </c>
      <c r="E11583" t="str">
        <f>"3301900156867"</f>
        <v>0</v>
      </c>
      <c r="F11583" t="str">
        <f>"003003"</f>
        <v>0</v>
      </c>
      <c r="G11583" t="s">
        <v>21</v>
      </c>
    </row>
    <row r="11584" spans="1:7">
      <c r="A11584">
        <v>11583</v>
      </c>
      <c r="B11584" t="str">
        <f>"026621"</f>
        <v>0</v>
      </c>
      <c r="C11584" t="s">
        <v>15060</v>
      </c>
      <c r="D11584" t="s">
        <v>17193</v>
      </c>
      <c r="E11584" t="str">
        <f>"3300101269651"</f>
        <v>0</v>
      </c>
      <c r="F11584" t="str">
        <f>"003003"</f>
        <v>0</v>
      </c>
      <c r="G11584" t="s">
        <v>21</v>
      </c>
    </row>
    <row r="11585" spans="1:7">
      <c r="A11585">
        <v>11584</v>
      </c>
      <c r="B11585" t="str">
        <f>"027033"</f>
        <v>0</v>
      </c>
      <c r="C11585" t="s">
        <v>16142</v>
      </c>
      <c r="D11585" t="s">
        <v>17194</v>
      </c>
      <c r="E11585" t="str">
        <f>"3309901855138"</f>
        <v>0</v>
      </c>
      <c r="F11585" t="str">
        <f>"003003"</f>
        <v>0</v>
      </c>
      <c r="G11585" t="s">
        <v>21</v>
      </c>
    </row>
    <row r="11586" spans="1:7">
      <c r="A11586">
        <v>11585</v>
      </c>
      <c r="B11586" t="str">
        <f>"010573"</f>
        <v>0</v>
      </c>
      <c r="C11586" t="s">
        <v>239</v>
      </c>
      <c r="D11586" t="s">
        <v>17195</v>
      </c>
      <c r="E11586" t="str">
        <f>"3329900326662"</f>
        <v>0</v>
      </c>
      <c r="F11586" t="str">
        <f>"003003"</f>
        <v>0</v>
      </c>
      <c r="G11586" t="s">
        <v>21</v>
      </c>
    </row>
    <row r="11587" spans="1:7">
      <c r="A11587">
        <v>11586</v>
      </c>
      <c r="B11587" t="str">
        <f>"020503"</f>
        <v>0</v>
      </c>
      <c r="C11587" t="s">
        <v>435</v>
      </c>
      <c r="D11587" t="s">
        <v>17196</v>
      </c>
      <c r="E11587" t="str">
        <f>"5320390017998"</f>
        <v>0</v>
      </c>
      <c r="F11587" t="str">
        <f>"003003"</f>
        <v>0</v>
      </c>
      <c r="G11587" t="s">
        <v>21</v>
      </c>
    </row>
    <row r="11588" spans="1:7">
      <c r="A11588">
        <v>11587</v>
      </c>
      <c r="B11588" t="str">
        <f>"008073"</f>
        <v>0</v>
      </c>
      <c r="C11588" t="s">
        <v>3014</v>
      </c>
      <c r="D11588" t="s">
        <v>17197</v>
      </c>
      <c r="E11588" t="str">
        <f>"3160101116440"</f>
        <v>0</v>
      </c>
      <c r="F11588" t="str">
        <f>"003003"</f>
        <v>0</v>
      </c>
      <c r="G11588" t="s">
        <v>21</v>
      </c>
    </row>
    <row r="11589" spans="1:7">
      <c r="A11589">
        <v>11588</v>
      </c>
      <c r="B11589" t="str">
        <f>"011943"</f>
        <v>0</v>
      </c>
      <c r="C11589" t="s">
        <v>802</v>
      </c>
      <c r="D11589" t="s">
        <v>17198</v>
      </c>
      <c r="E11589" t="str">
        <f>"3300700490282"</f>
        <v>0</v>
      </c>
      <c r="F11589" t="str">
        <f>"003003"</f>
        <v>0</v>
      </c>
      <c r="G11589" t="s">
        <v>21</v>
      </c>
    </row>
    <row r="11590" spans="1:7">
      <c r="A11590">
        <v>11589</v>
      </c>
      <c r="B11590" t="str">
        <f>"011971"</f>
        <v>0</v>
      </c>
      <c r="C11590" t="s">
        <v>4779</v>
      </c>
      <c r="D11590" t="s">
        <v>17198</v>
      </c>
      <c r="E11590" t="str">
        <f>"3300700490304"</f>
        <v>0</v>
      </c>
      <c r="F11590" t="str">
        <f>"003003"</f>
        <v>0</v>
      </c>
      <c r="G11590" t="s">
        <v>21</v>
      </c>
    </row>
    <row r="11591" spans="1:7">
      <c r="A11591">
        <v>11590</v>
      </c>
      <c r="B11591" t="str">
        <f>"015277"</f>
        <v>0</v>
      </c>
      <c r="C11591" t="s">
        <v>2208</v>
      </c>
      <c r="D11591" t="s">
        <v>17199</v>
      </c>
      <c r="E11591" t="str">
        <f>"3460600120288"</f>
        <v>0</v>
      </c>
      <c r="F11591" t="str">
        <f>"003003"</f>
        <v>0</v>
      </c>
      <c r="G11591" t="s">
        <v>21</v>
      </c>
    </row>
    <row r="11592" spans="1:7">
      <c r="A11592">
        <v>11591</v>
      </c>
      <c r="B11592" t="str">
        <f>"015278"</f>
        <v>0</v>
      </c>
      <c r="C11592" t="s">
        <v>17200</v>
      </c>
      <c r="D11592" t="s">
        <v>17201</v>
      </c>
      <c r="E11592" t="str">
        <f>"3300700487206"</f>
        <v>0</v>
      </c>
      <c r="F11592" t="str">
        <f>"003003"</f>
        <v>0</v>
      </c>
      <c r="G11592" t="s">
        <v>21</v>
      </c>
    </row>
    <row r="11593" spans="1:7">
      <c r="A11593">
        <v>11592</v>
      </c>
      <c r="B11593" t="str">
        <f>"015280"</f>
        <v>0</v>
      </c>
      <c r="C11593" t="s">
        <v>1341</v>
      </c>
      <c r="D11593" t="s">
        <v>17202</v>
      </c>
      <c r="E11593" t="str">
        <f>"3300700487648"</f>
        <v>0</v>
      </c>
      <c r="F11593" t="str">
        <f>"003003"</f>
        <v>0</v>
      </c>
      <c r="G11593" t="s">
        <v>21</v>
      </c>
    </row>
    <row r="11594" spans="1:7">
      <c r="A11594">
        <v>11593</v>
      </c>
      <c r="B11594" t="str">
        <f>"015283"</f>
        <v>0</v>
      </c>
      <c r="C11594" t="s">
        <v>5732</v>
      </c>
      <c r="D11594" t="s">
        <v>17203</v>
      </c>
      <c r="E11594" t="str">
        <f>"3300700493826"</f>
        <v>0</v>
      </c>
      <c r="F11594" t="str">
        <f>"003003"</f>
        <v>0</v>
      </c>
      <c r="G11594" t="s">
        <v>21</v>
      </c>
    </row>
    <row r="11595" spans="1:7">
      <c r="A11595">
        <v>11594</v>
      </c>
      <c r="B11595" t="str">
        <f>"016159"</f>
        <v>0</v>
      </c>
      <c r="C11595" t="s">
        <v>17204</v>
      </c>
      <c r="D11595" t="s">
        <v>17205</v>
      </c>
      <c r="E11595" t="str">
        <f>"3300700490738"</f>
        <v>0</v>
      </c>
      <c r="F11595" t="str">
        <f>"003003"</f>
        <v>0</v>
      </c>
      <c r="G11595" t="s">
        <v>21</v>
      </c>
    </row>
    <row r="11596" spans="1:7">
      <c r="A11596">
        <v>11595</v>
      </c>
      <c r="B11596" t="str">
        <f>"018113"</f>
        <v>0</v>
      </c>
      <c r="C11596" t="s">
        <v>17206</v>
      </c>
      <c r="D11596" t="s">
        <v>426</v>
      </c>
      <c r="E11596" t="str">
        <f>"3300700297491"</f>
        <v>0</v>
      </c>
      <c r="F11596" t="str">
        <f>"003003"</f>
        <v>0</v>
      </c>
      <c r="G11596" t="s">
        <v>21</v>
      </c>
    </row>
    <row r="11597" spans="1:7">
      <c r="A11597">
        <v>11596</v>
      </c>
      <c r="B11597" t="str">
        <f>"018785"</f>
        <v>0</v>
      </c>
      <c r="C11597" t="s">
        <v>12643</v>
      </c>
      <c r="D11597" t="s">
        <v>17199</v>
      </c>
      <c r="E11597" t="str">
        <f>"3460600120270"</f>
        <v>0</v>
      </c>
      <c r="F11597" t="str">
        <f>"003003"</f>
        <v>0</v>
      </c>
      <c r="G11597" t="s">
        <v>21</v>
      </c>
    </row>
    <row r="11598" spans="1:7">
      <c r="A11598">
        <v>11597</v>
      </c>
      <c r="B11598" t="str">
        <f>"022345"</f>
        <v>0</v>
      </c>
      <c r="C11598" t="s">
        <v>17207</v>
      </c>
      <c r="D11598" t="s">
        <v>17208</v>
      </c>
      <c r="E11598" t="str">
        <f>"5301400030721"</f>
        <v>0</v>
      </c>
      <c r="F11598" t="str">
        <f>"003003"</f>
        <v>0</v>
      </c>
      <c r="G11598" t="s">
        <v>21</v>
      </c>
    </row>
    <row r="11599" spans="1:7">
      <c r="A11599">
        <v>11598</v>
      </c>
      <c r="B11599" t="str">
        <f>"022347"</f>
        <v>0</v>
      </c>
      <c r="C11599" t="s">
        <v>17209</v>
      </c>
      <c r="D11599" t="s">
        <v>17210</v>
      </c>
      <c r="E11599" t="str">
        <f>"3301800090996"</f>
        <v>0</v>
      </c>
      <c r="F11599" t="str">
        <f>"003003"</f>
        <v>0</v>
      </c>
      <c r="G11599" t="s">
        <v>21</v>
      </c>
    </row>
    <row r="11600" spans="1:7">
      <c r="A11600">
        <v>11599</v>
      </c>
      <c r="B11600" t="str">
        <f>"023952"</f>
        <v>0</v>
      </c>
      <c r="C11600" t="s">
        <v>17211</v>
      </c>
      <c r="D11600" t="s">
        <v>17212</v>
      </c>
      <c r="E11600" t="str">
        <f>"3300700437268"</f>
        <v>0</v>
      </c>
      <c r="F11600" t="str">
        <f>"003003"</f>
        <v>0</v>
      </c>
      <c r="G11600" t="s">
        <v>21</v>
      </c>
    </row>
    <row r="11601" spans="1:7">
      <c r="A11601">
        <v>11600</v>
      </c>
      <c r="B11601" t="str">
        <f>"027486"</f>
        <v>0</v>
      </c>
      <c r="C11601" t="s">
        <v>11727</v>
      </c>
      <c r="D11601" t="s">
        <v>17213</v>
      </c>
      <c r="E11601" t="str">
        <f>"5300100054984"</f>
        <v>0</v>
      </c>
      <c r="F11601" t="str">
        <f>"003003"</f>
        <v>0</v>
      </c>
      <c r="G11601" t="s">
        <v>21</v>
      </c>
    </row>
    <row r="11602" spans="1:7">
      <c r="A11602">
        <v>11601</v>
      </c>
      <c r="B11602" t="str">
        <f>"026977"</f>
        <v>0</v>
      </c>
      <c r="C11602" t="s">
        <v>4934</v>
      </c>
      <c r="D11602" t="s">
        <v>17214</v>
      </c>
      <c r="E11602" t="str">
        <f>"1400400124241"</f>
        <v>0</v>
      </c>
      <c r="F11602" t="str">
        <f>"003003"</f>
        <v>0</v>
      </c>
      <c r="G11602" t="s">
        <v>21</v>
      </c>
    </row>
    <row r="11603" spans="1:7">
      <c r="A11603">
        <v>11602</v>
      </c>
      <c r="B11603" t="str">
        <f>"012226"</f>
        <v>0</v>
      </c>
      <c r="C11603" t="s">
        <v>26</v>
      </c>
      <c r="D11603" t="s">
        <v>8050</v>
      </c>
      <c r="E11603" t="str">
        <f>"3559900045157"</f>
        <v>0</v>
      </c>
      <c r="F11603" t="str">
        <f>"003003"</f>
        <v>0</v>
      </c>
      <c r="G11603" t="s">
        <v>21</v>
      </c>
    </row>
    <row r="11604" spans="1:7">
      <c r="A11604">
        <v>11603</v>
      </c>
      <c r="B11604" t="str">
        <f>"019189"</f>
        <v>0</v>
      </c>
      <c r="C11604" t="s">
        <v>14060</v>
      </c>
      <c r="D11604" t="s">
        <v>8058</v>
      </c>
      <c r="E11604" t="str">
        <f>"3550100478018"</f>
        <v>0</v>
      </c>
      <c r="F11604" t="str">
        <f>"003003"</f>
        <v>0</v>
      </c>
      <c r="G11604" t="s">
        <v>21</v>
      </c>
    </row>
    <row r="11605" spans="1:7">
      <c r="A11605">
        <v>11604</v>
      </c>
      <c r="B11605" t="str">
        <f>"021582"</f>
        <v>0</v>
      </c>
      <c r="C11605" t="s">
        <v>17215</v>
      </c>
      <c r="D11605" t="s">
        <v>17216</v>
      </c>
      <c r="E11605" t="str">
        <f>"3550700302727"</f>
        <v>0</v>
      </c>
      <c r="F11605" t="str">
        <f>"003003"</f>
        <v>0</v>
      </c>
      <c r="G11605" t="s">
        <v>21</v>
      </c>
    </row>
    <row r="11606" spans="1:7">
      <c r="A11606">
        <v>11605</v>
      </c>
      <c r="B11606" t="str">
        <f>"022378"</f>
        <v>0</v>
      </c>
      <c r="C11606" t="s">
        <v>17217</v>
      </c>
      <c r="D11606" t="s">
        <v>17218</v>
      </c>
      <c r="E11606" t="str">
        <f>"3550100478468"</f>
        <v>0</v>
      </c>
      <c r="F11606" t="str">
        <f>"003003"</f>
        <v>0</v>
      </c>
      <c r="G11606" t="s">
        <v>21</v>
      </c>
    </row>
    <row r="11607" spans="1:7">
      <c r="A11607">
        <v>11606</v>
      </c>
      <c r="B11607" t="str">
        <f>"022824"</f>
        <v>0</v>
      </c>
      <c r="C11607" t="s">
        <v>12085</v>
      </c>
      <c r="D11607" t="s">
        <v>11905</v>
      </c>
      <c r="E11607" t="str">
        <f>"1550100006284"</f>
        <v>0</v>
      </c>
      <c r="F11607" t="str">
        <f>"003003"</f>
        <v>0</v>
      </c>
      <c r="G11607" t="s">
        <v>21</v>
      </c>
    </row>
    <row r="11608" spans="1:7">
      <c r="A11608">
        <v>11607</v>
      </c>
      <c r="B11608" t="str">
        <f>"023516"</f>
        <v>0</v>
      </c>
      <c r="C11608" t="s">
        <v>11856</v>
      </c>
      <c r="D11608" t="s">
        <v>9951</v>
      </c>
      <c r="E11608" t="str">
        <f>"5930600020803"</f>
        <v>0</v>
      </c>
      <c r="F11608" t="str">
        <f>"003003"</f>
        <v>0</v>
      </c>
      <c r="G11608" t="s">
        <v>21</v>
      </c>
    </row>
    <row r="11609" spans="1:7">
      <c r="A11609">
        <v>11608</v>
      </c>
      <c r="B11609" t="str">
        <f>"025391"</f>
        <v>0</v>
      </c>
      <c r="C11609" t="s">
        <v>17219</v>
      </c>
      <c r="D11609" t="s">
        <v>17220</v>
      </c>
      <c r="E11609" t="str">
        <f>"3550600324915"</f>
        <v>0</v>
      </c>
      <c r="F11609" t="str">
        <f>"003003"</f>
        <v>0</v>
      </c>
      <c r="G11609" t="s">
        <v>21</v>
      </c>
    </row>
    <row r="11610" spans="1:7">
      <c r="A11610">
        <v>11609</v>
      </c>
      <c r="B11610" t="str">
        <f>"025541"</f>
        <v>0</v>
      </c>
      <c r="C11610" t="s">
        <v>17221</v>
      </c>
      <c r="D11610" t="s">
        <v>14270</v>
      </c>
      <c r="E11610" t="str">
        <f>"1560200008017"</f>
        <v>0</v>
      </c>
      <c r="F11610" t="str">
        <f>"003003"</f>
        <v>0</v>
      </c>
      <c r="G11610" t="s">
        <v>21</v>
      </c>
    </row>
    <row r="11611" spans="1:7">
      <c r="A11611">
        <v>11610</v>
      </c>
      <c r="B11611" t="str">
        <f>"026978"</f>
        <v>0</v>
      </c>
      <c r="C11611" t="s">
        <v>17222</v>
      </c>
      <c r="D11611" t="s">
        <v>8050</v>
      </c>
      <c r="E11611" t="str">
        <f>"1559900237254"</f>
        <v>0</v>
      </c>
      <c r="F11611" t="str">
        <f>"003003"</f>
        <v>0</v>
      </c>
      <c r="G11611" t="s">
        <v>21</v>
      </c>
    </row>
    <row r="11612" spans="1:7">
      <c r="A11612">
        <v>11611</v>
      </c>
      <c r="B11612" t="str">
        <f>"012992"</f>
        <v>0</v>
      </c>
      <c r="C11612" t="s">
        <v>239</v>
      </c>
      <c r="D11612" t="s">
        <v>17223</v>
      </c>
      <c r="E11612" t="str">
        <f>"3160400260062"</f>
        <v>0</v>
      </c>
      <c r="F11612" t="str">
        <f>"003003"</f>
        <v>0</v>
      </c>
      <c r="G11612" t="s">
        <v>21</v>
      </c>
    </row>
    <row r="11613" spans="1:7">
      <c r="A11613">
        <v>11612</v>
      </c>
      <c r="B11613" t="str">
        <f>"022838"</f>
        <v>0</v>
      </c>
      <c r="C11613" t="s">
        <v>17224</v>
      </c>
      <c r="D11613" t="s">
        <v>17225</v>
      </c>
      <c r="E11613" t="str">
        <f>"3930700086681"</f>
        <v>0</v>
      </c>
      <c r="F11613" t="str">
        <f>"003003"</f>
        <v>0</v>
      </c>
      <c r="G11613" t="s">
        <v>21</v>
      </c>
    </row>
    <row r="11614" spans="1:7">
      <c r="A11614">
        <v>11613</v>
      </c>
      <c r="B11614" t="str">
        <f>"023243"</f>
        <v>0</v>
      </c>
      <c r="C11614" t="s">
        <v>17226</v>
      </c>
      <c r="D11614" t="s">
        <v>17227</v>
      </c>
      <c r="E11614" t="str">
        <f>"3961100403449"</f>
        <v>0</v>
      </c>
      <c r="F11614" t="str">
        <f>"003003"</f>
        <v>0</v>
      </c>
      <c r="G11614" t="s">
        <v>21</v>
      </c>
    </row>
    <row r="11615" spans="1:7">
      <c r="A11615">
        <v>11614</v>
      </c>
      <c r="B11615" t="str">
        <f>"025079"</f>
        <v>0</v>
      </c>
      <c r="C11615" t="s">
        <v>10517</v>
      </c>
      <c r="D11615" t="s">
        <v>17228</v>
      </c>
      <c r="E11615" t="str">
        <f>"3900100101981"</f>
        <v>0</v>
      </c>
      <c r="F11615" t="str">
        <f>"003003"</f>
        <v>0</v>
      </c>
      <c r="G11615" t="s">
        <v>21</v>
      </c>
    </row>
    <row r="11616" spans="1:7">
      <c r="A11616">
        <v>11615</v>
      </c>
      <c r="B11616" t="str">
        <f>"012265"</f>
        <v>0</v>
      </c>
      <c r="C11616" t="s">
        <v>17229</v>
      </c>
      <c r="D11616" t="s">
        <v>2924</v>
      </c>
      <c r="E11616" t="str">
        <f>"3401000557201"</f>
        <v>0</v>
      </c>
      <c r="F11616" t="str">
        <f>"003003"</f>
        <v>0</v>
      </c>
      <c r="G11616" t="s">
        <v>21</v>
      </c>
    </row>
    <row r="11617" spans="1:7">
      <c r="A11617">
        <v>11616</v>
      </c>
      <c r="B11617" t="str">
        <f>"013381"</f>
        <v>0</v>
      </c>
      <c r="C11617" t="s">
        <v>6301</v>
      </c>
      <c r="D11617" t="s">
        <v>17230</v>
      </c>
      <c r="E11617" t="str">
        <f>"3310400945501"</f>
        <v>0</v>
      </c>
      <c r="F11617" t="str">
        <f>"003003"</f>
        <v>0</v>
      </c>
      <c r="G11617" t="s">
        <v>21</v>
      </c>
    </row>
    <row r="11618" spans="1:7">
      <c r="A11618">
        <v>11617</v>
      </c>
      <c r="B11618" t="str">
        <f>"014771"</f>
        <v>0</v>
      </c>
      <c r="C11618" t="s">
        <v>4225</v>
      </c>
      <c r="D11618" t="s">
        <v>17231</v>
      </c>
      <c r="E11618" t="str">
        <f>"3310400012211"</f>
        <v>0</v>
      </c>
      <c r="F11618" t="str">
        <f>"003003"</f>
        <v>0</v>
      </c>
      <c r="G11618" t="s">
        <v>21</v>
      </c>
    </row>
    <row r="11619" spans="1:7">
      <c r="A11619">
        <v>11618</v>
      </c>
      <c r="B11619" t="str">
        <f>"015223"</f>
        <v>0</v>
      </c>
      <c r="C11619" t="s">
        <v>17232</v>
      </c>
      <c r="D11619" t="s">
        <v>17233</v>
      </c>
      <c r="E11619" t="str">
        <f>"3700100899771"</f>
        <v>0</v>
      </c>
      <c r="F11619" t="str">
        <f>"003003"</f>
        <v>0</v>
      </c>
      <c r="G11619" t="s">
        <v>21</v>
      </c>
    </row>
    <row r="11620" spans="1:7">
      <c r="A11620">
        <v>11619</v>
      </c>
      <c r="B11620" t="str">
        <f>"015226"</f>
        <v>0</v>
      </c>
      <c r="C11620" t="s">
        <v>520</v>
      </c>
      <c r="D11620" t="s">
        <v>17234</v>
      </c>
      <c r="E11620" t="str">
        <f>"3101600279299"</f>
        <v>0</v>
      </c>
      <c r="F11620" t="str">
        <f>"003003"</f>
        <v>0</v>
      </c>
      <c r="G11620" t="s">
        <v>21</v>
      </c>
    </row>
    <row r="11621" spans="1:7">
      <c r="A11621">
        <v>11620</v>
      </c>
      <c r="B11621" t="str">
        <f>"015229"</f>
        <v>0</v>
      </c>
      <c r="C11621" t="s">
        <v>2014</v>
      </c>
      <c r="D11621" t="s">
        <v>17235</v>
      </c>
      <c r="E11621" t="str">
        <f>"3310400091897"</f>
        <v>0</v>
      </c>
      <c r="F11621" t="str">
        <f>"003003"</f>
        <v>0</v>
      </c>
      <c r="G11621" t="s">
        <v>21</v>
      </c>
    </row>
    <row r="11622" spans="1:7">
      <c r="A11622">
        <v>11621</v>
      </c>
      <c r="B11622" t="str">
        <f>"015899"</f>
        <v>0</v>
      </c>
      <c r="C11622" t="s">
        <v>17236</v>
      </c>
      <c r="D11622" t="s">
        <v>17237</v>
      </c>
      <c r="E11622" t="str">
        <f>"3310400135797"</f>
        <v>0</v>
      </c>
      <c r="F11622" t="str">
        <f>"003003"</f>
        <v>0</v>
      </c>
      <c r="G11622" t="s">
        <v>21</v>
      </c>
    </row>
    <row r="11623" spans="1:7">
      <c r="A11623">
        <v>11622</v>
      </c>
      <c r="B11623" t="str">
        <f>"016267"</f>
        <v>0</v>
      </c>
      <c r="C11623" t="s">
        <v>590</v>
      </c>
      <c r="D11623" t="s">
        <v>17238</v>
      </c>
      <c r="E11623" t="str">
        <f>"3310400321205"</f>
        <v>0</v>
      </c>
      <c r="F11623" t="str">
        <f>"003003"</f>
        <v>0</v>
      </c>
      <c r="G11623" t="s">
        <v>21</v>
      </c>
    </row>
    <row r="11624" spans="1:7">
      <c r="A11624">
        <v>11623</v>
      </c>
      <c r="B11624" t="str">
        <f>"016871"</f>
        <v>0</v>
      </c>
      <c r="C11624" t="s">
        <v>17239</v>
      </c>
      <c r="D11624" t="s">
        <v>17240</v>
      </c>
      <c r="E11624" t="str">
        <f>"3310400446849"</f>
        <v>0</v>
      </c>
      <c r="F11624" t="str">
        <f>"003003"</f>
        <v>0</v>
      </c>
      <c r="G11624" t="s">
        <v>21</v>
      </c>
    </row>
    <row r="11625" spans="1:7">
      <c r="A11625">
        <v>11624</v>
      </c>
      <c r="B11625" t="str">
        <f>"016872"</f>
        <v>0</v>
      </c>
      <c r="C11625" t="s">
        <v>17241</v>
      </c>
      <c r="D11625" t="s">
        <v>17242</v>
      </c>
      <c r="E11625" t="str">
        <f>"3240600364057"</f>
        <v>0</v>
      </c>
      <c r="F11625" t="str">
        <f>"003003"</f>
        <v>0</v>
      </c>
      <c r="G11625" t="s">
        <v>21</v>
      </c>
    </row>
    <row r="11626" spans="1:7">
      <c r="A11626">
        <v>11625</v>
      </c>
      <c r="B11626" t="str">
        <f>"018190"</f>
        <v>0</v>
      </c>
      <c r="C11626" t="s">
        <v>12052</v>
      </c>
      <c r="D11626" t="s">
        <v>17235</v>
      </c>
      <c r="E11626" t="str">
        <f>"3310400139458"</f>
        <v>0</v>
      </c>
      <c r="F11626" t="str">
        <f>"003003"</f>
        <v>0</v>
      </c>
      <c r="G11626" t="s">
        <v>21</v>
      </c>
    </row>
    <row r="11627" spans="1:7">
      <c r="A11627">
        <v>11626</v>
      </c>
      <c r="B11627" t="str">
        <f>"018233"</f>
        <v>0</v>
      </c>
      <c r="C11627" t="s">
        <v>3894</v>
      </c>
      <c r="D11627" t="s">
        <v>17243</v>
      </c>
      <c r="E11627" t="str">
        <f>"3310400136505"</f>
        <v>0</v>
      </c>
      <c r="F11627" t="str">
        <f>"003003"</f>
        <v>0</v>
      </c>
      <c r="G11627" t="s">
        <v>21</v>
      </c>
    </row>
    <row r="11628" spans="1:7">
      <c r="A11628">
        <v>11627</v>
      </c>
      <c r="B11628" t="str">
        <f>"018885"</f>
        <v>0</v>
      </c>
      <c r="C11628" t="s">
        <v>5962</v>
      </c>
      <c r="D11628" t="s">
        <v>17038</v>
      </c>
      <c r="E11628" t="str">
        <f>"3310401078304"</f>
        <v>0</v>
      </c>
      <c r="F11628" t="str">
        <f>"003003"</f>
        <v>0</v>
      </c>
      <c r="G11628" t="s">
        <v>21</v>
      </c>
    </row>
    <row r="11629" spans="1:7">
      <c r="A11629">
        <v>11628</v>
      </c>
      <c r="B11629" t="str">
        <f>"021869"</f>
        <v>0</v>
      </c>
      <c r="C11629" t="s">
        <v>458</v>
      </c>
      <c r="D11629" t="s">
        <v>17244</v>
      </c>
      <c r="E11629" t="str">
        <f>"3419900773609"</f>
        <v>0</v>
      </c>
      <c r="F11629" t="str">
        <f>"003003"</f>
        <v>0</v>
      </c>
      <c r="G11629" t="s">
        <v>21</v>
      </c>
    </row>
    <row r="11630" spans="1:7">
      <c r="A11630">
        <v>11629</v>
      </c>
      <c r="B11630" t="str">
        <f>"022796"</f>
        <v>0</v>
      </c>
      <c r="C11630" t="s">
        <v>17245</v>
      </c>
      <c r="D11630" t="s">
        <v>17246</v>
      </c>
      <c r="E11630" t="str">
        <f>"3311100110978"</f>
        <v>0</v>
      </c>
      <c r="F11630" t="str">
        <f>"003003"</f>
        <v>0</v>
      </c>
      <c r="G11630" t="s">
        <v>21</v>
      </c>
    </row>
    <row r="11631" spans="1:7">
      <c r="A11631">
        <v>11630</v>
      </c>
      <c r="B11631" t="str">
        <f>"025020"</f>
        <v>0</v>
      </c>
      <c r="C11631" t="s">
        <v>17247</v>
      </c>
      <c r="D11631" t="s">
        <v>17248</v>
      </c>
      <c r="E11631" t="str">
        <f>"3311300253110"</f>
        <v>0</v>
      </c>
      <c r="F11631" t="str">
        <f>"003003"</f>
        <v>0</v>
      </c>
      <c r="G11631" t="s">
        <v>21</v>
      </c>
    </row>
    <row r="11632" spans="1:7">
      <c r="A11632">
        <v>11631</v>
      </c>
      <c r="B11632" t="str">
        <f>"012802"</f>
        <v>0</v>
      </c>
      <c r="C11632" t="s">
        <v>17249</v>
      </c>
      <c r="D11632" t="s">
        <v>17250</v>
      </c>
      <c r="E11632" t="str">
        <f>"3411600068449"</f>
        <v>0</v>
      </c>
      <c r="F11632" t="str">
        <f>"003003"</f>
        <v>0</v>
      </c>
      <c r="G11632" t="s">
        <v>21</v>
      </c>
    </row>
    <row r="11633" spans="1:7">
      <c r="A11633">
        <v>11632</v>
      </c>
      <c r="B11633" t="str">
        <f>"018927"</f>
        <v>0</v>
      </c>
      <c r="C11633" t="s">
        <v>4607</v>
      </c>
      <c r="D11633" t="s">
        <v>17251</v>
      </c>
      <c r="E11633" t="str">
        <f>"3530800122607"</f>
        <v>0</v>
      </c>
      <c r="F11633" t="str">
        <f>"003003"</f>
        <v>0</v>
      </c>
      <c r="G11633" t="s">
        <v>21</v>
      </c>
    </row>
    <row r="11634" spans="1:7">
      <c r="A11634">
        <v>11633</v>
      </c>
      <c r="B11634" t="str">
        <f>"021539"</f>
        <v>0</v>
      </c>
      <c r="C11634" t="s">
        <v>850</v>
      </c>
      <c r="D11634" t="s">
        <v>17252</v>
      </c>
      <c r="E11634" t="str">
        <f>"3530100287280"</f>
        <v>0</v>
      </c>
      <c r="F11634" t="str">
        <f>"003003"</f>
        <v>0</v>
      </c>
      <c r="G11634" t="s">
        <v>21</v>
      </c>
    </row>
    <row r="11635" spans="1:7">
      <c r="A11635">
        <v>11634</v>
      </c>
      <c r="B11635" t="str">
        <f>"021598"</f>
        <v>0</v>
      </c>
      <c r="C11635" t="s">
        <v>17253</v>
      </c>
      <c r="D11635" t="s">
        <v>17254</v>
      </c>
      <c r="E11635" t="str">
        <f>"3540200347365"</f>
        <v>0</v>
      </c>
      <c r="F11635" t="str">
        <f>"003003"</f>
        <v>0</v>
      </c>
      <c r="G11635" t="s">
        <v>21</v>
      </c>
    </row>
    <row r="11636" spans="1:7">
      <c r="A11636">
        <v>11635</v>
      </c>
      <c r="B11636" t="str">
        <f>"022464"</f>
        <v>0</v>
      </c>
      <c r="C11636" t="s">
        <v>17255</v>
      </c>
      <c r="D11636" t="s">
        <v>17256</v>
      </c>
      <c r="E11636" t="str">
        <f>"1549900006902"</f>
        <v>0</v>
      </c>
      <c r="F11636" t="str">
        <f>"003003"</f>
        <v>0</v>
      </c>
      <c r="G11636" t="s">
        <v>21</v>
      </c>
    </row>
    <row r="11637" spans="1:7">
      <c r="A11637">
        <v>11636</v>
      </c>
      <c r="B11637" t="str">
        <f>"023644"</f>
        <v>0</v>
      </c>
      <c r="C11637" t="s">
        <v>17257</v>
      </c>
      <c r="D11637" t="s">
        <v>9044</v>
      </c>
      <c r="E11637" t="str">
        <f>"3540500078874"</f>
        <v>0</v>
      </c>
      <c r="F11637" t="str">
        <f>"003003"</f>
        <v>0</v>
      </c>
      <c r="G11637" t="s">
        <v>21</v>
      </c>
    </row>
    <row r="11638" spans="1:7">
      <c r="A11638">
        <v>11637</v>
      </c>
      <c r="B11638" t="str">
        <f>"024906"</f>
        <v>0</v>
      </c>
      <c r="C11638" t="s">
        <v>17258</v>
      </c>
      <c r="D11638" t="s">
        <v>17259</v>
      </c>
      <c r="E11638" t="str">
        <f>"1549900021677"</f>
        <v>0</v>
      </c>
      <c r="F11638" t="str">
        <f>"003003"</f>
        <v>0</v>
      </c>
      <c r="G11638" t="s">
        <v>21</v>
      </c>
    </row>
    <row r="11639" spans="1:7">
      <c r="A11639">
        <v>11638</v>
      </c>
      <c r="B11639" t="str">
        <f>"021030"</f>
        <v>0</v>
      </c>
      <c r="C11639" t="s">
        <v>17260</v>
      </c>
      <c r="D11639" t="s">
        <v>17261</v>
      </c>
      <c r="E11639" t="str">
        <f>"3550600197565"</f>
        <v>0</v>
      </c>
      <c r="F11639" t="str">
        <f>"003003"</f>
        <v>0</v>
      </c>
      <c r="G11639" t="s">
        <v>21</v>
      </c>
    </row>
    <row r="11640" spans="1:7">
      <c r="A11640">
        <v>11639</v>
      </c>
      <c r="B11640" t="str">
        <f>"022222"</f>
        <v>0</v>
      </c>
      <c r="C11640" t="s">
        <v>17262</v>
      </c>
      <c r="D11640" t="s">
        <v>17263</v>
      </c>
      <c r="E11640" t="str">
        <f>"2560100012690"</f>
        <v>0</v>
      </c>
      <c r="F11640" t="str">
        <f>"003003"</f>
        <v>0</v>
      </c>
      <c r="G11640" t="s">
        <v>21</v>
      </c>
    </row>
    <row r="11641" spans="1:7">
      <c r="A11641">
        <v>11640</v>
      </c>
      <c r="B11641" t="str">
        <f>"022595"</f>
        <v>0</v>
      </c>
      <c r="C11641" t="s">
        <v>17264</v>
      </c>
      <c r="D11641" t="s">
        <v>17265</v>
      </c>
      <c r="E11641" t="str">
        <f>"3300200315007"</f>
        <v>0</v>
      </c>
      <c r="F11641" t="str">
        <f>"003003"</f>
        <v>0</v>
      </c>
      <c r="G11641" t="s">
        <v>21</v>
      </c>
    </row>
    <row r="11642" spans="1:7">
      <c r="A11642">
        <v>11641</v>
      </c>
      <c r="B11642" t="str">
        <f>"012227"</f>
        <v>0</v>
      </c>
      <c r="C11642" t="s">
        <v>5191</v>
      </c>
      <c r="D11642" t="s">
        <v>8234</v>
      </c>
      <c r="E11642" t="str">
        <f>"5550500038402"</f>
        <v>0</v>
      </c>
      <c r="F11642" t="str">
        <f>"003003"</f>
        <v>0</v>
      </c>
      <c r="G11642" t="s">
        <v>21</v>
      </c>
    </row>
    <row r="11643" spans="1:7">
      <c r="A11643">
        <v>11642</v>
      </c>
      <c r="B11643" t="str">
        <f>"022538"</f>
        <v>0</v>
      </c>
      <c r="C11643" t="s">
        <v>17266</v>
      </c>
      <c r="D11643" t="s">
        <v>17267</v>
      </c>
      <c r="E11643" t="str">
        <f>"3640100175791"</f>
        <v>0</v>
      </c>
      <c r="F11643" t="str">
        <f>"003003"</f>
        <v>0</v>
      </c>
      <c r="G11643" t="s">
        <v>21</v>
      </c>
    </row>
    <row r="11644" spans="1:7">
      <c r="A11644">
        <v>11643</v>
      </c>
      <c r="B11644" t="str">
        <f>"023900"</f>
        <v>0</v>
      </c>
      <c r="C11644" t="s">
        <v>9527</v>
      </c>
      <c r="D11644" t="s">
        <v>17268</v>
      </c>
      <c r="E11644" t="str">
        <f>"3540400602571"</f>
        <v>0</v>
      </c>
      <c r="F11644" t="str">
        <f>"003003"</f>
        <v>0</v>
      </c>
      <c r="G11644" t="s">
        <v>21</v>
      </c>
    </row>
    <row r="11645" spans="1:7">
      <c r="A11645">
        <v>11644</v>
      </c>
      <c r="B11645" t="str">
        <f>"025367"</f>
        <v>0</v>
      </c>
      <c r="C11645" t="s">
        <v>2638</v>
      </c>
      <c r="D11645" t="s">
        <v>17269</v>
      </c>
      <c r="E11645" t="str">
        <f>"1600100040066"</f>
        <v>0</v>
      </c>
      <c r="F11645" t="str">
        <f>"003003"</f>
        <v>0</v>
      </c>
      <c r="G11645" t="s">
        <v>21</v>
      </c>
    </row>
    <row r="11646" spans="1:7">
      <c r="A11646">
        <v>11645</v>
      </c>
      <c r="B11646" t="str">
        <f>"027034"</f>
        <v>0</v>
      </c>
      <c r="C11646" t="s">
        <v>624</v>
      </c>
      <c r="D11646" t="s">
        <v>17270</v>
      </c>
      <c r="E11646" t="str">
        <f>"3540100578446"</f>
        <v>0</v>
      </c>
      <c r="F11646" t="str">
        <f>"003003"</f>
        <v>0</v>
      </c>
      <c r="G11646" t="s">
        <v>21</v>
      </c>
    </row>
    <row r="11647" spans="1:7">
      <c r="A11647">
        <v>11646</v>
      </c>
      <c r="B11647" t="str">
        <f>"027495"</f>
        <v>0</v>
      </c>
      <c r="C11647" t="s">
        <v>1204</v>
      </c>
      <c r="D11647" t="s">
        <v>17271</v>
      </c>
      <c r="E11647" t="str">
        <f>"1509901012906"</f>
        <v>0</v>
      </c>
      <c r="F11647" t="str">
        <f>"003003"</f>
        <v>0</v>
      </c>
      <c r="G11647" t="s">
        <v>21</v>
      </c>
    </row>
    <row r="11648" spans="1:7">
      <c r="A11648">
        <v>11647</v>
      </c>
      <c r="B11648" t="str">
        <f>"022783"</f>
        <v>0</v>
      </c>
      <c r="C11648" t="s">
        <v>15809</v>
      </c>
      <c r="D11648" t="s">
        <v>17272</v>
      </c>
      <c r="E11648" t="str">
        <f>"3620100455831"</f>
        <v>0</v>
      </c>
      <c r="F11648" t="str">
        <f>"003003"</f>
        <v>0</v>
      </c>
      <c r="G11648" t="s">
        <v>21</v>
      </c>
    </row>
    <row r="11649" spans="1:7">
      <c r="A11649">
        <v>11648</v>
      </c>
      <c r="B11649" t="str">
        <f>"015553"</f>
        <v>0</v>
      </c>
      <c r="C11649" t="s">
        <v>4026</v>
      </c>
      <c r="D11649" t="s">
        <v>11864</v>
      </c>
      <c r="E11649" t="str">
        <f>"3350100019384"</f>
        <v>0</v>
      </c>
      <c r="F11649" t="str">
        <f>"003003"</f>
        <v>0</v>
      </c>
      <c r="G11649" t="s">
        <v>21</v>
      </c>
    </row>
    <row r="11650" spans="1:7">
      <c r="A11650">
        <v>11649</v>
      </c>
      <c r="B11650" t="str">
        <f>"023488"</f>
        <v>0</v>
      </c>
      <c r="C11650" t="s">
        <v>17273</v>
      </c>
      <c r="D11650" t="s">
        <v>17274</v>
      </c>
      <c r="E11650" t="str">
        <f>"3400100784691"</f>
        <v>0</v>
      </c>
      <c r="F11650" t="str">
        <f>"003003"</f>
        <v>0</v>
      </c>
      <c r="G11650" t="s">
        <v>21</v>
      </c>
    </row>
    <row r="11651" spans="1:7">
      <c r="A11651">
        <v>11650</v>
      </c>
      <c r="B11651" t="str">
        <f>"020754"</f>
        <v>0</v>
      </c>
      <c r="C11651" t="s">
        <v>13106</v>
      </c>
      <c r="D11651" t="s">
        <v>17275</v>
      </c>
      <c r="E11651" t="str">
        <f>"3440600215360"</f>
        <v>0</v>
      </c>
      <c r="F11651" t="str">
        <f>"003003"</f>
        <v>0</v>
      </c>
      <c r="G11651" t="s">
        <v>21</v>
      </c>
    </row>
    <row r="11652" spans="1:7">
      <c r="A11652">
        <v>11651</v>
      </c>
      <c r="B11652" t="str">
        <f>"022268"</f>
        <v>0</v>
      </c>
      <c r="C11652" t="s">
        <v>17276</v>
      </c>
      <c r="D11652" t="s">
        <v>17277</v>
      </c>
      <c r="E11652" t="str">
        <f>"3441000253733"</f>
        <v>0</v>
      </c>
      <c r="F11652" t="str">
        <f>"003003"</f>
        <v>0</v>
      </c>
      <c r="G11652" t="s">
        <v>21</v>
      </c>
    </row>
    <row r="11653" spans="1:7">
      <c r="A11653">
        <v>11652</v>
      </c>
      <c r="B11653" t="str">
        <f>"014887"</f>
        <v>0</v>
      </c>
      <c r="C11653" t="s">
        <v>9692</v>
      </c>
      <c r="D11653" t="s">
        <v>17278</v>
      </c>
      <c r="E11653" t="str">
        <f>"3450101382902"</f>
        <v>0</v>
      </c>
      <c r="F11653" t="str">
        <f>"003003"</f>
        <v>0</v>
      </c>
      <c r="G11653" t="s">
        <v>21</v>
      </c>
    </row>
    <row r="11654" spans="1:7">
      <c r="A11654">
        <v>11653</v>
      </c>
      <c r="B11654" t="str">
        <f>"015512"</f>
        <v>0</v>
      </c>
      <c r="C11654" t="s">
        <v>17279</v>
      </c>
      <c r="D11654" t="s">
        <v>17280</v>
      </c>
      <c r="E11654" t="str">
        <f>"3100600295161"</f>
        <v>0</v>
      </c>
      <c r="F11654" t="str">
        <f>"003003"</f>
        <v>0</v>
      </c>
      <c r="G11654" t="s">
        <v>21</v>
      </c>
    </row>
    <row r="11655" spans="1:7">
      <c r="A11655">
        <v>11654</v>
      </c>
      <c r="B11655" t="str">
        <f>"015513"</f>
        <v>0</v>
      </c>
      <c r="C11655" t="s">
        <v>1849</v>
      </c>
      <c r="D11655" t="s">
        <v>17281</v>
      </c>
      <c r="E11655" t="str">
        <f>"3300100976150"</f>
        <v>0</v>
      </c>
      <c r="F11655" t="str">
        <f>"003003"</f>
        <v>0</v>
      </c>
      <c r="G11655" t="s">
        <v>21</v>
      </c>
    </row>
    <row r="11656" spans="1:7">
      <c r="A11656">
        <v>11655</v>
      </c>
      <c r="B11656" t="str">
        <f>"015896"</f>
        <v>0</v>
      </c>
      <c r="C11656" t="s">
        <v>1949</v>
      </c>
      <c r="D11656" t="s">
        <v>13294</v>
      </c>
      <c r="E11656" t="str">
        <f>"3451000029183"</f>
        <v>0</v>
      </c>
      <c r="F11656" t="str">
        <f>"003003"</f>
        <v>0</v>
      </c>
      <c r="G11656" t="s">
        <v>21</v>
      </c>
    </row>
    <row r="11657" spans="1:7">
      <c r="A11657">
        <v>11656</v>
      </c>
      <c r="B11657" t="str">
        <f>"015897"</f>
        <v>0</v>
      </c>
      <c r="C11657" t="s">
        <v>4465</v>
      </c>
      <c r="D11657" t="s">
        <v>17282</v>
      </c>
      <c r="E11657" t="str">
        <f>"3450101195690"</f>
        <v>0</v>
      </c>
      <c r="F11657" t="str">
        <f>"003003"</f>
        <v>0</v>
      </c>
      <c r="G11657" t="s">
        <v>21</v>
      </c>
    </row>
    <row r="11658" spans="1:7">
      <c r="A11658">
        <v>11657</v>
      </c>
      <c r="B11658" t="str">
        <f>"015900"</f>
        <v>0</v>
      </c>
      <c r="C11658" t="s">
        <v>5772</v>
      </c>
      <c r="D11658" t="s">
        <v>17283</v>
      </c>
      <c r="E11658" t="str">
        <f>"3300101630206"</f>
        <v>0</v>
      </c>
      <c r="F11658" t="str">
        <f>"003003"</f>
        <v>0</v>
      </c>
      <c r="G11658" t="s">
        <v>21</v>
      </c>
    </row>
    <row r="11659" spans="1:7">
      <c r="A11659">
        <v>11658</v>
      </c>
      <c r="B11659" t="str">
        <f>"015902"</f>
        <v>0</v>
      </c>
      <c r="C11659" t="s">
        <v>17284</v>
      </c>
      <c r="D11659" t="s">
        <v>17285</v>
      </c>
      <c r="E11659" t="str">
        <f>"3459900286180"</f>
        <v>0</v>
      </c>
      <c r="F11659" t="str">
        <f>"003003"</f>
        <v>0</v>
      </c>
      <c r="G11659" t="s">
        <v>21</v>
      </c>
    </row>
    <row r="11660" spans="1:7">
      <c r="A11660">
        <v>11659</v>
      </c>
      <c r="B11660" t="str">
        <f>"015903"</f>
        <v>0</v>
      </c>
      <c r="C11660" t="s">
        <v>3090</v>
      </c>
      <c r="D11660" t="s">
        <v>17286</v>
      </c>
      <c r="E11660" t="str">
        <f>"3300101647958"</f>
        <v>0</v>
      </c>
      <c r="F11660" t="str">
        <f>"003003"</f>
        <v>0</v>
      </c>
      <c r="G11660" t="s">
        <v>21</v>
      </c>
    </row>
    <row r="11661" spans="1:7">
      <c r="A11661">
        <v>11660</v>
      </c>
      <c r="B11661" t="str">
        <f>"016339"</f>
        <v>0</v>
      </c>
      <c r="C11661" t="s">
        <v>2241</v>
      </c>
      <c r="D11661" t="s">
        <v>17287</v>
      </c>
      <c r="E11661" t="str">
        <f>"5411990008833"</f>
        <v>0</v>
      </c>
      <c r="F11661" t="str">
        <f>"003003"</f>
        <v>0</v>
      </c>
      <c r="G11661" t="s">
        <v>21</v>
      </c>
    </row>
    <row r="11662" spans="1:7">
      <c r="A11662">
        <v>11661</v>
      </c>
      <c r="B11662" t="str">
        <f>"019157"</f>
        <v>0</v>
      </c>
      <c r="C11662" t="s">
        <v>391</v>
      </c>
      <c r="D11662" t="s">
        <v>11421</v>
      </c>
      <c r="E11662" t="str">
        <f>"3450500964760"</f>
        <v>0</v>
      </c>
      <c r="F11662" t="str">
        <f>"003003"</f>
        <v>0</v>
      </c>
      <c r="G11662" t="s">
        <v>21</v>
      </c>
    </row>
    <row r="11663" spans="1:7">
      <c r="A11663">
        <v>11662</v>
      </c>
      <c r="B11663" t="str">
        <f>"019894"</f>
        <v>0</v>
      </c>
      <c r="C11663" t="s">
        <v>5693</v>
      </c>
      <c r="D11663" t="s">
        <v>17288</v>
      </c>
      <c r="E11663" t="str">
        <f>"3450500309761"</f>
        <v>0</v>
      </c>
      <c r="F11663" t="str">
        <f>"003003"</f>
        <v>0</v>
      </c>
      <c r="G11663" t="s">
        <v>21</v>
      </c>
    </row>
    <row r="11664" spans="1:7">
      <c r="A11664">
        <v>11663</v>
      </c>
      <c r="B11664" t="str">
        <f>"023226"</f>
        <v>0</v>
      </c>
      <c r="C11664" t="s">
        <v>1597</v>
      </c>
      <c r="D11664" t="s">
        <v>17289</v>
      </c>
      <c r="E11664" t="str">
        <f>"1450400104789"</f>
        <v>0</v>
      </c>
      <c r="F11664" t="str">
        <f>"003003"</f>
        <v>0</v>
      </c>
      <c r="G11664" t="s">
        <v>21</v>
      </c>
    </row>
    <row r="11665" spans="1:7">
      <c r="A11665">
        <v>11664</v>
      </c>
      <c r="B11665" t="str">
        <f>"018488"</f>
        <v>0</v>
      </c>
      <c r="C11665" t="s">
        <v>8772</v>
      </c>
      <c r="D11665" t="s">
        <v>10159</v>
      </c>
      <c r="E11665" t="str">
        <f>"3640400155981"</f>
        <v>0</v>
      </c>
      <c r="F11665" t="str">
        <f>"003003"</f>
        <v>0</v>
      </c>
      <c r="G11665" t="s">
        <v>21</v>
      </c>
    </row>
    <row r="11666" spans="1:7">
      <c r="A11666">
        <v>11665</v>
      </c>
      <c r="B11666" t="str">
        <f>"023392"</f>
        <v>0</v>
      </c>
      <c r="C11666" t="s">
        <v>17290</v>
      </c>
      <c r="D11666" t="s">
        <v>17291</v>
      </c>
      <c r="E11666" t="str">
        <f>"3420100337121"</f>
        <v>0</v>
      </c>
      <c r="F11666" t="str">
        <f>"003003"</f>
        <v>0</v>
      </c>
      <c r="G11666" t="s">
        <v>21</v>
      </c>
    </row>
    <row r="11667" spans="1:7">
      <c r="A11667">
        <v>11666</v>
      </c>
      <c r="B11667" t="str">
        <f>"012050"</f>
        <v>0</v>
      </c>
      <c r="C11667" t="s">
        <v>17292</v>
      </c>
      <c r="D11667" t="s">
        <v>17293</v>
      </c>
      <c r="E11667" t="str">
        <f>"3330101384990"</f>
        <v>0</v>
      </c>
      <c r="F11667" t="str">
        <f>"003003"</f>
        <v>0</v>
      </c>
      <c r="G11667" t="s">
        <v>21</v>
      </c>
    </row>
    <row r="11668" spans="1:7">
      <c r="A11668">
        <v>11667</v>
      </c>
      <c r="B11668" t="str">
        <f>"014772"</f>
        <v>0</v>
      </c>
      <c r="C11668" t="s">
        <v>17294</v>
      </c>
      <c r="D11668" t="s">
        <v>17295</v>
      </c>
      <c r="E11668" t="str">
        <f>"3330800102021"</f>
        <v>0</v>
      </c>
      <c r="F11668" t="str">
        <f>"003003"</f>
        <v>0</v>
      </c>
      <c r="G11668" t="s">
        <v>21</v>
      </c>
    </row>
    <row r="11669" spans="1:7">
      <c r="A11669">
        <v>11668</v>
      </c>
      <c r="B11669" t="str">
        <f>"015305"</f>
        <v>0</v>
      </c>
      <c r="C11669" t="s">
        <v>17296</v>
      </c>
      <c r="D11669" t="s">
        <v>17295</v>
      </c>
      <c r="E11669" t="str">
        <f>"3400300096918"</f>
        <v>0</v>
      </c>
      <c r="F11669" t="str">
        <f>"003003"</f>
        <v>0</v>
      </c>
      <c r="G11669" t="s">
        <v>21</v>
      </c>
    </row>
    <row r="11670" spans="1:7">
      <c r="A11670">
        <v>11669</v>
      </c>
      <c r="B11670" t="str">
        <f>"015309"</f>
        <v>0</v>
      </c>
      <c r="C11670" t="s">
        <v>425</v>
      </c>
      <c r="D11670" t="s">
        <v>17297</v>
      </c>
      <c r="E11670" t="str">
        <f>"3330100127535"</f>
        <v>0</v>
      </c>
      <c r="F11670" t="str">
        <f>"003003"</f>
        <v>0</v>
      </c>
      <c r="G11670" t="s">
        <v>21</v>
      </c>
    </row>
    <row r="11671" spans="1:7">
      <c r="A11671">
        <v>11670</v>
      </c>
      <c r="B11671" t="str">
        <f>"015312"</f>
        <v>0</v>
      </c>
      <c r="C11671" t="s">
        <v>4433</v>
      </c>
      <c r="D11671" t="s">
        <v>17298</v>
      </c>
      <c r="E11671" t="str">
        <f>"3341501735367"</f>
        <v>0</v>
      </c>
      <c r="F11671" t="str">
        <f>"003003"</f>
        <v>0</v>
      </c>
      <c r="G11671" t="s">
        <v>21</v>
      </c>
    </row>
    <row r="11672" spans="1:7">
      <c r="A11672">
        <v>11671</v>
      </c>
      <c r="B11672" t="str">
        <f>"016190"</f>
        <v>0</v>
      </c>
      <c r="C11672" t="s">
        <v>7140</v>
      </c>
      <c r="D11672" t="s">
        <v>17298</v>
      </c>
      <c r="E11672" t="str">
        <f>"3339900013168"</f>
        <v>0</v>
      </c>
      <c r="F11672" t="str">
        <f>"003003"</f>
        <v>0</v>
      </c>
      <c r="G11672" t="s">
        <v>21</v>
      </c>
    </row>
    <row r="11673" spans="1:7">
      <c r="A11673">
        <v>11672</v>
      </c>
      <c r="B11673" t="str">
        <f>"019611"</f>
        <v>0</v>
      </c>
      <c r="C11673" t="s">
        <v>17299</v>
      </c>
      <c r="D11673" t="s">
        <v>17300</v>
      </c>
      <c r="E11673" t="str">
        <f>"3330100236563"</f>
        <v>0</v>
      </c>
      <c r="F11673" t="str">
        <f>"003003"</f>
        <v>0</v>
      </c>
      <c r="G11673" t="s">
        <v>21</v>
      </c>
    </row>
    <row r="11674" spans="1:7">
      <c r="A11674">
        <v>11673</v>
      </c>
      <c r="B11674" t="str">
        <f>"019759"</f>
        <v>0</v>
      </c>
      <c r="C11674" t="s">
        <v>106</v>
      </c>
      <c r="D11674" t="s">
        <v>17301</v>
      </c>
      <c r="E11674" t="str">
        <f>"3301200483997"</f>
        <v>0</v>
      </c>
      <c r="F11674" t="str">
        <f>"003003"</f>
        <v>0</v>
      </c>
      <c r="G11674" t="s">
        <v>21</v>
      </c>
    </row>
    <row r="11675" spans="1:7">
      <c r="A11675">
        <v>11674</v>
      </c>
      <c r="B11675" t="str">
        <f>"022056"</f>
        <v>0</v>
      </c>
      <c r="C11675" t="s">
        <v>17302</v>
      </c>
      <c r="D11675" t="s">
        <v>17303</v>
      </c>
      <c r="E11675" t="str">
        <f>"1410900014428"</f>
        <v>0</v>
      </c>
      <c r="F11675" t="str">
        <f>"003003"</f>
        <v>0</v>
      </c>
      <c r="G11675" t="s">
        <v>21</v>
      </c>
    </row>
    <row r="11676" spans="1:7">
      <c r="A11676">
        <v>11675</v>
      </c>
      <c r="B11676" t="str">
        <f>"022934"</f>
        <v>0</v>
      </c>
      <c r="C11676" t="s">
        <v>6184</v>
      </c>
      <c r="D11676" t="s">
        <v>16049</v>
      </c>
      <c r="E11676" t="str">
        <f>"3460400083818"</f>
        <v>0</v>
      </c>
      <c r="F11676" t="str">
        <f>"003003"</f>
        <v>0</v>
      </c>
      <c r="G11676" t="s">
        <v>21</v>
      </c>
    </row>
    <row r="11677" spans="1:7">
      <c r="A11677">
        <v>11676</v>
      </c>
      <c r="B11677" t="str">
        <f>"015825"</f>
        <v>0</v>
      </c>
      <c r="C11677" t="s">
        <v>17304</v>
      </c>
      <c r="D11677" t="s">
        <v>2074</v>
      </c>
      <c r="E11677" t="str">
        <f>"3450600688802"</f>
        <v>0</v>
      </c>
      <c r="F11677" t="str">
        <f>"003003"</f>
        <v>0</v>
      </c>
      <c r="G11677" t="s">
        <v>21</v>
      </c>
    </row>
    <row r="11678" spans="1:7">
      <c r="A11678">
        <v>11677</v>
      </c>
      <c r="B11678" t="str">
        <f>"019029"</f>
        <v>0</v>
      </c>
      <c r="C11678" t="s">
        <v>44</v>
      </c>
      <c r="D11678" t="s">
        <v>17305</v>
      </c>
      <c r="E11678" t="str">
        <f>"3190100363486"</f>
        <v>0</v>
      </c>
      <c r="F11678" t="str">
        <f>"003003"</f>
        <v>0</v>
      </c>
      <c r="G11678" t="s">
        <v>21</v>
      </c>
    </row>
    <row r="11679" spans="1:7">
      <c r="A11679">
        <v>11678</v>
      </c>
      <c r="B11679" t="str">
        <f>"019964"</f>
        <v>0</v>
      </c>
      <c r="C11679" t="s">
        <v>17306</v>
      </c>
      <c r="D11679" t="s">
        <v>11692</v>
      </c>
      <c r="E11679" t="str">
        <f>"3311000546715"</f>
        <v>0</v>
      </c>
      <c r="F11679" t="str">
        <f>"003003"</f>
        <v>0</v>
      </c>
      <c r="G11679" t="s">
        <v>21</v>
      </c>
    </row>
    <row r="11680" spans="1:7">
      <c r="A11680">
        <v>11679</v>
      </c>
      <c r="B11680" t="str">
        <f>"025202"</f>
        <v>0</v>
      </c>
      <c r="C11680" t="s">
        <v>17307</v>
      </c>
      <c r="D11680" t="s">
        <v>17308</v>
      </c>
      <c r="E11680" t="str">
        <f>"3331300145821"</f>
        <v>0</v>
      </c>
      <c r="F11680" t="str">
        <f>"003003"</f>
        <v>0</v>
      </c>
      <c r="G11680" t="s">
        <v>21</v>
      </c>
    </row>
    <row r="11681" spans="1:7">
      <c r="A11681">
        <v>11680</v>
      </c>
      <c r="B11681" t="str">
        <f>"016604"</f>
        <v>0</v>
      </c>
      <c r="C11681" t="s">
        <v>17309</v>
      </c>
      <c r="D11681" t="s">
        <v>17310</v>
      </c>
      <c r="E11681" t="str">
        <f>"3329900108053"</f>
        <v>0</v>
      </c>
      <c r="F11681" t="str">
        <f>"003003"</f>
        <v>0</v>
      </c>
      <c r="G11681" t="s">
        <v>21</v>
      </c>
    </row>
    <row r="11682" spans="1:7">
      <c r="A11682">
        <v>11681</v>
      </c>
      <c r="B11682" t="str">
        <f>"023245"</f>
        <v>0</v>
      </c>
      <c r="C11682" t="s">
        <v>193</v>
      </c>
      <c r="D11682" t="s">
        <v>17311</v>
      </c>
      <c r="E11682" t="str">
        <f>"3320500372057"</f>
        <v>0</v>
      </c>
      <c r="F11682" t="str">
        <f>"003003"</f>
        <v>0</v>
      </c>
      <c r="G11682" t="s">
        <v>21</v>
      </c>
    </row>
    <row r="11683" spans="1:7">
      <c r="A11683">
        <v>11682</v>
      </c>
      <c r="B11683" t="str">
        <f>"026000"</f>
        <v>0</v>
      </c>
      <c r="C11683" t="s">
        <v>1070</v>
      </c>
      <c r="D11683" t="s">
        <v>17312</v>
      </c>
      <c r="E11683" t="str">
        <f>"1340100120992"</f>
        <v>0</v>
      </c>
      <c r="F11683" t="str">
        <f>"003003"</f>
        <v>0</v>
      </c>
      <c r="G11683" t="s">
        <v>21</v>
      </c>
    </row>
    <row r="11684" spans="1:7">
      <c r="A11684">
        <v>11683</v>
      </c>
      <c r="B11684" t="str">
        <f>"021671"</f>
        <v>0</v>
      </c>
      <c r="C11684" t="s">
        <v>17313</v>
      </c>
      <c r="D11684" t="s">
        <v>17314</v>
      </c>
      <c r="E11684" t="str">
        <f>"3410101068621"</f>
        <v>0</v>
      </c>
      <c r="F11684" t="str">
        <f>"003003"</f>
        <v>0</v>
      </c>
      <c r="G11684" t="s">
        <v>21</v>
      </c>
    </row>
    <row r="11685" spans="1:7">
      <c r="A11685">
        <v>11684</v>
      </c>
      <c r="B11685" t="str">
        <f>"018334"</f>
        <v>0</v>
      </c>
      <c r="C11685" t="s">
        <v>17315</v>
      </c>
      <c r="D11685" t="s">
        <v>17316</v>
      </c>
      <c r="E11685" t="str">
        <f>"3430100035435"</f>
        <v>0</v>
      </c>
      <c r="F11685" t="str">
        <f>"003003"</f>
        <v>0</v>
      </c>
      <c r="G11685" t="s">
        <v>21</v>
      </c>
    </row>
    <row r="11686" spans="1:7">
      <c r="A11686">
        <v>11685</v>
      </c>
      <c r="B11686" t="str">
        <f>"019947"</f>
        <v>0</v>
      </c>
      <c r="C11686" t="s">
        <v>1315</v>
      </c>
      <c r="D11686" t="s">
        <v>17317</v>
      </c>
      <c r="E11686" t="str">
        <f>"3451100759736"</f>
        <v>0</v>
      </c>
      <c r="F11686" t="str">
        <f>"003003"</f>
        <v>0</v>
      </c>
      <c r="G11686" t="s">
        <v>21</v>
      </c>
    </row>
    <row r="11687" spans="1:7">
      <c r="A11687">
        <v>11686</v>
      </c>
      <c r="B11687" t="str">
        <f>"015773"</f>
        <v>0</v>
      </c>
      <c r="C11687" t="s">
        <v>2682</v>
      </c>
      <c r="D11687" t="s">
        <v>17318</v>
      </c>
      <c r="E11687" t="str">
        <f>"3450200551508"</f>
        <v>0</v>
      </c>
      <c r="F11687" t="str">
        <f>"003003"</f>
        <v>0</v>
      </c>
      <c r="G11687" t="s">
        <v>21</v>
      </c>
    </row>
    <row r="11688" spans="1:7">
      <c r="A11688">
        <v>11687</v>
      </c>
      <c r="B11688" t="str">
        <f>"020844"</f>
        <v>0</v>
      </c>
      <c r="C11688" t="s">
        <v>1632</v>
      </c>
      <c r="D11688" t="s">
        <v>17319</v>
      </c>
      <c r="E11688" t="str">
        <f>"3451000699278"</f>
        <v>0</v>
      </c>
      <c r="F11688" t="str">
        <f>"003003"</f>
        <v>0</v>
      </c>
      <c r="G11688" t="s">
        <v>21</v>
      </c>
    </row>
    <row r="11689" spans="1:7">
      <c r="A11689">
        <v>11688</v>
      </c>
      <c r="B11689" t="str">
        <f>"023209"</f>
        <v>0</v>
      </c>
      <c r="C11689" t="s">
        <v>17320</v>
      </c>
      <c r="D11689" t="s">
        <v>17321</v>
      </c>
      <c r="E11689" t="str">
        <f>"3101900336859"</f>
        <v>0</v>
      </c>
      <c r="F11689" t="str">
        <f>"003003"</f>
        <v>0</v>
      </c>
      <c r="G11689" t="s">
        <v>21</v>
      </c>
    </row>
    <row r="11690" spans="1:7">
      <c r="A11690">
        <v>11689</v>
      </c>
      <c r="B11690" t="str">
        <f>"018605"</f>
        <v>0</v>
      </c>
      <c r="C11690" t="s">
        <v>15269</v>
      </c>
      <c r="D11690" t="s">
        <v>17322</v>
      </c>
      <c r="E11690" t="str">
        <f>"3330300874229"</f>
        <v>0</v>
      </c>
      <c r="F11690" t="str">
        <f>"003003"</f>
        <v>0</v>
      </c>
      <c r="G11690" t="s">
        <v>21</v>
      </c>
    </row>
    <row r="11691" spans="1:7">
      <c r="A11691">
        <v>11690</v>
      </c>
      <c r="B11691" t="str">
        <f>"020533"</f>
        <v>0</v>
      </c>
      <c r="C11691" t="s">
        <v>14937</v>
      </c>
      <c r="D11691" t="s">
        <v>17323</v>
      </c>
      <c r="E11691" t="str">
        <f>"3330300598094"</f>
        <v>0</v>
      </c>
      <c r="F11691" t="str">
        <f>"003003"</f>
        <v>0</v>
      </c>
      <c r="G11691" t="s">
        <v>21</v>
      </c>
    </row>
    <row r="11692" spans="1:7">
      <c r="A11692">
        <v>11691</v>
      </c>
      <c r="B11692" t="str">
        <f>"027538"</f>
        <v>0</v>
      </c>
      <c r="C11692" t="s">
        <v>17324</v>
      </c>
      <c r="D11692" t="s">
        <v>17325</v>
      </c>
      <c r="E11692" t="str">
        <f>"1909900341236"</f>
        <v>0</v>
      </c>
      <c r="F11692" t="str">
        <f>"003003"</f>
        <v>0</v>
      </c>
      <c r="G11692" t="s">
        <v>21</v>
      </c>
    </row>
    <row r="11693" spans="1:7">
      <c r="A11693">
        <v>11692</v>
      </c>
      <c r="B11693" t="str">
        <f>"001732"</f>
        <v>0</v>
      </c>
      <c r="C11693" t="s">
        <v>17326</v>
      </c>
      <c r="D11693" t="s">
        <v>17327</v>
      </c>
      <c r="E11693" t="str">
        <f>"3959900015548"</f>
        <v>0</v>
      </c>
      <c r="F11693" t="str">
        <f>"007010"</f>
        <v>0</v>
      </c>
      <c r="G11693" t="s">
        <v>21</v>
      </c>
    </row>
    <row r="11694" spans="1:7">
      <c r="A11694">
        <v>11693</v>
      </c>
      <c r="B11694" t="str">
        <f>"001837"</f>
        <v>0</v>
      </c>
      <c r="C11694" t="s">
        <v>5193</v>
      </c>
      <c r="D11694" t="s">
        <v>17328</v>
      </c>
      <c r="E11694" t="str">
        <f>"3710101036629"</f>
        <v>0</v>
      </c>
      <c r="F11694" t="str">
        <f>"007010"</f>
        <v>0</v>
      </c>
      <c r="G11694" t="s">
        <v>21</v>
      </c>
    </row>
    <row r="11695" spans="1:7">
      <c r="A11695">
        <v>11694</v>
      </c>
      <c r="B11695" t="str">
        <f>"002440"</f>
        <v>0</v>
      </c>
      <c r="C11695" t="s">
        <v>17329</v>
      </c>
      <c r="D11695" t="s">
        <v>17330</v>
      </c>
      <c r="E11695" t="str">
        <f>"3100200456168"</f>
        <v>0</v>
      </c>
      <c r="F11695" t="str">
        <f>"007010"</f>
        <v>0</v>
      </c>
      <c r="G11695" t="s">
        <v>21</v>
      </c>
    </row>
    <row r="11696" spans="1:7">
      <c r="A11696">
        <v>11695</v>
      </c>
      <c r="B11696" t="str">
        <f>"006494"</f>
        <v>0</v>
      </c>
      <c r="C11696" t="s">
        <v>17331</v>
      </c>
      <c r="D11696" t="s">
        <v>4176</v>
      </c>
      <c r="E11696" t="str">
        <f>"3100600229932"</f>
        <v>0</v>
      </c>
      <c r="F11696" t="str">
        <f>"007010"</f>
        <v>0</v>
      </c>
      <c r="G11696" t="s">
        <v>21</v>
      </c>
    </row>
    <row r="11697" spans="1:7">
      <c r="A11697">
        <v>11696</v>
      </c>
      <c r="B11697" t="str">
        <f>"006705"</f>
        <v>0</v>
      </c>
      <c r="C11697" t="s">
        <v>17332</v>
      </c>
      <c r="D11697" t="s">
        <v>17333</v>
      </c>
      <c r="E11697" t="str">
        <f>"3340100145291"</f>
        <v>0</v>
      </c>
      <c r="F11697" t="str">
        <f>"007010"</f>
        <v>0</v>
      </c>
      <c r="G11697" t="s">
        <v>21</v>
      </c>
    </row>
    <row r="11698" spans="1:7">
      <c r="A11698">
        <v>11697</v>
      </c>
      <c r="B11698" t="str">
        <f>"007170"</f>
        <v>0</v>
      </c>
      <c r="C11698" t="s">
        <v>837</v>
      </c>
      <c r="D11698" t="s">
        <v>17334</v>
      </c>
      <c r="E11698" t="str">
        <f>"3189900056276"</f>
        <v>0</v>
      </c>
      <c r="F11698" t="str">
        <f>"007010"</f>
        <v>0</v>
      </c>
      <c r="G11698" t="s">
        <v>21</v>
      </c>
    </row>
    <row r="11699" spans="1:7">
      <c r="A11699">
        <v>11698</v>
      </c>
      <c r="B11699" t="str">
        <f>"007482"</f>
        <v>0</v>
      </c>
      <c r="C11699" t="s">
        <v>7616</v>
      </c>
      <c r="D11699" t="s">
        <v>17335</v>
      </c>
      <c r="E11699" t="str">
        <f>"3100600088905"</f>
        <v>0</v>
      </c>
      <c r="F11699" t="str">
        <f>"007010"</f>
        <v>0</v>
      </c>
      <c r="G11699" t="s">
        <v>21</v>
      </c>
    </row>
    <row r="11700" spans="1:7">
      <c r="A11700">
        <v>11699</v>
      </c>
      <c r="B11700" t="str">
        <f>"008546"</f>
        <v>0</v>
      </c>
      <c r="C11700" t="s">
        <v>3797</v>
      </c>
      <c r="D11700" t="s">
        <v>17336</v>
      </c>
      <c r="E11700" t="str">
        <f>"3100904554183"</f>
        <v>0</v>
      </c>
      <c r="F11700" t="str">
        <f>"007010"</f>
        <v>0</v>
      </c>
      <c r="G11700" t="s">
        <v>21</v>
      </c>
    </row>
    <row r="11701" spans="1:7">
      <c r="A11701">
        <v>11700</v>
      </c>
      <c r="B11701" t="str">
        <f>"008966"</f>
        <v>0</v>
      </c>
      <c r="C11701" t="s">
        <v>15690</v>
      </c>
      <c r="D11701" t="s">
        <v>17337</v>
      </c>
      <c r="E11701" t="str">
        <f>"3720100720381"</f>
        <v>0</v>
      </c>
      <c r="F11701" t="str">
        <f>"007010"</f>
        <v>0</v>
      </c>
      <c r="G11701" t="s">
        <v>21</v>
      </c>
    </row>
    <row r="11702" spans="1:7">
      <c r="A11702">
        <v>11701</v>
      </c>
      <c r="B11702" t="str">
        <f>"010038"</f>
        <v>0</v>
      </c>
      <c r="C11702" t="s">
        <v>470</v>
      </c>
      <c r="D11702" t="s">
        <v>17338</v>
      </c>
      <c r="E11702" t="str">
        <f>"3101100287209"</f>
        <v>0</v>
      </c>
      <c r="F11702" t="str">
        <f>"007010"</f>
        <v>0</v>
      </c>
      <c r="G11702" t="s">
        <v>21</v>
      </c>
    </row>
    <row r="11703" spans="1:7">
      <c r="A11703">
        <v>11702</v>
      </c>
      <c r="B11703" t="str">
        <f>"011143"</f>
        <v>0</v>
      </c>
      <c r="C11703" t="s">
        <v>17339</v>
      </c>
      <c r="D11703" t="s">
        <v>15247</v>
      </c>
      <c r="E11703" t="str">
        <f>"3101600273045"</f>
        <v>0</v>
      </c>
      <c r="F11703" t="str">
        <f>"007010"</f>
        <v>0</v>
      </c>
      <c r="G11703" t="s">
        <v>21</v>
      </c>
    </row>
    <row r="11704" spans="1:7">
      <c r="A11704">
        <v>11703</v>
      </c>
      <c r="B11704" t="str">
        <f>"011401"</f>
        <v>0</v>
      </c>
      <c r="C11704" t="s">
        <v>82</v>
      </c>
      <c r="D11704" t="s">
        <v>17340</v>
      </c>
      <c r="E11704" t="str">
        <f>"3100600067151"</f>
        <v>0</v>
      </c>
      <c r="F11704" t="str">
        <f>"007010"</f>
        <v>0</v>
      </c>
      <c r="G11704" t="s">
        <v>21</v>
      </c>
    </row>
    <row r="11705" spans="1:7">
      <c r="A11705">
        <v>11704</v>
      </c>
      <c r="B11705" t="str">
        <f>"012180"</f>
        <v>0</v>
      </c>
      <c r="C11705" t="s">
        <v>4372</v>
      </c>
      <c r="D11705" t="s">
        <v>17341</v>
      </c>
      <c r="E11705" t="str">
        <f>"3100603360339"</f>
        <v>0</v>
      </c>
      <c r="F11705" t="str">
        <f>"007010"</f>
        <v>0</v>
      </c>
      <c r="G11705" t="s">
        <v>21</v>
      </c>
    </row>
    <row r="11706" spans="1:7">
      <c r="A11706">
        <v>11705</v>
      </c>
      <c r="B11706" t="str">
        <f>"012375"</f>
        <v>0</v>
      </c>
      <c r="C11706" t="s">
        <v>5901</v>
      </c>
      <c r="D11706" t="s">
        <v>17342</v>
      </c>
      <c r="E11706" t="str">
        <f>"3102002280324"</f>
        <v>0</v>
      </c>
      <c r="F11706" t="str">
        <f>"007010"</f>
        <v>0</v>
      </c>
      <c r="G11706" t="s">
        <v>21</v>
      </c>
    </row>
    <row r="11707" spans="1:7">
      <c r="A11707">
        <v>11706</v>
      </c>
      <c r="B11707" t="str">
        <f>"012377"</f>
        <v>0</v>
      </c>
      <c r="C11707" t="s">
        <v>17343</v>
      </c>
      <c r="D11707" t="s">
        <v>17344</v>
      </c>
      <c r="E11707" t="str">
        <f>"3100203149908"</f>
        <v>0</v>
      </c>
      <c r="F11707" t="str">
        <f>"007010"</f>
        <v>0</v>
      </c>
      <c r="G11707" t="s">
        <v>21</v>
      </c>
    </row>
    <row r="11708" spans="1:7">
      <c r="A11708">
        <v>11707</v>
      </c>
      <c r="B11708" t="str">
        <f>"012648"</f>
        <v>0</v>
      </c>
      <c r="C11708" t="s">
        <v>17345</v>
      </c>
      <c r="D11708" t="s">
        <v>17346</v>
      </c>
      <c r="E11708" t="str">
        <f>"3100601635314"</f>
        <v>0</v>
      </c>
      <c r="F11708" t="str">
        <f>"007010"</f>
        <v>0</v>
      </c>
      <c r="G11708" t="s">
        <v>21</v>
      </c>
    </row>
    <row r="11709" spans="1:7">
      <c r="A11709">
        <v>11708</v>
      </c>
      <c r="B11709" t="str">
        <f>"013230"</f>
        <v>0</v>
      </c>
      <c r="C11709" t="s">
        <v>17347</v>
      </c>
      <c r="D11709" t="s">
        <v>17348</v>
      </c>
      <c r="E11709" t="str">
        <f>"3920300423965"</f>
        <v>0</v>
      </c>
      <c r="F11709" t="str">
        <f>"007010"</f>
        <v>0</v>
      </c>
      <c r="G11709" t="s">
        <v>21</v>
      </c>
    </row>
    <row r="11710" spans="1:7">
      <c r="A11710">
        <v>11709</v>
      </c>
      <c r="B11710" t="str">
        <f>"013484"</f>
        <v>0</v>
      </c>
      <c r="C11710" t="s">
        <v>12658</v>
      </c>
      <c r="D11710" t="s">
        <v>17349</v>
      </c>
      <c r="E11710" t="str">
        <f>"3100901911007"</f>
        <v>0</v>
      </c>
      <c r="F11710" t="str">
        <f>"007010"</f>
        <v>0</v>
      </c>
      <c r="G11710" t="s">
        <v>21</v>
      </c>
    </row>
    <row r="11711" spans="1:7">
      <c r="A11711">
        <v>11710</v>
      </c>
      <c r="B11711" t="str">
        <f>"013993"</f>
        <v>0</v>
      </c>
      <c r="C11711" t="s">
        <v>17350</v>
      </c>
      <c r="D11711" t="s">
        <v>17351</v>
      </c>
      <c r="E11711" t="str">
        <f>"3340100145347"</f>
        <v>0</v>
      </c>
      <c r="F11711" t="str">
        <f>"007010"</f>
        <v>0</v>
      </c>
      <c r="G11711" t="s">
        <v>21</v>
      </c>
    </row>
    <row r="11712" spans="1:7">
      <c r="A11712">
        <v>11711</v>
      </c>
      <c r="B11712" t="str">
        <f>"014664"</f>
        <v>0</v>
      </c>
      <c r="C11712" t="s">
        <v>17352</v>
      </c>
      <c r="D11712" t="s">
        <v>758</v>
      </c>
      <c r="E11712" t="str">
        <f>"3100502435031"</f>
        <v>0</v>
      </c>
      <c r="F11712" t="str">
        <f>"007010"</f>
        <v>0</v>
      </c>
      <c r="G11712" t="s">
        <v>21</v>
      </c>
    </row>
    <row r="11713" spans="1:7">
      <c r="A11713">
        <v>11712</v>
      </c>
      <c r="B11713" t="str">
        <f>"015102"</f>
        <v>0</v>
      </c>
      <c r="C11713" t="s">
        <v>5091</v>
      </c>
      <c r="D11713" t="s">
        <v>17353</v>
      </c>
      <c r="E11713" t="str">
        <f>"3102101268900"</f>
        <v>0</v>
      </c>
      <c r="F11713" t="str">
        <f>"007010"</f>
        <v>0</v>
      </c>
      <c r="G11713" t="s">
        <v>21</v>
      </c>
    </row>
    <row r="11714" spans="1:7">
      <c r="A11714">
        <v>11713</v>
      </c>
      <c r="B11714" t="str">
        <f>"015261"</f>
        <v>0</v>
      </c>
      <c r="C11714" t="s">
        <v>17354</v>
      </c>
      <c r="D11714" t="s">
        <v>17355</v>
      </c>
      <c r="E11714" t="str">
        <f>"3100202133226"</f>
        <v>0</v>
      </c>
      <c r="F11714" t="str">
        <f>"007010"</f>
        <v>0</v>
      </c>
      <c r="G11714" t="s">
        <v>21</v>
      </c>
    </row>
    <row r="11715" spans="1:7">
      <c r="A11715">
        <v>11714</v>
      </c>
      <c r="B11715" t="str">
        <f>"015492"</f>
        <v>0</v>
      </c>
      <c r="C11715" t="s">
        <v>881</v>
      </c>
      <c r="D11715" t="s">
        <v>422</v>
      </c>
      <c r="E11715" t="str">
        <f>"5100599063548"</f>
        <v>0</v>
      </c>
      <c r="F11715" t="str">
        <f>"007010"</f>
        <v>0</v>
      </c>
      <c r="G11715" t="s">
        <v>21</v>
      </c>
    </row>
    <row r="11716" spans="1:7">
      <c r="A11716">
        <v>11715</v>
      </c>
      <c r="B11716" t="str">
        <f>"016851"</f>
        <v>0</v>
      </c>
      <c r="C11716" t="s">
        <v>17356</v>
      </c>
      <c r="D11716" t="s">
        <v>17357</v>
      </c>
      <c r="E11716" t="str">
        <f>"3100502930121"</f>
        <v>0</v>
      </c>
      <c r="F11716" t="str">
        <f>"007010"</f>
        <v>0</v>
      </c>
      <c r="G11716" t="s">
        <v>21</v>
      </c>
    </row>
    <row r="11717" spans="1:7">
      <c r="A11717">
        <v>11716</v>
      </c>
      <c r="B11717" t="str">
        <f>"016916"</f>
        <v>0</v>
      </c>
      <c r="C11717" t="s">
        <v>5127</v>
      </c>
      <c r="D11717" t="s">
        <v>17358</v>
      </c>
      <c r="E11717" t="str">
        <f>"3409900536836"</f>
        <v>0</v>
      </c>
      <c r="F11717" t="str">
        <f>"007010"</f>
        <v>0</v>
      </c>
      <c r="G11717" t="s">
        <v>21</v>
      </c>
    </row>
    <row r="11718" spans="1:7">
      <c r="A11718">
        <v>11717</v>
      </c>
      <c r="B11718" t="str">
        <f>"017022"</f>
        <v>0</v>
      </c>
      <c r="C11718" t="s">
        <v>9146</v>
      </c>
      <c r="D11718" t="s">
        <v>414</v>
      </c>
      <c r="E11718" t="str">
        <f>"3101701595986"</f>
        <v>0</v>
      </c>
      <c r="F11718" t="str">
        <f>"007010"</f>
        <v>0</v>
      </c>
      <c r="G11718" t="s">
        <v>21</v>
      </c>
    </row>
    <row r="11719" spans="1:7">
      <c r="A11719">
        <v>11718</v>
      </c>
      <c r="B11719" t="str">
        <f>"017946"</f>
        <v>0</v>
      </c>
      <c r="C11719" t="s">
        <v>17359</v>
      </c>
      <c r="D11719" t="s">
        <v>17360</v>
      </c>
      <c r="E11719" t="str">
        <f>"3100800506760"</f>
        <v>0</v>
      </c>
      <c r="F11719" t="str">
        <f>"007010"</f>
        <v>0</v>
      </c>
      <c r="G11719" t="s">
        <v>21</v>
      </c>
    </row>
    <row r="11720" spans="1:7">
      <c r="A11720">
        <v>11719</v>
      </c>
      <c r="B11720" t="str">
        <f>"018320"</f>
        <v>0</v>
      </c>
      <c r="C11720" t="s">
        <v>9111</v>
      </c>
      <c r="D11720" t="s">
        <v>17361</v>
      </c>
      <c r="E11720" t="str">
        <f>"3709900360158"</f>
        <v>0</v>
      </c>
      <c r="F11720" t="str">
        <f>"007010"</f>
        <v>0</v>
      </c>
      <c r="G11720" t="s">
        <v>21</v>
      </c>
    </row>
    <row r="11721" spans="1:7">
      <c r="A11721">
        <v>11720</v>
      </c>
      <c r="B11721" t="str">
        <f>"018329"</f>
        <v>0</v>
      </c>
      <c r="C11721" t="s">
        <v>9970</v>
      </c>
      <c r="D11721" t="s">
        <v>564</v>
      </c>
      <c r="E11721" t="str">
        <f>"3219900158914"</f>
        <v>0</v>
      </c>
      <c r="F11721" t="str">
        <f>"007010"</f>
        <v>0</v>
      </c>
      <c r="G11721" t="s">
        <v>21</v>
      </c>
    </row>
    <row r="11722" spans="1:7">
      <c r="A11722">
        <v>11721</v>
      </c>
      <c r="B11722" t="str">
        <f>"018620"</f>
        <v>0</v>
      </c>
      <c r="C11722" t="s">
        <v>17362</v>
      </c>
      <c r="D11722" t="s">
        <v>17363</v>
      </c>
      <c r="E11722" t="str">
        <f>"3100503069390"</f>
        <v>0</v>
      </c>
      <c r="F11722" t="str">
        <f>"007010"</f>
        <v>0</v>
      </c>
      <c r="G11722" t="s">
        <v>21</v>
      </c>
    </row>
    <row r="11723" spans="1:7">
      <c r="A11723">
        <v>11722</v>
      </c>
      <c r="B11723" t="str">
        <f>"018667"</f>
        <v>0</v>
      </c>
      <c r="C11723" t="s">
        <v>17364</v>
      </c>
      <c r="D11723" t="s">
        <v>17365</v>
      </c>
      <c r="E11723" t="str">
        <f>"3949900008363"</f>
        <v>0</v>
      </c>
      <c r="F11723" t="str">
        <f>"007010"</f>
        <v>0</v>
      </c>
      <c r="G11723" t="s">
        <v>21</v>
      </c>
    </row>
    <row r="11724" spans="1:7">
      <c r="A11724">
        <v>11723</v>
      </c>
      <c r="B11724" t="str">
        <f>"019924"</f>
        <v>0</v>
      </c>
      <c r="C11724" t="s">
        <v>17366</v>
      </c>
      <c r="D11724" t="s">
        <v>17367</v>
      </c>
      <c r="E11724" t="str">
        <f>"3100503204084"</f>
        <v>0</v>
      </c>
      <c r="F11724" t="str">
        <f>"007010"</f>
        <v>0</v>
      </c>
      <c r="G11724" t="s">
        <v>21</v>
      </c>
    </row>
    <row r="11725" spans="1:7">
      <c r="A11725">
        <v>11724</v>
      </c>
      <c r="B11725" t="str">
        <f>"020011"</f>
        <v>0</v>
      </c>
      <c r="C11725" t="s">
        <v>17368</v>
      </c>
      <c r="D11725" t="s">
        <v>17369</v>
      </c>
      <c r="E11725" t="str">
        <f>"3100100519681"</f>
        <v>0</v>
      </c>
      <c r="F11725" t="str">
        <f>"007010"</f>
        <v>0</v>
      </c>
      <c r="G11725" t="s">
        <v>21</v>
      </c>
    </row>
    <row r="11726" spans="1:7">
      <c r="A11726">
        <v>11725</v>
      </c>
      <c r="B11726" t="str">
        <f>"020359"</f>
        <v>0</v>
      </c>
      <c r="C11726" t="s">
        <v>11252</v>
      </c>
      <c r="D11726" t="s">
        <v>17370</v>
      </c>
      <c r="E11726" t="str">
        <f>"3101700902044"</f>
        <v>0</v>
      </c>
      <c r="F11726" t="str">
        <f>"007010"</f>
        <v>0</v>
      </c>
      <c r="G11726" t="s">
        <v>21</v>
      </c>
    </row>
    <row r="11727" spans="1:7">
      <c r="A11727">
        <v>11726</v>
      </c>
      <c r="B11727" t="str">
        <f>"025996"</f>
        <v>0</v>
      </c>
      <c r="C11727" t="s">
        <v>17371</v>
      </c>
      <c r="D11727" t="s">
        <v>17372</v>
      </c>
      <c r="E11727" t="str">
        <f>"3101701957195"</f>
        <v>0</v>
      </c>
      <c r="F11727" t="str">
        <f>"007010"</f>
        <v>0</v>
      </c>
      <c r="G11727" t="s">
        <v>21</v>
      </c>
    </row>
    <row r="11728" spans="1:7">
      <c r="A11728">
        <v>11727</v>
      </c>
      <c r="B11728" t="str">
        <f>"013820"</f>
        <v>0</v>
      </c>
      <c r="C11728" t="s">
        <v>160</v>
      </c>
      <c r="D11728" t="s">
        <v>17373</v>
      </c>
      <c r="E11728" t="str">
        <f>"3110101927286"</f>
        <v>0</v>
      </c>
      <c r="F11728" t="str">
        <f>"007010"</f>
        <v>0</v>
      </c>
      <c r="G11728" t="s">
        <v>21</v>
      </c>
    </row>
    <row r="11729" spans="1:7">
      <c r="A11729">
        <v>11728</v>
      </c>
      <c r="B11729" t="str">
        <f>"001916"</f>
        <v>0</v>
      </c>
      <c r="C11729" t="s">
        <v>17374</v>
      </c>
      <c r="D11729" t="s">
        <v>17375</v>
      </c>
      <c r="E11729" t="str">
        <f>"3101201243835"</f>
        <v>0</v>
      </c>
      <c r="F11729" t="str">
        <f>"007010"</f>
        <v>0</v>
      </c>
      <c r="G11729" t="s">
        <v>21</v>
      </c>
    </row>
    <row r="11730" spans="1:7">
      <c r="A11730">
        <v>11729</v>
      </c>
      <c r="B11730" t="str">
        <f>"002029"</f>
        <v>0</v>
      </c>
      <c r="C11730" t="s">
        <v>7511</v>
      </c>
      <c r="D11730" t="s">
        <v>3806</v>
      </c>
      <c r="E11730" t="str">
        <f>"3129900121795"</f>
        <v>0</v>
      </c>
      <c r="F11730" t="str">
        <f>"007010"</f>
        <v>0</v>
      </c>
      <c r="G11730" t="s">
        <v>21</v>
      </c>
    </row>
    <row r="11731" spans="1:7">
      <c r="A11731">
        <v>11730</v>
      </c>
      <c r="B11731" t="str">
        <f>"002423"</f>
        <v>0</v>
      </c>
      <c r="C11731" t="s">
        <v>7602</v>
      </c>
      <c r="D11731" t="s">
        <v>3857</v>
      </c>
      <c r="E11731" t="str">
        <f>"3100500341617"</f>
        <v>0</v>
      </c>
      <c r="F11731" t="str">
        <f>"007010"</f>
        <v>0</v>
      </c>
      <c r="G11731" t="s">
        <v>21</v>
      </c>
    </row>
    <row r="11732" spans="1:7">
      <c r="A11732">
        <v>11731</v>
      </c>
      <c r="B11732" t="str">
        <f>"004922"</f>
        <v>0</v>
      </c>
      <c r="C11732" t="s">
        <v>46</v>
      </c>
      <c r="D11732" t="s">
        <v>17376</v>
      </c>
      <c r="E11732" t="str">
        <f>"3200700014520"</f>
        <v>0</v>
      </c>
      <c r="F11732" t="str">
        <f>"007010"</f>
        <v>0</v>
      </c>
      <c r="G11732" t="s">
        <v>21</v>
      </c>
    </row>
    <row r="11733" spans="1:7">
      <c r="A11733">
        <v>11732</v>
      </c>
      <c r="B11733" t="str">
        <f>"019790"</f>
        <v>0</v>
      </c>
      <c r="C11733" t="s">
        <v>17377</v>
      </c>
      <c r="D11733" t="s">
        <v>10336</v>
      </c>
      <c r="E11733" t="str">
        <f>"3102101160408"</f>
        <v>0</v>
      </c>
      <c r="F11733" t="str">
        <f>"007010"</f>
        <v>0</v>
      </c>
      <c r="G11733" t="s">
        <v>21</v>
      </c>
    </row>
    <row r="11734" spans="1:7">
      <c r="A11734">
        <v>11733</v>
      </c>
      <c r="B11734" t="str">
        <f>"005739"</f>
        <v>0</v>
      </c>
      <c r="C11734" t="s">
        <v>1649</v>
      </c>
      <c r="D11734" t="s">
        <v>17378</v>
      </c>
      <c r="E11734" t="str">
        <f>"3629900004531"</f>
        <v>0</v>
      </c>
      <c r="F11734" t="str">
        <f>"007010"</f>
        <v>0</v>
      </c>
      <c r="G11734" t="s">
        <v>21</v>
      </c>
    </row>
    <row r="11735" spans="1:7">
      <c r="A11735">
        <v>11734</v>
      </c>
      <c r="B11735" t="str">
        <f>"007791"</f>
        <v>0</v>
      </c>
      <c r="C11735" t="s">
        <v>4761</v>
      </c>
      <c r="D11735" t="s">
        <v>17379</v>
      </c>
      <c r="E11735" t="str">
        <f>"3160400030881"</f>
        <v>0</v>
      </c>
      <c r="F11735" t="str">
        <f>"007010"</f>
        <v>0</v>
      </c>
      <c r="G11735" t="s">
        <v>21</v>
      </c>
    </row>
    <row r="11736" spans="1:7">
      <c r="A11736">
        <v>11735</v>
      </c>
      <c r="B11736" t="str">
        <f>"008698"</f>
        <v>0</v>
      </c>
      <c r="C11736" t="s">
        <v>17380</v>
      </c>
      <c r="D11736" t="s">
        <v>14138</v>
      </c>
      <c r="E11736" t="str">
        <f>"3679800131298"</f>
        <v>0</v>
      </c>
      <c r="F11736" t="str">
        <f>"007010"</f>
        <v>0</v>
      </c>
      <c r="G11736" t="s">
        <v>21</v>
      </c>
    </row>
    <row r="11737" spans="1:7">
      <c r="A11737">
        <v>11736</v>
      </c>
      <c r="B11737" t="str">
        <f>"022784"</f>
        <v>0</v>
      </c>
      <c r="C11737" t="s">
        <v>1601</v>
      </c>
      <c r="D11737" t="s">
        <v>17381</v>
      </c>
      <c r="E11737" t="str">
        <f>"3320400058202"</f>
        <v>0</v>
      </c>
      <c r="F11737" t="str">
        <f>"007010"</f>
        <v>0</v>
      </c>
      <c r="G11737" t="s">
        <v>21</v>
      </c>
    </row>
    <row r="11738" spans="1:7">
      <c r="A11738">
        <v>11737</v>
      </c>
      <c r="B11738" t="str">
        <f>"006032"</f>
        <v>0</v>
      </c>
      <c r="C11738" t="s">
        <v>767</v>
      </c>
      <c r="D11738" t="s">
        <v>17382</v>
      </c>
      <c r="E11738" t="str">
        <f>"3141400304508"</f>
        <v>0</v>
      </c>
      <c r="F11738" t="str">
        <f>"007010"</f>
        <v>0</v>
      </c>
      <c r="G11738" t="s">
        <v>21</v>
      </c>
    </row>
    <row r="11739" spans="1:7">
      <c r="A11739">
        <v>11738</v>
      </c>
      <c r="B11739" t="str">
        <f>"006733"</f>
        <v>0</v>
      </c>
      <c r="C11739" t="s">
        <v>433</v>
      </c>
      <c r="D11739" t="s">
        <v>17383</v>
      </c>
      <c r="E11739" t="str">
        <f>"3140100270721"</f>
        <v>0</v>
      </c>
      <c r="F11739" t="str">
        <f>"007010"</f>
        <v>0</v>
      </c>
      <c r="G11739" t="s">
        <v>21</v>
      </c>
    </row>
    <row r="11740" spans="1:7">
      <c r="A11740">
        <v>11739</v>
      </c>
      <c r="B11740" t="str">
        <f>"012376"</f>
        <v>0</v>
      </c>
      <c r="C11740" t="s">
        <v>1822</v>
      </c>
      <c r="D11740" t="s">
        <v>17382</v>
      </c>
      <c r="E11740" t="str">
        <f>"3141400304443"</f>
        <v>0</v>
      </c>
      <c r="F11740" t="str">
        <f>"007010"</f>
        <v>0</v>
      </c>
      <c r="G11740" t="s">
        <v>21</v>
      </c>
    </row>
    <row r="11741" spans="1:7">
      <c r="A11741">
        <v>11740</v>
      </c>
      <c r="B11741" t="str">
        <f>"001927"</f>
        <v>0</v>
      </c>
      <c r="C11741" t="s">
        <v>1097</v>
      </c>
      <c r="D11741" t="s">
        <v>17384</v>
      </c>
      <c r="E11741" t="str">
        <f>"3100603390262"</f>
        <v>0</v>
      </c>
      <c r="F11741" t="str">
        <f>"007010"</f>
        <v>0</v>
      </c>
      <c r="G11741" t="s">
        <v>21</v>
      </c>
    </row>
    <row r="11742" spans="1:7">
      <c r="A11742">
        <v>11741</v>
      </c>
      <c r="B11742" t="str">
        <f>"004020"</f>
        <v>0</v>
      </c>
      <c r="C11742" t="s">
        <v>17385</v>
      </c>
      <c r="D11742" t="s">
        <v>17386</v>
      </c>
      <c r="E11742" t="str">
        <f>"5101400064201"</f>
        <v>0</v>
      </c>
      <c r="F11742" t="str">
        <f>"007010"</f>
        <v>0</v>
      </c>
      <c r="G11742" t="s">
        <v>21</v>
      </c>
    </row>
    <row r="11743" spans="1:7">
      <c r="A11743">
        <v>11742</v>
      </c>
      <c r="B11743" t="str">
        <f>"006442"</f>
        <v>0</v>
      </c>
      <c r="C11743" t="s">
        <v>8062</v>
      </c>
      <c r="D11743" t="s">
        <v>4958</v>
      </c>
      <c r="E11743" t="str">
        <f>"3302100619341"</f>
        <v>0</v>
      </c>
      <c r="F11743" t="str">
        <f>"007010"</f>
        <v>0</v>
      </c>
      <c r="G11743" t="s">
        <v>21</v>
      </c>
    </row>
    <row r="11744" spans="1:7">
      <c r="A11744">
        <v>11743</v>
      </c>
      <c r="B11744" t="str">
        <f>"010430"</f>
        <v>0</v>
      </c>
      <c r="C11744" t="s">
        <v>1806</v>
      </c>
      <c r="D11744" t="s">
        <v>15221</v>
      </c>
      <c r="E11744" t="str">
        <f>"3160101304131"</f>
        <v>0</v>
      </c>
      <c r="F11744" t="str">
        <f>"007010"</f>
        <v>0</v>
      </c>
      <c r="G11744" t="s">
        <v>21</v>
      </c>
    </row>
    <row r="11745" spans="1:7">
      <c r="A11745">
        <v>11744</v>
      </c>
      <c r="B11745" t="str">
        <f>"004323"</f>
        <v>0</v>
      </c>
      <c r="C11745" t="s">
        <v>17387</v>
      </c>
      <c r="D11745" t="s">
        <v>17388</v>
      </c>
      <c r="E11745" t="str">
        <f>"3180600419995"</f>
        <v>0</v>
      </c>
      <c r="F11745" t="str">
        <f>"007010"</f>
        <v>0</v>
      </c>
      <c r="G11745" t="s">
        <v>21</v>
      </c>
    </row>
    <row r="11746" spans="1:7">
      <c r="A11746">
        <v>11745</v>
      </c>
      <c r="B11746" t="str">
        <f>"003392"</f>
        <v>0</v>
      </c>
      <c r="C11746" t="s">
        <v>12864</v>
      </c>
      <c r="D11746" t="s">
        <v>17389</v>
      </c>
      <c r="E11746" t="str">
        <f>"3180200302829"</f>
        <v>0</v>
      </c>
      <c r="F11746" t="str">
        <f>"007010"</f>
        <v>0</v>
      </c>
      <c r="G11746" t="s">
        <v>21</v>
      </c>
    </row>
    <row r="11747" spans="1:7">
      <c r="A11747">
        <v>11746</v>
      </c>
      <c r="B11747" t="str">
        <f>"004363"</f>
        <v>0</v>
      </c>
      <c r="C11747" t="s">
        <v>235</v>
      </c>
      <c r="D11747" t="s">
        <v>17390</v>
      </c>
      <c r="E11747" t="str">
        <f>"3170600026918"</f>
        <v>0</v>
      </c>
      <c r="F11747" t="str">
        <f>"007010"</f>
        <v>0</v>
      </c>
      <c r="G11747" t="s">
        <v>21</v>
      </c>
    </row>
    <row r="11748" spans="1:7">
      <c r="A11748">
        <v>11747</v>
      </c>
      <c r="B11748" t="str">
        <f>"005738"</f>
        <v>0</v>
      </c>
      <c r="C11748" t="s">
        <v>126</v>
      </c>
      <c r="D11748" t="s">
        <v>4116</v>
      </c>
      <c r="E11748" t="str">
        <f>"3180200277107"</f>
        <v>0</v>
      </c>
      <c r="F11748" t="str">
        <f>"007010"</f>
        <v>0</v>
      </c>
      <c r="G11748" t="s">
        <v>21</v>
      </c>
    </row>
    <row r="11749" spans="1:7">
      <c r="A11749">
        <v>11748</v>
      </c>
      <c r="B11749" t="str">
        <f>"011744"</f>
        <v>0</v>
      </c>
      <c r="C11749" t="s">
        <v>411</v>
      </c>
      <c r="D11749" t="s">
        <v>17391</v>
      </c>
      <c r="E11749" t="str">
        <f>"3180200334178"</f>
        <v>0</v>
      </c>
      <c r="F11749" t="str">
        <f>"007010"</f>
        <v>0</v>
      </c>
      <c r="G11749" t="s">
        <v>21</v>
      </c>
    </row>
    <row r="11750" spans="1:7">
      <c r="A11750">
        <v>11749</v>
      </c>
      <c r="B11750" t="str">
        <f>"013994"</f>
        <v>0</v>
      </c>
      <c r="C11750" t="s">
        <v>12278</v>
      </c>
      <c r="D11750" t="s">
        <v>4119</v>
      </c>
      <c r="E11750" t="str">
        <f>"3189900036305"</f>
        <v>0</v>
      </c>
      <c r="F11750" t="str">
        <f>"007010"</f>
        <v>0</v>
      </c>
      <c r="G11750" t="s">
        <v>21</v>
      </c>
    </row>
    <row r="11751" spans="1:7">
      <c r="A11751">
        <v>11750</v>
      </c>
      <c r="B11751" t="str">
        <f>"019688"</f>
        <v>0</v>
      </c>
      <c r="C11751" t="s">
        <v>15361</v>
      </c>
      <c r="D11751" t="s">
        <v>17392</v>
      </c>
      <c r="E11751" t="str">
        <f>"3180500092498"</f>
        <v>0</v>
      </c>
      <c r="F11751" t="str">
        <f>"007010"</f>
        <v>0</v>
      </c>
      <c r="G11751" t="s">
        <v>21</v>
      </c>
    </row>
    <row r="11752" spans="1:7">
      <c r="A11752">
        <v>11751</v>
      </c>
      <c r="B11752" t="str">
        <f>"010377"</f>
        <v>0</v>
      </c>
      <c r="C11752" t="s">
        <v>13987</v>
      </c>
      <c r="D11752" t="s">
        <v>17393</v>
      </c>
      <c r="E11752" t="str">
        <f>"3190800009715"</f>
        <v>0</v>
      </c>
      <c r="F11752" t="str">
        <f>"007010"</f>
        <v>0</v>
      </c>
      <c r="G11752" t="s">
        <v>21</v>
      </c>
    </row>
    <row r="11753" spans="1:7">
      <c r="A11753">
        <v>11752</v>
      </c>
      <c r="B11753" t="str">
        <f>"011946"</f>
        <v>0</v>
      </c>
      <c r="C11753" t="s">
        <v>17394</v>
      </c>
      <c r="D11753" t="s">
        <v>17395</v>
      </c>
      <c r="E11753" t="str">
        <f>"3249900008106"</f>
        <v>0</v>
      </c>
      <c r="F11753" t="str">
        <f>"007010"</f>
        <v>0</v>
      </c>
      <c r="G11753" t="s">
        <v>21</v>
      </c>
    </row>
    <row r="11754" spans="1:7">
      <c r="A11754">
        <v>11753</v>
      </c>
      <c r="B11754" t="str">
        <f>"012374"</f>
        <v>0</v>
      </c>
      <c r="C11754" t="s">
        <v>17396</v>
      </c>
      <c r="D11754" t="s">
        <v>17395</v>
      </c>
      <c r="E11754" t="str">
        <f>"3190900154644"</f>
        <v>0</v>
      </c>
      <c r="F11754" t="str">
        <f>"007010"</f>
        <v>0</v>
      </c>
      <c r="G11754" t="s">
        <v>21</v>
      </c>
    </row>
    <row r="11755" spans="1:7">
      <c r="A11755">
        <v>11754</v>
      </c>
      <c r="B11755" t="str">
        <f>"012062"</f>
        <v>0</v>
      </c>
      <c r="C11755" t="s">
        <v>17397</v>
      </c>
      <c r="D11755" t="s">
        <v>3832</v>
      </c>
      <c r="E11755" t="str">
        <f>"3910300146449"</f>
        <v>0</v>
      </c>
      <c r="F11755" t="str">
        <f>"007010"</f>
        <v>0</v>
      </c>
      <c r="G11755" t="s">
        <v>21</v>
      </c>
    </row>
    <row r="11756" spans="1:7">
      <c r="A11756">
        <v>11755</v>
      </c>
      <c r="B11756" t="str">
        <f>"014576"</f>
        <v>0</v>
      </c>
      <c r="C11756" t="s">
        <v>587</v>
      </c>
      <c r="D11756" t="s">
        <v>17398</v>
      </c>
      <c r="E11756" t="str">
        <f>"3101401123892"</f>
        <v>0</v>
      </c>
      <c r="F11756" t="str">
        <f>"007010"</f>
        <v>0</v>
      </c>
      <c r="G11756" t="s">
        <v>21</v>
      </c>
    </row>
    <row r="11757" spans="1:7">
      <c r="A11757">
        <v>11756</v>
      </c>
      <c r="B11757" t="str">
        <f>"027487"</f>
        <v>0</v>
      </c>
      <c r="C11757" t="s">
        <v>789</v>
      </c>
      <c r="D11757" t="s">
        <v>17399</v>
      </c>
      <c r="E11757" t="str">
        <f>"3101000509811"</f>
        <v>0</v>
      </c>
      <c r="F11757" t="str">
        <f>"007010"</f>
        <v>0</v>
      </c>
      <c r="G11757" t="s">
        <v>21</v>
      </c>
    </row>
    <row r="11758" spans="1:7">
      <c r="A11758">
        <v>11757</v>
      </c>
      <c r="B11758" t="str">
        <f>"007504"</f>
        <v>0</v>
      </c>
      <c r="C11758" t="s">
        <v>4311</v>
      </c>
      <c r="D11758" t="s">
        <v>17400</v>
      </c>
      <c r="E11758" t="str">
        <f>"3240400422673"</f>
        <v>0</v>
      </c>
      <c r="F11758" t="str">
        <f>"007010"</f>
        <v>0</v>
      </c>
      <c r="G11758" t="s">
        <v>21</v>
      </c>
    </row>
    <row r="11759" spans="1:7">
      <c r="A11759">
        <v>11758</v>
      </c>
      <c r="B11759" t="str">
        <f>"003743"</f>
        <v>0</v>
      </c>
      <c r="C11759" t="s">
        <v>460</v>
      </c>
      <c r="D11759" t="s">
        <v>17401</v>
      </c>
      <c r="E11759" t="str">
        <f>"4309900007557"</f>
        <v>0</v>
      </c>
      <c r="F11759" t="str">
        <f>"007010"</f>
        <v>0</v>
      </c>
      <c r="G11759" t="s">
        <v>21</v>
      </c>
    </row>
    <row r="11760" spans="1:7">
      <c r="A11760">
        <v>11759</v>
      </c>
      <c r="B11760" t="str">
        <f>"004630"</f>
        <v>0</v>
      </c>
      <c r="C11760" t="s">
        <v>403</v>
      </c>
      <c r="D11760" t="s">
        <v>17402</v>
      </c>
      <c r="E11760" t="str">
        <f>"3310900264812"</f>
        <v>0</v>
      </c>
      <c r="F11760" t="str">
        <f>"007010"</f>
        <v>0</v>
      </c>
      <c r="G11760" t="s">
        <v>21</v>
      </c>
    </row>
    <row r="11761" spans="1:7">
      <c r="A11761">
        <v>11760</v>
      </c>
      <c r="B11761" t="str">
        <f>"005891"</f>
        <v>0</v>
      </c>
      <c r="C11761" t="s">
        <v>17403</v>
      </c>
      <c r="D11761" t="s">
        <v>17021</v>
      </c>
      <c r="E11761" t="str">
        <f>"3470400042241"</f>
        <v>0</v>
      </c>
      <c r="F11761" t="str">
        <f>"007010"</f>
        <v>0</v>
      </c>
      <c r="G11761" t="s">
        <v>21</v>
      </c>
    </row>
    <row r="11762" spans="1:7">
      <c r="A11762">
        <v>11761</v>
      </c>
      <c r="B11762" t="str">
        <f>"006294"</f>
        <v>0</v>
      </c>
      <c r="C11762" t="s">
        <v>881</v>
      </c>
      <c r="D11762" t="s">
        <v>17404</v>
      </c>
      <c r="E11762" t="str">
        <f>"3309901168734"</f>
        <v>0</v>
      </c>
      <c r="F11762" t="str">
        <f>"007010"</f>
        <v>0</v>
      </c>
      <c r="G11762" t="s">
        <v>21</v>
      </c>
    </row>
    <row r="11763" spans="1:7">
      <c r="A11763">
        <v>11762</v>
      </c>
      <c r="B11763" t="str">
        <f>"006415"</f>
        <v>0</v>
      </c>
      <c r="C11763" t="s">
        <v>4885</v>
      </c>
      <c r="D11763" t="s">
        <v>17021</v>
      </c>
      <c r="E11763" t="str">
        <f>"3470400042232"</f>
        <v>0</v>
      </c>
      <c r="F11763" t="str">
        <f>"007010"</f>
        <v>0</v>
      </c>
      <c r="G11763" t="s">
        <v>21</v>
      </c>
    </row>
    <row r="11764" spans="1:7">
      <c r="A11764">
        <v>11763</v>
      </c>
      <c r="B11764" t="str">
        <f>"007353"</f>
        <v>0</v>
      </c>
      <c r="C11764" t="s">
        <v>17405</v>
      </c>
      <c r="D11764" t="s">
        <v>7160</v>
      </c>
      <c r="E11764" t="str">
        <f>"3440400568021"</f>
        <v>0</v>
      </c>
      <c r="F11764" t="str">
        <f>"007010"</f>
        <v>0</v>
      </c>
      <c r="G11764" t="s">
        <v>21</v>
      </c>
    </row>
    <row r="11765" spans="1:7">
      <c r="A11765">
        <v>11764</v>
      </c>
      <c r="B11765" t="str">
        <f>"013526"</f>
        <v>0</v>
      </c>
      <c r="C11765" t="s">
        <v>16026</v>
      </c>
      <c r="D11765" t="s">
        <v>17406</v>
      </c>
      <c r="E11765" t="str">
        <f>"5300100019704"</f>
        <v>0</v>
      </c>
      <c r="F11765" t="str">
        <f>"007010"</f>
        <v>0</v>
      </c>
      <c r="G11765" t="s">
        <v>21</v>
      </c>
    </row>
    <row r="11766" spans="1:7">
      <c r="A11766">
        <v>11765</v>
      </c>
      <c r="B11766" t="str">
        <f>"013773"</f>
        <v>0</v>
      </c>
      <c r="C11766" t="s">
        <v>5201</v>
      </c>
      <c r="D11766" t="s">
        <v>17407</v>
      </c>
      <c r="E11766" t="str">
        <f>"3102002325913"</f>
        <v>0</v>
      </c>
      <c r="F11766" t="str">
        <f>"007010"</f>
        <v>0</v>
      </c>
      <c r="G11766" t="s">
        <v>21</v>
      </c>
    </row>
    <row r="11767" spans="1:7">
      <c r="A11767">
        <v>11766</v>
      </c>
      <c r="B11767" t="str">
        <f>"013774"</f>
        <v>0</v>
      </c>
      <c r="C11767" t="s">
        <v>4609</v>
      </c>
      <c r="D11767" t="s">
        <v>16644</v>
      </c>
      <c r="E11767" t="str">
        <f>"3102001504628"</f>
        <v>0</v>
      </c>
      <c r="F11767" t="str">
        <f>"007010"</f>
        <v>0</v>
      </c>
      <c r="G11767" t="s">
        <v>21</v>
      </c>
    </row>
    <row r="11768" spans="1:7">
      <c r="A11768">
        <v>11767</v>
      </c>
      <c r="B11768" t="str">
        <f>"016650"</f>
        <v>0</v>
      </c>
      <c r="C11768" t="s">
        <v>17408</v>
      </c>
      <c r="D11768" t="s">
        <v>6896</v>
      </c>
      <c r="E11768" t="str">
        <f>"5960400016241"</f>
        <v>0</v>
      </c>
      <c r="F11768" t="str">
        <f>"007010"</f>
        <v>0</v>
      </c>
      <c r="G11768" t="s">
        <v>21</v>
      </c>
    </row>
    <row r="11769" spans="1:7">
      <c r="A11769">
        <v>11768</v>
      </c>
      <c r="B11769" t="str">
        <f>"017091"</f>
        <v>0</v>
      </c>
      <c r="C11769" t="s">
        <v>458</v>
      </c>
      <c r="D11769" t="s">
        <v>8479</v>
      </c>
      <c r="E11769" t="str">
        <f>"3311000614087"</f>
        <v>0</v>
      </c>
      <c r="F11769" t="str">
        <f>"007010"</f>
        <v>0</v>
      </c>
      <c r="G11769" t="s">
        <v>21</v>
      </c>
    </row>
    <row r="11770" spans="1:7">
      <c r="A11770">
        <v>11769</v>
      </c>
      <c r="B11770" t="str">
        <f>"007735"</f>
        <v>0</v>
      </c>
      <c r="C11770" t="s">
        <v>1162</v>
      </c>
      <c r="D11770" t="s">
        <v>17409</v>
      </c>
      <c r="E11770" t="str">
        <f>"3310800226684"</f>
        <v>0</v>
      </c>
      <c r="F11770" t="str">
        <f>"007010"</f>
        <v>0</v>
      </c>
      <c r="G11770" t="s">
        <v>21</v>
      </c>
    </row>
    <row r="11771" spans="1:7">
      <c r="A11771">
        <v>11770</v>
      </c>
      <c r="B11771" t="str">
        <f>"014005"</f>
        <v>0</v>
      </c>
      <c r="C11771" t="s">
        <v>17410</v>
      </c>
      <c r="D11771" t="s">
        <v>17411</v>
      </c>
      <c r="E11771" t="str">
        <f>"3302100436998"</f>
        <v>0</v>
      </c>
      <c r="F11771" t="str">
        <f>"007010"</f>
        <v>0</v>
      </c>
      <c r="G11771" t="s">
        <v>21</v>
      </c>
    </row>
    <row r="11772" spans="1:7">
      <c r="A11772">
        <v>11771</v>
      </c>
      <c r="B11772" t="str">
        <f>"002884"</f>
        <v>0</v>
      </c>
      <c r="C11772" t="s">
        <v>3812</v>
      </c>
      <c r="D11772" t="s">
        <v>17412</v>
      </c>
      <c r="E11772" t="str">
        <f>"3349900161795"</f>
        <v>0</v>
      </c>
      <c r="F11772" t="str">
        <f>"007010"</f>
        <v>0</v>
      </c>
      <c r="G11772" t="s">
        <v>21</v>
      </c>
    </row>
    <row r="11773" spans="1:7">
      <c r="A11773">
        <v>11772</v>
      </c>
      <c r="B11773" t="str">
        <f>"007093"</f>
        <v>0</v>
      </c>
      <c r="C11773" t="s">
        <v>2283</v>
      </c>
      <c r="D11773" t="s">
        <v>17413</v>
      </c>
      <c r="E11773" t="str">
        <f>"3340300019728"</f>
        <v>0</v>
      </c>
      <c r="F11773" t="str">
        <f>"007010"</f>
        <v>0</v>
      </c>
      <c r="G11773" t="s">
        <v>21</v>
      </c>
    </row>
    <row r="11774" spans="1:7">
      <c r="A11774">
        <v>11773</v>
      </c>
      <c r="B11774" t="str">
        <f>"019343"</f>
        <v>0</v>
      </c>
      <c r="C11774" t="s">
        <v>3837</v>
      </c>
      <c r="D11774" t="s">
        <v>17414</v>
      </c>
      <c r="E11774" t="str">
        <f>"3101700516951"</f>
        <v>0</v>
      </c>
      <c r="F11774" t="str">
        <f>"007010"</f>
        <v>0</v>
      </c>
      <c r="G11774" t="s">
        <v>21</v>
      </c>
    </row>
    <row r="11775" spans="1:7">
      <c r="A11775">
        <v>11774</v>
      </c>
      <c r="B11775" t="str">
        <f>"014774"</f>
        <v>0</v>
      </c>
      <c r="C11775" t="s">
        <v>17415</v>
      </c>
      <c r="D11775" t="s">
        <v>7277</v>
      </c>
      <c r="E11775" t="str">
        <f>"4459900001957"</f>
        <v>0</v>
      </c>
      <c r="F11775" t="str">
        <f>"007010"</f>
        <v>0</v>
      </c>
      <c r="G11775" t="s">
        <v>21</v>
      </c>
    </row>
    <row r="11776" spans="1:7">
      <c r="A11776">
        <v>11775</v>
      </c>
      <c r="B11776" t="str">
        <f>"003520"</f>
        <v>0</v>
      </c>
      <c r="C11776" t="s">
        <v>17416</v>
      </c>
      <c r="D11776" t="s">
        <v>2772</v>
      </c>
      <c r="E11776" t="str">
        <f>"3400700707191"</f>
        <v>0</v>
      </c>
      <c r="F11776" t="str">
        <f>"007010"</f>
        <v>0</v>
      </c>
      <c r="G11776" t="s">
        <v>21</v>
      </c>
    </row>
    <row r="11777" spans="1:7">
      <c r="A11777">
        <v>11776</v>
      </c>
      <c r="B11777" t="str">
        <f>"004218"</f>
        <v>0</v>
      </c>
      <c r="C11777" t="s">
        <v>3052</v>
      </c>
      <c r="D11777" t="s">
        <v>17417</v>
      </c>
      <c r="E11777" t="str">
        <f>"3949900219003"</f>
        <v>0</v>
      </c>
      <c r="F11777" t="str">
        <f>"007010"</f>
        <v>0</v>
      </c>
      <c r="G11777" t="s">
        <v>21</v>
      </c>
    </row>
    <row r="11778" spans="1:7">
      <c r="A11778">
        <v>11777</v>
      </c>
      <c r="B11778" t="str">
        <f>"008078"</f>
        <v>0</v>
      </c>
      <c r="C11778" t="s">
        <v>17418</v>
      </c>
      <c r="D11778" t="s">
        <v>17419</v>
      </c>
      <c r="E11778" t="str">
        <f>"5410490030201"</f>
        <v>0</v>
      </c>
      <c r="F11778" t="str">
        <f>"007010"</f>
        <v>0</v>
      </c>
      <c r="G11778" t="s">
        <v>21</v>
      </c>
    </row>
    <row r="11779" spans="1:7">
      <c r="A11779">
        <v>11778</v>
      </c>
      <c r="B11779" t="str">
        <f>"008560"</f>
        <v>0</v>
      </c>
      <c r="C11779" t="s">
        <v>4395</v>
      </c>
      <c r="D11779" t="s">
        <v>17420</v>
      </c>
      <c r="E11779" t="str">
        <f>"3400100640631"</f>
        <v>0</v>
      </c>
      <c r="F11779" t="str">
        <f>"007010"</f>
        <v>0</v>
      </c>
      <c r="G11779" t="s">
        <v>21</v>
      </c>
    </row>
    <row r="11780" spans="1:7">
      <c r="A11780">
        <v>11779</v>
      </c>
      <c r="B11780" t="str">
        <f>"014728"</f>
        <v>0</v>
      </c>
      <c r="C11780" t="s">
        <v>17421</v>
      </c>
      <c r="D11780" t="s">
        <v>17422</v>
      </c>
      <c r="E11780" t="str">
        <f>"3409900315589"</f>
        <v>0</v>
      </c>
      <c r="F11780" t="str">
        <f>"007010"</f>
        <v>0</v>
      </c>
      <c r="G11780" t="s">
        <v>21</v>
      </c>
    </row>
    <row r="11781" spans="1:7">
      <c r="A11781">
        <v>11780</v>
      </c>
      <c r="B11781" t="str">
        <f>"023247"</f>
        <v>0</v>
      </c>
      <c r="C11781" t="s">
        <v>17423</v>
      </c>
      <c r="D11781" t="s">
        <v>17424</v>
      </c>
      <c r="E11781" t="str">
        <f>"3440200221087"</f>
        <v>0</v>
      </c>
      <c r="F11781" t="str">
        <f>"007010"</f>
        <v>0</v>
      </c>
      <c r="G11781" t="s">
        <v>21</v>
      </c>
    </row>
    <row r="11782" spans="1:7">
      <c r="A11782">
        <v>11781</v>
      </c>
      <c r="B11782" t="str">
        <f>"008388"</f>
        <v>0</v>
      </c>
      <c r="C11782" t="s">
        <v>17425</v>
      </c>
      <c r="D11782" t="s">
        <v>17426</v>
      </c>
      <c r="E11782" t="str">
        <f>"3102000125801"</f>
        <v>0</v>
      </c>
      <c r="F11782" t="str">
        <f>"007010"</f>
        <v>0</v>
      </c>
      <c r="G11782" t="s">
        <v>21</v>
      </c>
    </row>
    <row r="11783" spans="1:7">
      <c r="A11783">
        <v>11782</v>
      </c>
      <c r="B11783" t="str">
        <f>"018582"</f>
        <v>0</v>
      </c>
      <c r="C11783" t="s">
        <v>12182</v>
      </c>
      <c r="D11783" t="s">
        <v>17427</v>
      </c>
      <c r="E11783" t="str">
        <f>"3411300602571"</f>
        <v>0</v>
      </c>
      <c r="F11783" t="str">
        <f>"007010"</f>
        <v>0</v>
      </c>
      <c r="G11783" t="s">
        <v>21</v>
      </c>
    </row>
    <row r="11784" spans="1:7">
      <c r="A11784">
        <v>11783</v>
      </c>
      <c r="B11784" t="str">
        <f>"010926"</f>
        <v>0</v>
      </c>
      <c r="C11784" t="s">
        <v>1341</v>
      </c>
      <c r="D11784" t="s">
        <v>17428</v>
      </c>
      <c r="E11784" t="str">
        <f>"3300101293081"</f>
        <v>0</v>
      </c>
      <c r="F11784" t="str">
        <f>"007010"</f>
        <v>0</v>
      </c>
      <c r="G11784" t="s">
        <v>21</v>
      </c>
    </row>
    <row r="11785" spans="1:7">
      <c r="A11785">
        <v>11784</v>
      </c>
      <c r="B11785" t="str">
        <f>"003438"</f>
        <v>0</v>
      </c>
      <c r="C11785" t="s">
        <v>14976</v>
      </c>
      <c r="D11785" t="s">
        <v>11663</v>
      </c>
      <c r="E11785" t="str">
        <f>"5349990006588"</f>
        <v>0</v>
      </c>
      <c r="F11785" t="str">
        <f>"007010"</f>
        <v>0</v>
      </c>
      <c r="G11785" t="s">
        <v>21</v>
      </c>
    </row>
    <row r="11786" spans="1:7">
      <c r="A11786">
        <v>11785</v>
      </c>
      <c r="B11786" t="str">
        <f>"011400"</f>
        <v>0</v>
      </c>
      <c r="C11786" t="s">
        <v>17429</v>
      </c>
      <c r="D11786" t="s">
        <v>17430</v>
      </c>
      <c r="E11786" t="str">
        <f>"3490500168424"</f>
        <v>0</v>
      </c>
      <c r="F11786" t="str">
        <f>"007010"</f>
        <v>0</v>
      </c>
      <c r="G11786" t="s">
        <v>21</v>
      </c>
    </row>
    <row r="11787" spans="1:7">
      <c r="A11787">
        <v>11786</v>
      </c>
      <c r="B11787" t="str">
        <f>"023248"</f>
        <v>0</v>
      </c>
      <c r="C11787" t="s">
        <v>9414</v>
      </c>
      <c r="D11787" t="s">
        <v>17431</v>
      </c>
      <c r="E11787" t="str">
        <f>"3570900015217"</f>
        <v>0</v>
      </c>
      <c r="F11787" t="str">
        <f>"007010"</f>
        <v>0</v>
      </c>
      <c r="G11787" t="s">
        <v>21</v>
      </c>
    </row>
    <row r="11788" spans="1:7">
      <c r="A11788">
        <v>11787</v>
      </c>
      <c r="B11788" t="str">
        <f>"005486"</f>
        <v>0</v>
      </c>
      <c r="C11788" t="s">
        <v>3620</v>
      </c>
      <c r="D11788" t="s">
        <v>17432</v>
      </c>
      <c r="E11788" t="str">
        <f>"3470800971958"</f>
        <v>0</v>
      </c>
      <c r="F11788" t="str">
        <f>"007010"</f>
        <v>0</v>
      </c>
      <c r="G11788" t="s">
        <v>21</v>
      </c>
    </row>
    <row r="11789" spans="1:7">
      <c r="A11789">
        <v>11788</v>
      </c>
      <c r="B11789" t="str">
        <f>"003069"</f>
        <v>0</v>
      </c>
      <c r="C11789" t="s">
        <v>17433</v>
      </c>
      <c r="D11789" t="s">
        <v>17434</v>
      </c>
      <c r="E11789" t="str">
        <f>"3500700044485"</f>
        <v>0</v>
      </c>
      <c r="F11789" t="str">
        <f>"007010"</f>
        <v>0</v>
      </c>
      <c r="G11789" t="s">
        <v>21</v>
      </c>
    </row>
    <row r="11790" spans="1:7">
      <c r="A11790">
        <v>11789</v>
      </c>
      <c r="B11790" t="str">
        <f>"007082"</f>
        <v>0</v>
      </c>
      <c r="C11790" t="s">
        <v>4783</v>
      </c>
      <c r="D11790" t="s">
        <v>17435</v>
      </c>
      <c r="E11790" t="str">
        <f>"3501200640853"</f>
        <v>0</v>
      </c>
      <c r="F11790" t="str">
        <f>"007010"</f>
        <v>0</v>
      </c>
      <c r="G11790" t="s">
        <v>21</v>
      </c>
    </row>
    <row r="11791" spans="1:7">
      <c r="A11791">
        <v>11790</v>
      </c>
      <c r="B11791" t="str">
        <f>"007102"</f>
        <v>0</v>
      </c>
      <c r="C11791" t="s">
        <v>17436</v>
      </c>
      <c r="D11791" t="s">
        <v>13128</v>
      </c>
      <c r="E11791" t="str">
        <f>"3200700281030"</f>
        <v>0</v>
      </c>
      <c r="F11791" t="str">
        <f>"007010"</f>
        <v>0</v>
      </c>
      <c r="G11791" t="s">
        <v>21</v>
      </c>
    </row>
    <row r="11792" spans="1:7">
      <c r="A11792">
        <v>11791</v>
      </c>
      <c r="B11792" t="str">
        <f>"007108"</f>
        <v>0</v>
      </c>
      <c r="C11792" t="s">
        <v>4269</v>
      </c>
      <c r="D11792" t="s">
        <v>17434</v>
      </c>
      <c r="E11792" t="str">
        <f>"3650101241941"</f>
        <v>0</v>
      </c>
      <c r="F11792" t="str">
        <f>"007010"</f>
        <v>0</v>
      </c>
      <c r="G11792" t="s">
        <v>21</v>
      </c>
    </row>
    <row r="11793" spans="1:7">
      <c r="A11793">
        <v>11792</v>
      </c>
      <c r="B11793" t="str">
        <f>"007847"</f>
        <v>0</v>
      </c>
      <c r="C11793" t="s">
        <v>525</v>
      </c>
      <c r="D11793" t="s">
        <v>8189</v>
      </c>
      <c r="E11793" t="str">
        <f>"3650801027640"</f>
        <v>0</v>
      </c>
      <c r="F11793" t="str">
        <f>"007010"</f>
        <v>0</v>
      </c>
      <c r="G11793" t="s">
        <v>21</v>
      </c>
    </row>
    <row r="11794" spans="1:7">
      <c r="A11794">
        <v>11793</v>
      </c>
      <c r="B11794" t="str">
        <f>"009222"</f>
        <v>0</v>
      </c>
      <c r="C11794" t="s">
        <v>361</v>
      </c>
      <c r="D11794" t="s">
        <v>17437</v>
      </c>
      <c r="E11794" t="str">
        <f>"3509901441030"</f>
        <v>0</v>
      </c>
      <c r="F11794" t="str">
        <f>"007010"</f>
        <v>0</v>
      </c>
      <c r="G11794" t="s">
        <v>21</v>
      </c>
    </row>
    <row r="11795" spans="1:7">
      <c r="A11795">
        <v>11794</v>
      </c>
      <c r="B11795" t="str">
        <f>"012144"</f>
        <v>0</v>
      </c>
      <c r="C11795" t="s">
        <v>17438</v>
      </c>
      <c r="D11795" t="s">
        <v>17439</v>
      </c>
      <c r="E11795" t="str">
        <f>"3509900299272"</f>
        <v>0</v>
      </c>
      <c r="F11795" t="str">
        <f>"007010"</f>
        <v>0</v>
      </c>
      <c r="G11795" t="s">
        <v>21</v>
      </c>
    </row>
    <row r="11796" spans="1:7">
      <c r="A11796">
        <v>11795</v>
      </c>
      <c r="B11796" t="str">
        <f>"014146"</f>
        <v>0</v>
      </c>
      <c r="C11796" t="s">
        <v>197</v>
      </c>
      <c r="D11796" t="s">
        <v>17440</v>
      </c>
      <c r="E11796" t="str">
        <f>"3509900138520"</f>
        <v>0</v>
      </c>
      <c r="F11796" t="str">
        <f>"007010"</f>
        <v>0</v>
      </c>
      <c r="G11796" t="s">
        <v>21</v>
      </c>
    </row>
    <row r="11797" spans="1:7">
      <c r="A11797">
        <v>11796</v>
      </c>
      <c r="B11797" t="str">
        <f>"015460"</f>
        <v>0</v>
      </c>
      <c r="C11797" t="s">
        <v>17441</v>
      </c>
      <c r="D11797" t="s">
        <v>17442</v>
      </c>
      <c r="E11797" t="str">
        <f>"3500600259820"</f>
        <v>0</v>
      </c>
      <c r="F11797" t="str">
        <f>"007010"</f>
        <v>0</v>
      </c>
      <c r="G11797" t="s">
        <v>21</v>
      </c>
    </row>
    <row r="11798" spans="1:7">
      <c r="A11798">
        <v>11797</v>
      </c>
      <c r="B11798" t="str">
        <f>"015681"</f>
        <v>0</v>
      </c>
      <c r="C11798" t="s">
        <v>17443</v>
      </c>
      <c r="D11798" t="s">
        <v>17444</v>
      </c>
      <c r="E11798" t="str">
        <f>"3640600115614"</f>
        <v>0</v>
      </c>
      <c r="F11798" t="str">
        <f>"007010"</f>
        <v>0</v>
      </c>
      <c r="G11798" t="s">
        <v>21</v>
      </c>
    </row>
    <row r="11799" spans="1:7">
      <c r="A11799">
        <v>11798</v>
      </c>
      <c r="B11799" t="str">
        <f>"016812"</f>
        <v>0</v>
      </c>
      <c r="C11799" t="s">
        <v>17445</v>
      </c>
      <c r="D11799" t="s">
        <v>13128</v>
      </c>
      <c r="E11799" t="str">
        <f>"3501500250171"</f>
        <v>0</v>
      </c>
      <c r="F11799" t="str">
        <f>"007010"</f>
        <v>0</v>
      </c>
      <c r="G11799" t="s">
        <v>21</v>
      </c>
    </row>
    <row r="11800" spans="1:7">
      <c r="A11800">
        <v>11799</v>
      </c>
      <c r="B11800" t="str">
        <f>"017123"</f>
        <v>0</v>
      </c>
      <c r="C11800" t="s">
        <v>520</v>
      </c>
      <c r="D11800" t="s">
        <v>17446</v>
      </c>
      <c r="E11800" t="str">
        <f>"3650801042525"</f>
        <v>0</v>
      </c>
      <c r="F11800" t="str">
        <f>"007010"</f>
        <v>0</v>
      </c>
      <c r="G11800" t="s">
        <v>21</v>
      </c>
    </row>
    <row r="11801" spans="1:7">
      <c r="A11801">
        <v>11800</v>
      </c>
      <c r="B11801" t="str">
        <f>"017201"</f>
        <v>0</v>
      </c>
      <c r="C11801" t="s">
        <v>17447</v>
      </c>
      <c r="D11801" t="s">
        <v>17448</v>
      </c>
      <c r="E11801" t="str">
        <f>"3501200134303"</f>
        <v>0</v>
      </c>
      <c r="F11801" t="str">
        <f>"007010"</f>
        <v>0</v>
      </c>
      <c r="G11801" t="s">
        <v>21</v>
      </c>
    </row>
    <row r="11802" spans="1:7">
      <c r="A11802">
        <v>11801</v>
      </c>
      <c r="B11802" t="str">
        <f>"020055"</f>
        <v>0</v>
      </c>
      <c r="C11802" t="s">
        <v>1820</v>
      </c>
      <c r="D11802" t="s">
        <v>2745</v>
      </c>
      <c r="E11802" t="str">
        <f>"3509901494273"</f>
        <v>0</v>
      </c>
      <c r="F11802" t="str">
        <f>"007010"</f>
        <v>0</v>
      </c>
      <c r="G11802" t="s">
        <v>21</v>
      </c>
    </row>
    <row r="11803" spans="1:7">
      <c r="A11803">
        <v>11802</v>
      </c>
      <c r="B11803" t="str">
        <f>"023521"</f>
        <v>0</v>
      </c>
      <c r="C11803" t="s">
        <v>1110</v>
      </c>
      <c r="D11803" t="s">
        <v>17449</v>
      </c>
      <c r="E11803" t="str">
        <f>"3509900056353"</f>
        <v>0</v>
      </c>
      <c r="F11803" t="str">
        <f>"007010"</f>
        <v>0</v>
      </c>
      <c r="G11803" t="s">
        <v>21</v>
      </c>
    </row>
    <row r="11804" spans="1:7">
      <c r="A11804">
        <v>11803</v>
      </c>
      <c r="B11804" t="str">
        <f>"025067"</f>
        <v>0</v>
      </c>
      <c r="C11804" t="s">
        <v>17450</v>
      </c>
      <c r="D11804" t="s">
        <v>17451</v>
      </c>
      <c r="E11804" t="str">
        <f>"3579900093283"</f>
        <v>0</v>
      </c>
      <c r="F11804" t="str">
        <f>"007010"</f>
        <v>0</v>
      </c>
      <c r="G11804" t="s">
        <v>21</v>
      </c>
    </row>
    <row r="11805" spans="1:7">
      <c r="A11805">
        <v>11804</v>
      </c>
      <c r="B11805" t="str">
        <f>"010505"</f>
        <v>0</v>
      </c>
      <c r="C11805" t="s">
        <v>17452</v>
      </c>
      <c r="D11805" t="s">
        <v>17453</v>
      </c>
      <c r="E11805" t="str">
        <f>"3510100276741"</f>
        <v>0</v>
      </c>
      <c r="F11805" t="str">
        <f>"007010"</f>
        <v>0</v>
      </c>
      <c r="G11805" t="s">
        <v>21</v>
      </c>
    </row>
    <row r="11806" spans="1:7">
      <c r="A11806">
        <v>11805</v>
      </c>
      <c r="B11806" t="str">
        <f>"019685"</f>
        <v>0</v>
      </c>
      <c r="C11806" t="s">
        <v>17454</v>
      </c>
      <c r="D11806" t="s">
        <v>17455</v>
      </c>
      <c r="E11806" t="str">
        <f>"3510100914381"</f>
        <v>0</v>
      </c>
      <c r="F11806" t="str">
        <f>"007010"</f>
        <v>0</v>
      </c>
      <c r="G11806" t="s">
        <v>21</v>
      </c>
    </row>
    <row r="11807" spans="1:7">
      <c r="A11807">
        <v>11806</v>
      </c>
      <c r="B11807" t="str">
        <f>"005464"</f>
        <v>0</v>
      </c>
      <c r="C11807" t="s">
        <v>587</v>
      </c>
      <c r="D11807" t="s">
        <v>17456</v>
      </c>
      <c r="E11807" t="str">
        <f>"3520100489397"</f>
        <v>0</v>
      </c>
      <c r="F11807" t="str">
        <f>"007010"</f>
        <v>0</v>
      </c>
      <c r="G11807" t="s">
        <v>21</v>
      </c>
    </row>
    <row r="11808" spans="1:7">
      <c r="A11808">
        <v>11807</v>
      </c>
      <c r="B11808" t="str">
        <f>"009208"</f>
        <v>0</v>
      </c>
      <c r="C11808" t="s">
        <v>17457</v>
      </c>
      <c r="D11808" t="s">
        <v>17458</v>
      </c>
      <c r="E11808" t="str">
        <f>"3521200255208"</f>
        <v>0</v>
      </c>
      <c r="F11808" t="str">
        <f>"007010"</f>
        <v>0</v>
      </c>
      <c r="G11808" t="s">
        <v>21</v>
      </c>
    </row>
    <row r="11809" spans="1:7">
      <c r="A11809">
        <v>11808</v>
      </c>
      <c r="B11809" t="str">
        <f>"017004"</f>
        <v>0</v>
      </c>
      <c r="C11809" t="s">
        <v>3490</v>
      </c>
      <c r="D11809" t="s">
        <v>15221</v>
      </c>
      <c r="E11809" t="str">
        <f>"3520100846424"</f>
        <v>0</v>
      </c>
      <c r="F11809" t="str">
        <f>"007010"</f>
        <v>0</v>
      </c>
      <c r="G11809" t="s">
        <v>21</v>
      </c>
    </row>
    <row r="11810" spans="1:7">
      <c r="A11810">
        <v>11809</v>
      </c>
      <c r="B11810" t="str">
        <f>"009352"</f>
        <v>0</v>
      </c>
      <c r="C11810" t="s">
        <v>987</v>
      </c>
      <c r="D11810" t="s">
        <v>17459</v>
      </c>
      <c r="E11810" t="str">
        <f>"3570400001152"</f>
        <v>0</v>
      </c>
      <c r="F11810" t="str">
        <f>"007010"</f>
        <v>0</v>
      </c>
      <c r="G11810" t="s">
        <v>21</v>
      </c>
    </row>
    <row r="11811" spans="1:7">
      <c r="A11811">
        <v>11810</v>
      </c>
      <c r="B11811" t="str">
        <f>"014264"</f>
        <v>0</v>
      </c>
      <c r="C11811" t="s">
        <v>26</v>
      </c>
      <c r="D11811" t="s">
        <v>10981</v>
      </c>
      <c r="E11811" t="str">
        <f>"3549900095677"</f>
        <v>0</v>
      </c>
      <c r="F11811" t="str">
        <f>"007010"</f>
        <v>0</v>
      </c>
      <c r="G11811" t="s">
        <v>21</v>
      </c>
    </row>
    <row r="11812" spans="1:7">
      <c r="A11812">
        <v>11811</v>
      </c>
      <c r="B11812" t="str">
        <f>"006036"</f>
        <v>0</v>
      </c>
      <c r="C11812" t="s">
        <v>17460</v>
      </c>
      <c r="D11812" t="s">
        <v>17461</v>
      </c>
      <c r="E11812" t="str">
        <f>"3230400245020"</f>
        <v>0</v>
      </c>
      <c r="F11812" t="str">
        <f>"007010"</f>
        <v>0</v>
      </c>
      <c r="G11812" t="s">
        <v>21</v>
      </c>
    </row>
    <row r="11813" spans="1:7">
      <c r="A11813">
        <v>11812</v>
      </c>
      <c r="B11813" t="str">
        <f>"015078"</f>
        <v>0</v>
      </c>
      <c r="C11813" t="s">
        <v>367</v>
      </c>
      <c r="D11813" t="s">
        <v>17462</v>
      </c>
      <c r="E11813" t="str">
        <f>"3559900122151"</f>
        <v>0</v>
      </c>
      <c r="F11813" t="str">
        <f>"007010"</f>
        <v>0</v>
      </c>
      <c r="G11813" t="s">
        <v>21</v>
      </c>
    </row>
    <row r="11814" spans="1:7">
      <c r="A11814">
        <v>11813</v>
      </c>
      <c r="B11814" t="str">
        <f>"020383"</f>
        <v>0</v>
      </c>
      <c r="C11814" t="s">
        <v>4903</v>
      </c>
      <c r="D11814" t="s">
        <v>17463</v>
      </c>
      <c r="E11814" t="str">
        <f>"3639900067346"</f>
        <v>0</v>
      </c>
      <c r="F11814" t="str">
        <f>"007010"</f>
        <v>0</v>
      </c>
      <c r="G11814" t="s">
        <v>21</v>
      </c>
    </row>
    <row r="11815" spans="1:7">
      <c r="A11815">
        <v>11814</v>
      </c>
      <c r="B11815" t="str">
        <f>"003556"</f>
        <v>0</v>
      </c>
      <c r="C11815" t="s">
        <v>370</v>
      </c>
      <c r="D11815" t="s">
        <v>17464</v>
      </c>
      <c r="E11815" t="str">
        <f>"3609900148061"</f>
        <v>0</v>
      </c>
      <c r="F11815" t="str">
        <f>"007010"</f>
        <v>0</v>
      </c>
      <c r="G11815" t="s">
        <v>21</v>
      </c>
    </row>
    <row r="11816" spans="1:7">
      <c r="A11816">
        <v>11815</v>
      </c>
      <c r="B11816" t="str">
        <f>"005993"</f>
        <v>0</v>
      </c>
      <c r="C11816" t="s">
        <v>17465</v>
      </c>
      <c r="D11816" t="s">
        <v>17466</v>
      </c>
      <c r="E11816" t="str">
        <f>"3180200210622"</f>
        <v>0</v>
      </c>
      <c r="F11816" t="str">
        <f>"007010"</f>
        <v>0</v>
      </c>
      <c r="G11816" t="s">
        <v>21</v>
      </c>
    </row>
    <row r="11817" spans="1:7">
      <c r="A11817">
        <v>11816</v>
      </c>
      <c r="B11817" t="str">
        <f>"007364"</f>
        <v>0</v>
      </c>
      <c r="C11817" t="s">
        <v>148</v>
      </c>
      <c r="D11817" t="s">
        <v>17467</v>
      </c>
      <c r="E11817" t="str">
        <f>"3619900015877"</f>
        <v>0</v>
      </c>
      <c r="F11817" t="str">
        <f>"007010"</f>
        <v>0</v>
      </c>
      <c r="G11817" t="s">
        <v>21</v>
      </c>
    </row>
    <row r="11818" spans="1:7">
      <c r="A11818">
        <v>11817</v>
      </c>
      <c r="B11818" t="str">
        <f>"008566"</f>
        <v>0</v>
      </c>
      <c r="C11818" t="s">
        <v>3147</v>
      </c>
      <c r="D11818" t="s">
        <v>17468</v>
      </c>
      <c r="E11818" t="str">
        <f>"3610500136733"</f>
        <v>0</v>
      </c>
      <c r="F11818" t="str">
        <f>"007010"</f>
        <v>0</v>
      </c>
      <c r="G11818" t="s">
        <v>21</v>
      </c>
    </row>
    <row r="11819" spans="1:7">
      <c r="A11819">
        <v>11818</v>
      </c>
      <c r="B11819" t="str">
        <f>"013917"</f>
        <v>0</v>
      </c>
      <c r="C11819" t="s">
        <v>12938</v>
      </c>
      <c r="D11819" t="s">
        <v>17469</v>
      </c>
      <c r="E11819" t="str">
        <f>"5609990025491"</f>
        <v>0</v>
      </c>
      <c r="F11819" t="str">
        <f>"007010"</f>
        <v>0</v>
      </c>
      <c r="G11819" t="s">
        <v>21</v>
      </c>
    </row>
    <row r="11820" spans="1:7">
      <c r="A11820">
        <v>11819</v>
      </c>
      <c r="B11820" t="str">
        <f>"015287"</f>
        <v>0</v>
      </c>
      <c r="C11820" t="s">
        <v>4864</v>
      </c>
      <c r="D11820" t="s">
        <v>17470</v>
      </c>
      <c r="E11820" t="str">
        <f>"3269900080991"</f>
        <v>0</v>
      </c>
      <c r="F11820" t="str">
        <f>"007010"</f>
        <v>0</v>
      </c>
      <c r="G11820" t="s">
        <v>21</v>
      </c>
    </row>
    <row r="11821" spans="1:7">
      <c r="A11821">
        <v>11820</v>
      </c>
      <c r="B11821" t="str">
        <f>"011766"</f>
        <v>0</v>
      </c>
      <c r="C11821" t="s">
        <v>4577</v>
      </c>
      <c r="D11821" t="s">
        <v>3749</v>
      </c>
      <c r="E11821" t="str">
        <f>"3619900082710"</f>
        <v>0</v>
      </c>
      <c r="F11821" t="str">
        <f>"007010"</f>
        <v>0</v>
      </c>
      <c r="G11821" t="s">
        <v>21</v>
      </c>
    </row>
    <row r="11822" spans="1:7">
      <c r="A11822">
        <v>11821</v>
      </c>
      <c r="B11822" t="str">
        <f>"012614"</f>
        <v>0</v>
      </c>
      <c r="C11822" t="s">
        <v>11712</v>
      </c>
      <c r="D11822" t="s">
        <v>17471</v>
      </c>
      <c r="E11822" t="str">
        <f>"3610500145830"</f>
        <v>0</v>
      </c>
      <c r="F11822" t="str">
        <f>"007010"</f>
        <v>0</v>
      </c>
      <c r="G11822" t="s">
        <v>21</v>
      </c>
    </row>
    <row r="11823" spans="1:7">
      <c r="A11823">
        <v>11822</v>
      </c>
      <c r="B11823" t="str">
        <f>"013342"</f>
        <v>0</v>
      </c>
      <c r="C11823" t="s">
        <v>2608</v>
      </c>
      <c r="D11823" t="s">
        <v>17472</v>
      </c>
      <c r="E11823" t="str">
        <f>"3180100274581"</f>
        <v>0</v>
      </c>
      <c r="F11823" t="str">
        <f>"007010"</f>
        <v>0</v>
      </c>
      <c r="G11823" t="s">
        <v>21</v>
      </c>
    </row>
    <row r="11824" spans="1:7">
      <c r="A11824">
        <v>11823</v>
      </c>
      <c r="B11824" t="str">
        <f>"015815"</f>
        <v>0</v>
      </c>
      <c r="C11824" t="s">
        <v>447</v>
      </c>
      <c r="D11824" t="s">
        <v>17473</v>
      </c>
      <c r="E11824" t="str">
        <f>"3629900030329"</f>
        <v>0</v>
      </c>
      <c r="F11824" t="str">
        <f>"007010"</f>
        <v>0</v>
      </c>
      <c r="G11824" t="s">
        <v>21</v>
      </c>
    </row>
    <row r="11825" spans="1:7">
      <c r="A11825">
        <v>11824</v>
      </c>
      <c r="B11825" t="str">
        <f>"014480"</f>
        <v>0</v>
      </c>
      <c r="C11825" t="s">
        <v>4967</v>
      </c>
      <c r="D11825" t="s">
        <v>17474</v>
      </c>
      <c r="E11825" t="str">
        <f>"3650801023806"</f>
        <v>0</v>
      </c>
      <c r="F11825" t="str">
        <f>"007010"</f>
        <v>0</v>
      </c>
      <c r="G11825" t="s">
        <v>21</v>
      </c>
    </row>
    <row r="11826" spans="1:7">
      <c r="A11826">
        <v>11825</v>
      </c>
      <c r="B11826" t="str">
        <f>"015745"</f>
        <v>0</v>
      </c>
      <c r="C11826" t="s">
        <v>6778</v>
      </c>
      <c r="D11826" t="s">
        <v>14178</v>
      </c>
      <c r="E11826" t="str">
        <f>"5930190009104"</f>
        <v>0</v>
      </c>
      <c r="F11826" t="str">
        <f>"007010"</f>
        <v>0</v>
      </c>
      <c r="G11826" t="s">
        <v>21</v>
      </c>
    </row>
    <row r="11827" spans="1:7">
      <c r="A11827">
        <v>11826</v>
      </c>
      <c r="B11827" t="str">
        <f>"003138"</f>
        <v>0</v>
      </c>
      <c r="C11827" t="s">
        <v>24</v>
      </c>
      <c r="D11827" t="s">
        <v>17475</v>
      </c>
      <c r="E11827" t="str">
        <f>"3659900057880"</f>
        <v>0</v>
      </c>
      <c r="F11827" t="str">
        <f>"007010"</f>
        <v>0</v>
      </c>
      <c r="G11827" t="s">
        <v>21</v>
      </c>
    </row>
    <row r="11828" spans="1:7">
      <c r="A11828">
        <v>11827</v>
      </c>
      <c r="B11828" t="str">
        <f>"005935"</f>
        <v>0</v>
      </c>
      <c r="C11828" t="s">
        <v>17476</v>
      </c>
      <c r="D11828" t="s">
        <v>17477</v>
      </c>
      <c r="E11828" t="str">
        <f>"3650801045044"</f>
        <v>0</v>
      </c>
      <c r="F11828" t="str">
        <f>"007010"</f>
        <v>0</v>
      </c>
      <c r="G11828" t="s">
        <v>21</v>
      </c>
    </row>
    <row r="11829" spans="1:7">
      <c r="A11829">
        <v>11828</v>
      </c>
      <c r="B11829" t="str">
        <f>"006621"</f>
        <v>0</v>
      </c>
      <c r="C11829" t="s">
        <v>802</v>
      </c>
      <c r="D11829" t="s">
        <v>17478</v>
      </c>
      <c r="E11829" t="str">
        <f>"5650690019381"</f>
        <v>0</v>
      </c>
      <c r="F11829" t="str">
        <f>"007010"</f>
        <v>0</v>
      </c>
      <c r="G11829" t="s">
        <v>21</v>
      </c>
    </row>
    <row r="11830" spans="1:7">
      <c r="A11830">
        <v>11829</v>
      </c>
      <c r="B11830" t="str">
        <f>"007026"</f>
        <v>0</v>
      </c>
      <c r="C11830" t="s">
        <v>17479</v>
      </c>
      <c r="D11830" t="s">
        <v>17480</v>
      </c>
      <c r="E11830" t="str">
        <f>"3650100363431"</f>
        <v>0</v>
      </c>
      <c r="F11830" t="str">
        <f>"007010"</f>
        <v>0</v>
      </c>
      <c r="G11830" t="s">
        <v>21</v>
      </c>
    </row>
    <row r="11831" spans="1:7">
      <c r="A11831">
        <v>11830</v>
      </c>
      <c r="B11831" t="str">
        <f>"007700"</f>
        <v>0</v>
      </c>
      <c r="C11831" t="s">
        <v>5358</v>
      </c>
      <c r="D11831" t="s">
        <v>17481</v>
      </c>
      <c r="E11831" t="str">
        <f>"3659900230832"</f>
        <v>0</v>
      </c>
      <c r="F11831" t="str">
        <f>"007010"</f>
        <v>0</v>
      </c>
      <c r="G11831" t="s">
        <v>21</v>
      </c>
    </row>
    <row r="11832" spans="1:7">
      <c r="A11832">
        <v>11831</v>
      </c>
      <c r="B11832" t="str">
        <f>"012700"</f>
        <v>0</v>
      </c>
      <c r="C11832" t="s">
        <v>3841</v>
      </c>
      <c r="D11832" t="s">
        <v>17482</v>
      </c>
      <c r="E11832" t="str">
        <f>"3600600870226"</f>
        <v>0</v>
      </c>
      <c r="F11832" t="str">
        <f>"007010"</f>
        <v>0</v>
      </c>
      <c r="G11832" t="s">
        <v>21</v>
      </c>
    </row>
    <row r="11833" spans="1:7">
      <c r="A11833">
        <v>11832</v>
      </c>
      <c r="B11833" t="str">
        <f>"013296"</f>
        <v>0</v>
      </c>
      <c r="C11833" t="s">
        <v>6323</v>
      </c>
      <c r="D11833" t="s">
        <v>17483</v>
      </c>
      <c r="E11833" t="str">
        <f>"3650100738400"</f>
        <v>0</v>
      </c>
      <c r="F11833" t="str">
        <f>"007010"</f>
        <v>0</v>
      </c>
      <c r="G11833" t="s">
        <v>21</v>
      </c>
    </row>
    <row r="11834" spans="1:7">
      <c r="A11834">
        <v>11833</v>
      </c>
      <c r="B11834" t="str">
        <f>"015592"</f>
        <v>0</v>
      </c>
      <c r="C11834" t="s">
        <v>1878</v>
      </c>
      <c r="D11834" t="s">
        <v>17484</v>
      </c>
      <c r="E11834" t="str">
        <f>"3100901004379"</f>
        <v>0</v>
      </c>
      <c r="F11834" t="str">
        <f>"007010"</f>
        <v>0</v>
      </c>
      <c r="G11834" t="s">
        <v>21</v>
      </c>
    </row>
    <row r="11835" spans="1:7">
      <c r="A11835">
        <v>11834</v>
      </c>
      <c r="B11835" t="str">
        <f>"016275"</f>
        <v>0</v>
      </c>
      <c r="C11835" t="s">
        <v>2262</v>
      </c>
      <c r="D11835" t="s">
        <v>17485</v>
      </c>
      <c r="E11835" t="str">
        <f>"3900200350931"</f>
        <v>0</v>
      </c>
      <c r="F11835" t="str">
        <f>"007010"</f>
        <v>0</v>
      </c>
      <c r="G11835" t="s">
        <v>21</v>
      </c>
    </row>
    <row r="11836" spans="1:7">
      <c r="A11836">
        <v>11835</v>
      </c>
      <c r="B11836" t="str">
        <f>"001926"</f>
        <v>0</v>
      </c>
      <c r="C11836" t="s">
        <v>17486</v>
      </c>
      <c r="D11836" t="s">
        <v>17487</v>
      </c>
      <c r="E11836" t="str">
        <f>"3120101527598"</f>
        <v>0</v>
      </c>
      <c r="F11836" t="str">
        <f>"007010"</f>
        <v>0</v>
      </c>
      <c r="G11836" t="s">
        <v>21</v>
      </c>
    </row>
    <row r="11837" spans="1:7">
      <c r="A11837">
        <v>11836</v>
      </c>
      <c r="B11837" t="str">
        <f>"011162"</f>
        <v>0</v>
      </c>
      <c r="C11837" t="s">
        <v>6289</v>
      </c>
      <c r="D11837" t="s">
        <v>17488</v>
      </c>
      <c r="E11837" t="str">
        <f>"3700300197991"</f>
        <v>0</v>
      </c>
      <c r="F11837" t="str">
        <f>"007010"</f>
        <v>0</v>
      </c>
      <c r="G11837" t="s">
        <v>21</v>
      </c>
    </row>
    <row r="11838" spans="1:7">
      <c r="A11838">
        <v>11837</v>
      </c>
      <c r="B11838" t="str">
        <f>"012615"</f>
        <v>0</v>
      </c>
      <c r="C11838" t="s">
        <v>659</v>
      </c>
      <c r="D11838" t="s">
        <v>17489</v>
      </c>
      <c r="E11838" t="str">
        <f>"3710600890196"</f>
        <v>0</v>
      </c>
      <c r="F11838" t="str">
        <f>"007010"</f>
        <v>0</v>
      </c>
      <c r="G11838" t="s">
        <v>21</v>
      </c>
    </row>
    <row r="11839" spans="1:7">
      <c r="A11839">
        <v>11838</v>
      </c>
      <c r="B11839" t="str">
        <f>"015669"</f>
        <v>0</v>
      </c>
      <c r="C11839" t="s">
        <v>9801</v>
      </c>
      <c r="D11839" t="s">
        <v>17490</v>
      </c>
      <c r="E11839" t="str">
        <f>"3101400041752"</f>
        <v>0</v>
      </c>
      <c r="F11839" t="str">
        <f>"007010"</f>
        <v>0</v>
      </c>
      <c r="G11839" t="s">
        <v>21</v>
      </c>
    </row>
    <row r="11840" spans="1:7">
      <c r="A11840">
        <v>11839</v>
      </c>
      <c r="B11840" t="str">
        <f>"015889"</f>
        <v>0</v>
      </c>
      <c r="C11840" t="s">
        <v>2441</v>
      </c>
      <c r="D11840" t="s">
        <v>17491</v>
      </c>
      <c r="E11840" t="str">
        <f>"3650801044242"</f>
        <v>0</v>
      </c>
      <c r="F11840" t="str">
        <f>"007010"</f>
        <v>0</v>
      </c>
      <c r="G11840" t="s">
        <v>21</v>
      </c>
    </row>
    <row r="11841" spans="1:7">
      <c r="A11841">
        <v>11840</v>
      </c>
      <c r="B11841" t="str">
        <f>"001918"</f>
        <v>0</v>
      </c>
      <c r="C11841" t="s">
        <v>17492</v>
      </c>
      <c r="D11841" t="s">
        <v>17493</v>
      </c>
      <c r="E11841" t="str">
        <f>"3659900354647"</f>
        <v>0</v>
      </c>
      <c r="F11841" t="str">
        <f>"007010"</f>
        <v>0</v>
      </c>
      <c r="G11841" t="s">
        <v>21</v>
      </c>
    </row>
    <row r="11842" spans="1:7">
      <c r="A11842">
        <v>11841</v>
      </c>
      <c r="B11842" t="str">
        <f>"017512"</f>
        <v>0</v>
      </c>
      <c r="C11842" t="s">
        <v>793</v>
      </c>
      <c r="D11842" t="s">
        <v>17494</v>
      </c>
      <c r="E11842" t="str">
        <f>"3801300432702"</f>
        <v>0</v>
      </c>
      <c r="F11842" t="str">
        <f>"007010"</f>
        <v>0</v>
      </c>
      <c r="G11842" t="s">
        <v>21</v>
      </c>
    </row>
    <row r="11843" spans="1:7">
      <c r="A11843">
        <v>11842</v>
      </c>
      <c r="B11843" t="str">
        <f>"009104"</f>
        <v>0</v>
      </c>
      <c r="C11843" t="s">
        <v>32</v>
      </c>
      <c r="D11843" t="s">
        <v>17495</v>
      </c>
      <c r="E11843" t="str">
        <f>"3940300043887"</f>
        <v>0</v>
      </c>
      <c r="F11843" t="str">
        <f>"007010"</f>
        <v>0</v>
      </c>
      <c r="G11843" t="s">
        <v>21</v>
      </c>
    </row>
    <row r="11844" spans="1:7">
      <c r="A11844">
        <v>11843</v>
      </c>
      <c r="B11844" t="str">
        <f>"009012"</f>
        <v>0</v>
      </c>
      <c r="C11844" t="s">
        <v>17496</v>
      </c>
      <c r="D11844" t="s">
        <v>17497</v>
      </c>
      <c r="E11844" t="str">
        <f>"3900100115892"</f>
        <v>0</v>
      </c>
      <c r="F11844" t="str">
        <f>"007010"</f>
        <v>0</v>
      </c>
      <c r="G11844" t="s">
        <v>21</v>
      </c>
    </row>
    <row r="11845" spans="1:7">
      <c r="A11845">
        <v>11844</v>
      </c>
      <c r="B11845" t="str">
        <f>"009069"</f>
        <v>0</v>
      </c>
      <c r="C11845" t="s">
        <v>4928</v>
      </c>
      <c r="D11845" t="s">
        <v>17498</v>
      </c>
      <c r="E11845" t="str">
        <f>"3909800825653"</f>
        <v>0</v>
      </c>
      <c r="F11845" t="str">
        <f>"007010"</f>
        <v>0</v>
      </c>
      <c r="G11845" t="s">
        <v>21</v>
      </c>
    </row>
    <row r="11846" spans="1:7">
      <c r="A11846">
        <v>11845</v>
      </c>
      <c r="B11846" t="str">
        <f>"012494"</f>
        <v>0</v>
      </c>
      <c r="C11846" t="s">
        <v>7211</v>
      </c>
      <c r="D11846" t="s">
        <v>17499</v>
      </c>
      <c r="E11846" t="str">
        <f>"3900400356607"</f>
        <v>0</v>
      </c>
      <c r="F11846" t="str">
        <f>"007010"</f>
        <v>0</v>
      </c>
      <c r="G11846" t="s">
        <v>21</v>
      </c>
    </row>
    <row r="11847" spans="1:7">
      <c r="A11847">
        <v>11846</v>
      </c>
      <c r="B11847" t="str">
        <f>"013318"</f>
        <v>0</v>
      </c>
      <c r="C11847" t="s">
        <v>2445</v>
      </c>
      <c r="D11847" t="s">
        <v>17500</v>
      </c>
      <c r="E11847" t="str">
        <f>"3909900451763"</f>
        <v>0</v>
      </c>
      <c r="F11847" t="str">
        <f>"007010"</f>
        <v>0</v>
      </c>
      <c r="G11847" t="s">
        <v>21</v>
      </c>
    </row>
    <row r="11848" spans="1:7">
      <c r="A11848">
        <v>11847</v>
      </c>
      <c r="B11848" t="str">
        <f>"017419"</f>
        <v>0</v>
      </c>
      <c r="C11848" t="s">
        <v>17501</v>
      </c>
      <c r="D11848" t="s">
        <v>17502</v>
      </c>
      <c r="E11848" t="str">
        <f>"3430100768157"</f>
        <v>0</v>
      </c>
      <c r="F11848" t="str">
        <f>"007010"</f>
        <v>0</v>
      </c>
      <c r="G11848" t="s">
        <v>21</v>
      </c>
    </row>
    <row r="11849" spans="1:7">
      <c r="A11849">
        <v>11848</v>
      </c>
      <c r="B11849" t="str">
        <f>"013211"</f>
        <v>0</v>
      </c>
      <c r="C11849" t="s">
        <v>14208</v>
      </c>
      <c r="D11849" t="s">
        <v>17503</v>
      </c>
      <c r="E11849" t="str">
        <f>"3800600394970"</f>
        <v>0</v>
      </c>
      <c r="F11849" t="str">
        <f>"007010"</f>
        <v>0</v>
      </c>
      <c r="G11849" t="s">
        <v>21</v>
      </c>
    </row>
    <row r="11850" spans="1:7">
      <c r="A11850">
        <v>11849</v>
      </c>
      <c r="B11850" t="str">
        <f>"006492"</f>
        <v>0</v>
      </c>
      <c r="C11850" t="s">
        <v>17504</v>
      </c>
      <c r="D11850" t="s">
        <v>17505</v>
      </c>
      <c r="E11850" t="str">
        <f>"3100202898214"</f>
        <v>0</v>
      </c>
      <c r="F11850" t="str">
        <f>"007010"</f>
        <v>0</v>
      </c>
      <c r="G11850" t="s">
        <v>21</v>
      </c>
    </row>
    <row r="11851" spans="1:7">
      <c r="A11851">
        <v>11850</v>
      </c>
      <c r="B11851" t="str">
        <f>"012940"</f>
        <v>0</v>
      </c>
      <c r="C11851" t="s">
        <v>17506</v>
      </c>
      <c r="D11851" t="s">
        <v>17507</v>
      </c>
      <c r="E11851" t="str">
        <f>"3180200210576"</f>
        <v>0</v>
      </c>
      <c r="F11851" t="str">
        <f>"007010"</f>
        <v>0</v>
      </c>
      <c r="G11851" t="s">
        <v>21</v>
      </c>
    </row>
    <row r="11852" spans="1:7">
      <c r="A11852">
        <v>11851</v>
      </c>
      <c r="B11852" t="str">
        <f>"015266"</f>
        <v>0</v>
      </c>
      <c r="C11852" t="s">
        <v>1947</v>
      </c>
      <c r="D11852" t="s">
        <v>17508</v>
      </c>
      <c r="E11852" t="str">
        <f>"3100602791565"</f>
        <v>0</v>
      </c>
      <c r="F11852" t="str">
        <f>"007010"</f>
        <v>0</v>
      </c>
      <c r="G11852" t="s">
        <v>21</v>
      </c>
    </row>
    <row r="11853" spans="1:7">
      <c r="A11853">
        <v>11852</v>
      </c>
      <c r="B11853" t="str">
        <f>"004708"</f>
        <v>0</v>
      </c>
      <c r="C11853" t="s">
        <v>17509</v>
      </c>
      <c r="D11853" t="s">
        <v>3113</v>
      </c>
      <c r="E11853" t="str">
        <f>"3110400845371"</f>
        <v>0</v>
      </c>
      <c r="F11853" t="str">
        <f>"007010"</f>
        <v>0</v>
      </c>
      <c r="G11853" t="s">
        <v>21</v>
      </c>
    </row>
    <row r="11854" spans="1:7">
      <c r="A11854">
        <v>11853</v>
      </c>
      <c r="B11854" t="str">
        <f>"008545"</f>
        <v>0</v>
      </c>
      <c r="C11854" t="s">
        <v>46</v>
      </c>
      <c r="D11854" t="s">
        <v>17510</v>
      </c>
      <c r="E11854" t="str">
        <f>"3120101392897"</f>
        <v>0</v>
      </c>
      <c r="F11854" t="str">
        <f>"007010"</f>
        <v>0</v>
      </c>
      <c r="G11854" t="s">
        <v>21</v>
      </c>
    </row>
    <row r="11855" spans="1:7">
      <c r="A11855">
        <v>11854</v>
      </c>
      <c r="B11855" t="str">
        <f>"013952"</f>
        <v>0</v>
      </c>
      <c r="C11855" t="s">
        <v>3812</v>
      </c>
      <c r="D11855" t="s">
        <v>17511</v>
      </c>
      <c r="E11855" t="str">
        <f>"3650801042983"</f>
        <v>0</v>
      </c>
      <c r="F11855" t="str">
        <f>"007010"</f>
        <v>0</v>
      </c>
      <c r="G11855" t="s">
        <v>21</v>
      </c>
    </row>
    <row r="11856" spans="1:7">
      <c r="A11856">
        <v>11855</v>
      </c>
      <c r="B11856" t="str">
        <f>"009429"</f>
        <v>0</v>
      </c>
      <c r="C11856" t="s">
        <v>17512</v>
      </c>
      <c r="D11856" t="s">
        <v>8927</v>
      </c>
      <c r="E11856" t="str">
        <f>"3160500385754"</f>
        <v>0</v>
      </c>
      <c r="F11856" t="str">
        <f>"007010"</f>
        <v>0</v>
      </c>
      <c r="G11856" t="s">
        <v>21</v>
      </c>
    </row>
    <row r="11857" spans="1:7">
      <c r="A11857">
        <v>11856</v>
      </c>
      <c r="B11857" t="str">
        <f>"009609"</f>
        <v>0</v>
      </c>
      <c r="C11857" t="s">
        <v>12094</v>
      </c>
      <c r="D11857" t="s">
        <v>17513</v>
      </c>
      <c r="E11857" t="str">
        <f>"3160101306770"</f>
        <v>0</v>
      </c>
      <c r="F11857" t="str">
        <f>"007010"</f>
        <v>0</v>
      </c>
      <c r="G11857" t="s">
        <v>21</v>
      </c>
    </row>
    <row r="11858" spans="1:7">
      <c r="A11858">
        <v>11857</v>
      </c>
      <c r="B11858" t="str">
        <f>"012385"</f>
        <v>0</v>
      </c>
      <c r="C11858" t="s">
        <v>5247</v>
      </c>
      <c r="D11858" t="s">
        <v>17514</v>
      </c>
      <c r="E11858" t="str">
        <f>"3160100721200"</f>
        <v>0</v>
      </c>
      <c r="F11858" t="str">
        <f>"007010"</f>
        <v>0</v>
      </c>
      <c r="G11858" t="s">
        <v>21</v>
      </c>
    </row>
    <row r="11859" spans="1:7">
      <c r="A11859">
        <v>11858</v>
      </c>
      <c r="B11859" t="str">
        <f>"012819"</f>
        <v>0</v>
      </c>
      <c r="C11859" t="s">
        <v>130</v>
      </c>
      <c r="D11859" t="s">
        <v>17515</v>
      </c>
      <c r="E11859" t="str">
        <f>"3160101312800"</f>
        <v>0</v>
      </c>
      <c r="F11859" t="str">
        <f>"007010"</f>
        <v>0</v>
      </c>
      <c r="G11859" t="s">
        <v>21</v>
      </c>
    </row>
    <row r="11860" spans="1:7">
      <c r="A11860">
        <v>11859</v>
      </c>
      <c r="B11860" t="str">
        <f>"012882"</f>
        <v>0</v>
      </c>
      <c r="C11860" t="s">
        <v>2216</v>
      </c>
      <c r="D11860" t="s">
        <v>17516</v>
      </c>
      <c r="E11860" t="str">
        <f>"3160101312605"</f>
        <v>0</v>
      </c>
      <c r="F11860" t="str">
        <f>"007010"</f>
        <v>0</v>
      </c>
      <c r="G11860" t="s">
        <v>21</v>
      </c>
    </row>
    <row r="11861" spans="1:7">
      <c r="A11861">
        <v>11860</v>
      </c>
      <c r="B11861" t="str">
        <f>"014476"</f>
        <v>0</v>
      </c>
      <c r="C11861" t="s">
        <v>2239</v>
      </c>
      <c r="D11861" t="s">
        <v>17517</v>
      </c>
      <c r="E11861" t="str">
        <f>"3160100616414"</f>
        <v>0</v>
      </c>
      <c r="F11861" t="str">
        <f>"007010"</f>
        <v>0</v>
      </c>
      <c r="G11861" t="s">
        <v>21</v>
      </c>
    </row>
    <row r="11862" spans="1:7">
      <c r="A11862">
        <v>11861</v>
      </c>
      <c r="B11862" t="str">
        <f>"014477"</f>
        <v>0</v>
      </c>
      <c r="C11862" t="s">
        <v>130</v>
      </c>
      <c r="D11862" t="s">
        <v>17518</v>
      </c>
      <c r="E11862" t="str">
        <f>"3341501343141"</f>
        <v>0</v>
      </c>
      <c r="F11862" t="str">
        <f>"007010"</f>
        <v>0</v>
      </c>
      <c r="G11862" t="s">
        <v>21</v>
      </c>
    </row>
    <row r="11863" spans="1:7">
      <c r="A11863">
        <v>11862</v>
      </c>
      <c r="B11863" t="str">
        <f>"014359"</f>
        <v>0</v>
      </c>
      <c r="C11863" t="s">
        <v>624</v>
      </c>
      <c r="D11863" t="s">
        <v>17388</v>
      </c>
      <c r="E11863" t="str">
        <f>"3180600420021"</f>
        <v>0</v>
      </c>
      <c r="F11863" t="str">
        <f>"007010"</f>
        <v>0</v>
      </c>
      <c r="G11863" t="s">
        <v>21</v>
      </c>
    </row>
    <row r="11864" spans="1:7">
      <c r="A11864">
        <v>11863</v>
      </c>
      <c r="B11864" t="str">
        <f>"008432"</f>
        <v>0</v>
      </c>
      <c r="C11864" t="s">
        <v>17519</v>
      </c>
      <c r="D11864" t="s">
        <v>17520</v>
      </c>
      <c r="E11864" t="str">
        <f>"3180400255280"</f>
        <v>0</v>
      </c>
      <c r="F11864" t="str">
        <f>"007010"</f>
        <v>0</v>
      </c>
      <c r="G11864" t="s">
        <v>21</v>
      </c>
    </row>
    <row r="11865" spans="1:7">
      <c r="A11865">
        <v>11864</v>
      </c>
      <c r="B11865" t="str">
        <f>"010245"</f>
        <v>0</v>
      </c>
      <c r="C11865" t="s">
        <v>46</v>
      </c>
      <c r="D11865" t="s">
        <v>17521</v>
      </c>
      <c r="E11865" t="str">
        <f>"3180200276909"</f>
        <v>0</v>
      </c>
      <c r="F11865" t="str">
        <f>"007010"</f>
        <v>0</v>
      </c>
      <c r="G11865" t="s">
        <v>21</v>
      </c>
    </row>
    <row r="11866" spans="1:7">
      <c r="A11866">
        <v>11865</v>
      </c>
      <c r="B11866" t="str">
        <f>"012187"</f>
        <v>0</v>
      </c>
      <c r="C11866" t="s">
        <v>17522</v>
      </c>
      <c r="D11866" t="s">
        <v>17523</v>
      </c>
      <c r="E11866" t="str">
        <f>"3180100293151"</f>
        <v>0</v>
      </c>
      <c r="F11866" t="str">
        <f>"007010"</f>
        <v>0</v>
      </c>
      <c r="G11866" t="s">
        <v>21</v>
      </c>
    </row>
    <row r="11867" spans="1:7">
      <c r="A11867">
        <v>11866</v>
      </c>
      <c r="B11867" t="str">
        <f>"012316"</f>
        <v>0</v>
      </c>
      <c r="C11867" t="s">
        <v>7928</v>
      </c>
      <c r="D11867" t="s">
        <v>17524</v>
      </c>
      <c r="E11867" t="str">
        <f>"3180200276941"</f>
        <v>0</v>
      </c>
      <c r="F11867" t="str">
        <f>"007010"</f>
        <v>0</v>
      </c>
      <c r="G11867" t="s">
        <v>21</v>
      </c>
    </row>
    <row r="11868" spans="1:7">
      <c r="A11868">
        <v>11867</v>
      </c>
      <c r="B11868" t="str">
        <f>"012738"</f>
        <v>0</v>
      </c>
      <c r="C11868" t="s">
        <v>17525</v>
      </c>
      <c r="D11868" t="s">
        <v>448</v>
      </c>
      <c r="E11868" t="str">
        <f>"3180300211493"</f>
        <v>0</v>
      </c>
      <c r="F11868" t="str">
        <f>"007010"</f>
        <v>0</v>
      </c>
      <c r="G11868" t="s">
        <v>21</v>
      </c>
    </row>
    <row r="11869" spans="1:7">
      <c r="A11869">
        <v>11868</v>
      </c>
      <c r="B11869" t="str">
        <f>"013068"</f>
        <v>0</v>
      </c>
      <c r="C11869" t="s">
        <v>1162</v>
      </c>
      <c r="D11869" t="s">
        <v>17526</v>
      </c>
      <c r="E11869" t="str">
        <f>"3180100510250"</f>
        <v>0</v>
      </c>
      <c r="F11869" t="str">
        <f>"007010"</f>
        <v>0</v>
      </c>
      <c r="G11869" t="s">
        <v>21</v>
      </c>
    </row>
    <row r="11870" spans="1:7">
      <c r="A11870">
        <v>11869</v>
      </c>
      <c r="B11870" t="str">
        <f>"014361"</f>
        <v>0</v>
      </c>
      <c r="C11870" t="s">
        <v>767</v>
      </c>
      <c r="D11870" t="s">
        <v>14952</v>
      </c>
      <c r="E11870" t="str">
        <f>"3180400368408"</f>
        <v>0</v>
      </c>
      <c r="F11870" t="str">
        <f>"007010"</f>
        <v>0</v>
      </c>
      <c r="G11870" t="s">
        <v>21</v>
      </c>
    </row>
    <row r="11871" spans="1:7">
      <c r="A11871">
        <v>11870</v>
      </c>
      <c r="B11871" t="str">
        <f>"014365"</f>
        <v>0</v>
      </c>
      <c r="C11871" t="s">
        <v>17527</v>
      </c>
      <c r="D11871" t="s">
        <v>17528</v>
      </c>
      <c r="E11871" t="str">
        <f>"3180100222637"</f>
        <v>0</v>
      </c>
      <c r="F11871" t="str">
        <f>"007010"</f>
        <v>0</v>
      </c>
      <c r="G11871" t="s">
        <v>21</v>
      </c>
    </row>
    <row r="11872" spans="1:7">
      <c r="A11872">
        <v>11871</v>
      </c>
      <c r="B11872" t="str">
        <f>"017838"</f>
        <v>0</v>
      </c>
      <c r="C11872" t="s">
        <v>17529</v>
      </c>
      <c r="D11872" t="s">
        <v>17530</v>
      </c>
      <c r="E11872" t="str">
        <f>"3100203048591"</f>
        <v>0</v>
      </c>
      <c r="F11872" t="str">
        <f>"007010"</f>
        <v>0</v>
      </c>
      <c r="G11872" t="s">
        <v>21</v>
      </c>
    </row>
    <row r="11873" spans="1:7">
      <c r="A11873">
        <v>11872</v>
      </c>
      <c r="B11873" t="str">
        <f>"020081"</f>
        <v>0</v>
      </c>
      <c r="C11873" t="s">
        <v>9996</v>
      </c>
      <c r="D11873" t="s">
        <v>17523</v>
      </c>
      <c r="E11873" t="str">
        <f>"3180100078188"</f>
        <v>0</v>
      </c>
      <c r="F11873" t="str">
        <f>"007010"</f>
        <v>0</v>
      </c>
      <c r="G11873" t="s">
        <v>21</v>
      </c>
    </row>
    <row r="11874" spans="1:7">
      <c r="A11874">
        <v>11873</v>
      </c>
      <c r="B11874" t="str">
        <f>"011031"</f>
        <v>0</v>
      </c>
      <c r="C11874" t="s">
        <v>17531</v>
      </c>
      <c r="D11874" t="s">
        <v>17532</v>
      </c>
      <c r="E11874" t="str">
        <f>"3190900071285"</f>
        <v>0</v>
      </c>
      <c r="F11874" t="str">
        <f>"007010"</f>
        <v>0</v>
      </c>
      <c r="G11874" t="s">
        <v>21</v>
      </c>
    </row>
    <row r="11875" spans="1:7">
      <c r="A11875">
        <v>11874</v>
      </c>
      <c r="B11875" t="str">
        <f>"012388"</f>
        <v>0</v>
      </c>
      <c r="C11875" t="s">
        <v>802</v>
      </c>
      <c r="D11875" t="s">
        <v>2240</v>
      </c>
      <c r="E11875" t="str">
        <f>"3190900090972"</f>
        <v>0</v>
      </c>
      <c r="F11875" t="str">
        <f>"007010"</f>
        <v>0</v>
      </c>
      <c r="G11875" t="s">
        <v>21</v>
      </c>
    </row>
    <row r="11876" spans="1:7">
      <c r="A11876">
        <v>11875</v>
      </c>
      <c r="B11876" t="str">
        <f>"014865"</f>
        <v>0</v>
      </c>
      <c r="C11876" t="s">
        <v>2239</v>
      </c>
      <c r="D11876" t="s">
        <v>17533</v>
      </c>
      <c r="E11876" t="str">
        <f>"3200600564358"</f>
        <v>0</v>
      </c>
      <c r="F11876" t="str">
        <f>"007010"</f>
        <v>0</v>
      </c>
      <c r="G11876" t="s">
        <v>21</v>
      </c>
    </row>
    <row r="11877" spans="1:7">
      <c r="A11877">
        <v>11876</v>
      </c>
      <c r="B11877" t="str">
        <f>"005293"</f>
        <v>0</v>
      </c>
      <c r="C11877" t="s">
        <v>9956</v>
      </c>
      <c r="D11877" t="s">
        <v>17534</v>
      </c>
      <c r="E11877" t="str">
        <f>"3300101293099"</f>
        <v>0</v>
      </c>
      <c r="F11877" t="str">
        <f>"007010"</f>
        <v>0</v>
      </c>
      <c r="G11877" t="s">
        <v>21</v>
      </c>
    </row>
    <row r="11878" spans="1:7">
      <c r="A11878">
        <v>11877</v>
      </c>
      <c r="B11878" t="str">
        <f>"006296"</f>
        <v>0</v>
      </c>
      <c r="C11878" t="s">
        <v>574</v>
      </c>
      <c r="D11878" t="s">
        <v>17535</v>
      </c>
      <c r="E11878" t="str">
        <f>"3300901010181"</f>
        <v>0</v>
      </c>
      <c r="F11878" t="str">
        <f>"007010"</f>
        <v>0</v>
      </c>
      <c r="G11878" t="s">
        <v>21</v>
      </c>
    </row>
    <row r="11879" spans="1:7">
      <c r="A11879">
        <v>11878</v>
      </c>
      <c r="B11879" t="str">
        <f>"013732"</f>
        <v>0</v>
      </c>
      <c r="C11879" t="s">
        <v>5390</v>
      </c>
      <c r="D11879" t="s">
        <v>17536</v>
      </c>
      <c r="E11879" t="str">
        <f>"3300700281918"</f>
        <v>0</v>
      </c>
      <c r="F11879" t="str">
        <f>"007010"</f>
        <v>0</v>
      </c>
      <c r="G11879" t="s">
        <v>21</v>
      </c>
    </row>
    <row r="11880" spans="1:7">
      <c r="A11880">
        <v>11879</v>
      </c>
      <c r="B11880" t="str">
        <f>"015534"</f>
        <v>0</v>
      </c>
      <c r="C11880" t="s">
        <v>7931</v>
      </c>
      <c r="D11880" t="s">
        <v>17537</v>
      </c>
      <c r="E11880" t="str">
        <f>"3300100264125"</f>
        <v>0</v>
      </c>
      <c r="F11880" t="str">
        <f>"007010"</f>
        <v>0</v>
      </c>
      <c r="G11880" t="s">
        <v>21</v>
      </c>
    </row>
    <row r="11881" spans="1:7">
      <c r="A11881">
        <v>11880</v>
      </c>
      <c r="B11881" t="str">
        <f>"016454"</f>
        <v>0</v>
      </c>
      <c r="C11881" t="s">
        <v>260</v>
      </c>
      <c r="D11881" t="s">
        <v>17538</v>
      </c>
      <c r="E11881" t="str">
        <f>"3300100454200"</f>
        <v>0</v>
      </c>
      <c r="F11881" t="str">
        <f>"007010"</f>
        <v>0</v>
      </c>
      <c r="G11881" t="s">
        <v>21</v>
      </c>
    </row>
    <row r="11882" spans="1:7">
      <c r="A11882">
        <v>11881</v>
      </c>
      <c r="B11882" t="str">
        <f>"014608"</f>
        <v>0</v>
      </c>
      <c r="C11882" t="s">
        <v>17539</v>
      </c>
      <c r="D11882" t="s">
        <v>17540</v>
      </c>
      <c r="E11882" t="str">
        <f>"3320100031899"</f>
        <v>0</v>
      </c>
      <c r="F11882" t="str">
        <f>"007010"</f>
        <v>0</v>
      </c>
      <c r="G11882" t="s">
        <v>21</v>
      </c>
    </row>
    <row r="11883" spans="1:7">
      <c r="A11883">
        <v>11882</v>
      </c>
      <c r="B11883" t="str">
        <f>"014610"</f>
        <v>0</v>
      </c>
      <c r="C11883" t="s">
        <v>17541</v>
      </c>
      <c r="D11883" t="s">
        <v>1163</v>
      </c>
      <c r="E11883" t="str">
        <f>"3320100005782"</f>
        <v>0</v>
      </c>
      <c r="F11883" t="str">
        <f>"007010"</f>
        <v>0</v>
      </c>
      <c r="G11883" t="s">
        <v>21</v>
      </c>
    </row>
    <row r="11884" spans="1:7">
      <c r="A11884">
        <v>11883</v>
      </c>
      <c r="B11884" t="str">
        <f>"014614"</f>
        <v>0</v>
      </c>
      <c r="C11884" t="s">
        <v>17542</v>
      </c>
      <c r="D11884" t="s">
        <v>1059</v>
      </c>
      <c r="E11884" t="str">
        <f>"3320100051318"</f>
        <v>0</v>
      </c>
      <c r="F11884" t="str">
        <f>"007010"</f>
        <v>0</v>
      </c>
      <c r="G11884" t="s">
        <v>21</v>
      </c>
    </row>
    <row r="11885" spans="1:7">
      <c r="A11885">
        <v>11884</v>
      </c>
      <c r="B11885" t="str">
        <f>"014616"</f>
        <v>0</v>
      </c>
      <c r="C11885" t="s">
        <v>1951</v>
      </c>
      <c r="D11885" t="s">
        <v>17543</v>
      </c>
      <c r="E11885" t="str">
        <f>"3320101488001"</f>
        <v>0</v>
      </c>
      <c r="F11885" t="str">
        <f>"007010"</f>
        <v>0</v>
      </c>
      <c r="G11885" t="s">
        <v>21</v>
      </c>
    </row>
    <row r="11886" spans="1:7">
      <c r="A11886">
        <v>11885</v>
      </c>
      <c r="B11886" t="str">
        <f>"007832"</f>
        <v>0</v>
      </c>
      <c r="C11886" t="s">
        <v>1003</v>
      </c>
      <c r="D11886" t="s">
        <v>17544</v>
      </c>
      <c r="E11886" t="str">
        <f>"3340100525018"</f>
        <v>0</v>
      </c>
      <c r="F11886" t="str">
        <f>"007010"</f>
        <v>0</v>
      </c>
      <c r="G11886" t="s">
        <v>21</v>
      </c>
    </row>
    <row r="11887" spans="1:7">
      <c r="A11887">
        <v>11886</v>
      </c>
      <c r="B11887" t="str">
        <f>"011235"</f>
        <v>0</v>
      </c>
      <c r="C11887" t="s">
        <v>2216</v>
      </c>
      <c r="D11887" t="s">
        <v>17545</v>
      </c>
      <c r="E11887" t="str">
        <f>"5349990004615"</f>
        <v>0</v>
      </c>
      <c r="F11887" t="str">
        <f>"007010"</f>
        <v>0</v>
      </c>
      <c r="G11887" t="s">
        <v>21</v>
      </c>
    </row>
    <row r="11888" spans="1:7">
      <c r="A11888">
        <v>11887</v>
      </c>
      <c r="B11888" t="str">
        <f>"013661"</f>
        <v>0</v>
      </c>
      <c r="C11888" t="s">
        <v>17546</v>
      </c>
      <c r="D11888" t="s">
        <v>17547</v>
      </c>
      <c r="E11888" t="str">
        <f>"3349900830328"</f>
        <v>0</v>
      </c>
      <c r="F11888" t="str">
        <f>"007010"</f>
        <v>0</v>
      </c>
      <c r="G11888" t="s">
        <v>21</v>
      </c>
    </row>
    <row r="11889" spans="1:7">
      <c r="A11889">
        <v>11888</v>
      </c>
      <c r="B11889" t="str">
        <f>"013666"</f>
        <v>0</v>
      </c>
      <c r="C11889" t="s">
        <v>197</v>
      </c>
      <c r="D11889" t="s">
        <v>17548</v>
      </c>
      <c r="E11889" t="str">
        <f>"3340300026139"</f>
        <v>0</v>
      </c>
      <c r="F11889" t="str">
        <f>"007010"</f>
        <v>0</v>
      </c>
      <c r="G11889" t="s">
        <v>21</v>
      </c>
    </row>
    <row r="11890" spans="1:7">
      <c r="A11890">
        <v>11889</v>
      </c>
      <c r="B11890" t="str">
        <f>"013559"</f>
        <v>0</v>
      </c>
      <c r="C11890" t="s">
        <v>239</v>
      </c>
      <c r="D11890" t="s">
        <v>8946</v>
      </c>
      <c r="E11890" t="str">
        <f>"3120100675551"</f>
        <v>0</v>
      </c>
      <c r="F11890" t="str">
        <f>"007010"</f>
        <v>0</v>
      </c>
      <c r="G11890" t="s">
        <v>21</v>
      </c>
    </row>
    <row r="11891" spans="1:7">
      <c r="A11891">
        <v>11890</v>
      </c>
      <c r="B11891" t="str">
        <f>"014863"</f>
        <v>0</v>
      </c>
      <c r="C11891" t="s">
        <v>881</v>
      </c>
      <c r="D11891" t="s">
        <v>17549</v>
      </c>
      <c r="E11891" t="str">
        <f>"3440300290471"</f>
        <v>0</v>
      </c>
      <c r="F11891" t="str">
        <f>"007010"</f>
        <v>0</v>
      </c>
      <c r="G11891" t="s">
        <v>21</v>
      </c>
    </row>
    <row r="11892" spans="1:7">
      <c r="A11892">
        <v>11891</v>
      </c>
      <c r="B11892" t="str">
        <f>"014980"</f>
        <v>0</v>
      </c>
      <c r="C11892" t="s">
        <v>106</v>
      </c>
      <c r="D11892" t="s">
        <v>5021</v>
      </c>
      <c r="E11892" t="str">
        <f>"3409800064991"</f>
        <v>0</v>
      </c>
      <c r="F11892" t="str">
        <f>"007010"</f>
        <v>0</v>
      </c>
      <c r="G11892" t="s">
        <v>21</v>
      </c>
    </row>
    <row r="11893" spans="1:7">
      <c r="A11893">
        <v>11892</v>
      </c>
      <c r="B11893" t="str">
        <f>"015015"</f>
        <v>0</v>
      </c>
      <c r="C11893" t="s">
        <v>17492</v>
      </c>
      <c r="D11893" t="s">
        <v>17550</v>
      </c>
      <c r="E11893" t="str">
        <f>"3400100577751"</f>
        <v>0</v>
      </c>
      <c r="F11893" t="str">
        <f>"007010"</f>
        <v>0</v>
      </c>
      <c r="G11893" t="s">
        <v>21</v>
      </c>
    </row>
    <row r="11894" spans="1:7">
      <c r="A11894">
        <v>11893</v>
      </c>
      <c r="B11894" t="str">
        <f>"009622"</f>
        <v>0</v>
      </c>
      <c r="C11894" t="s">
        <v>3534</v>
      </c>
      <c r="D11894" t="s">
        <v>17551</v>
      </c>
      <c r="E11894" t="str">
        <f>"3409900733372"</f>
        <v>0</v>
      </c>
      <c r="F11894" t="str">
        <f>"007010"</f>
        <v>0</v>
      </c>
      <c r="G11894" t="s">
        <v>21</v>
      </c>
    </row>
    <row r="11895" spans="1:7">
      <c r="A11895">
        <v>11894</v>
      </c>
      <c r="B11895" t="str">
        <f>"013000"</f>
        <v>0</v>
      </c>
      <c r="C11895" t="s">
        <v>17552</v>
      </c>
      <c r="D11895" t="s">
        <v>17553</v>
      </c>
      <c r="E11895" t="str">
        <f>"3410101656875"</f>
        <v>0</v>
      </c>
      <c r="F11895" t="str">
        <f>"007010"</f>
        <v>0</v>
      </c>
      <c r="G11895" t="s">
        <v>21</v>
      </c>
    </row>
    <row r="11896" spans="1:7">
      <c r="A11896">
        <v>11895</v>
      </c>
      <c r="B11896" t="str">
        <f>"013009"</f>
        <v>0</v>
      </c>
      <c r="C11896" t="s">
        <v>2966</v>
      </c>
      <c r="D11896" t="s">
        <v>17554</v>
      </c>
      <c r="E11896" t="str">
        <f>"3410101668661"</f>
        <v>0</v>
      </c>
      <c r="F11896" t="str">
        <f>"007010"</f>
        <v>0</v>
      </c>
      <c r="G11896" t="s">
        <v>21</v>
      </c>
    </row>
    <row r="11897" spans="1:7">
      <c r="A11897">
        <v>11896</v>
      </c>
      <c r="B11897" t="str">
        <f>"013012"</f>
        <v>0</v>
      </c>
      <c r="C11897" t="s">
        <v>5158</v>
      </c>
      <c r="D11897" t="s">
        <v>17555</v>
      </c>
      <c r="E11897" t="str">
        <f>"3411600127828"</f>
        <v>0</v>
      </c>
      <c r="F11897" t="str">
        <f>"007010"</f>
        <v>0</v>
      </c>
      <c r="G11897" t="s">
        <v>21</v>
      </c>
    </row>
    <row r="11898" spans="1:7">
      <c r="A11898">
        <v>11897</v>
      </c>
      <c r="B11898" t="str">
        <f>"013776"</f>
        <v>0</v>
      </c>
      <c r="C11898" t="s">
        <v>2824</v>
      </c>
      <c r="D11898" t="s">
        <v>17556</v>
      </c>
      <c r="E11898" t="str">
        <f>"3520300653271"</f>
        <v>0</v>
      </c>
      <c r="F11898" t="str">
        <f>"007010"</f>
        <v>0</v>
      </c>
      <c r="G11898" t="s">
        <v>21</v>
      </c>
    </row>
    <row r="11899" spans="1:7">
      <c r="A11899">
        <v>11898</v>
      </c>
      <c r="B11899" t="str">
        <f>"016032"</f>
        <v>0</v>
      </c>
      <c r="C11899" t="s">
        <v>17557</v>
      </c>
      <c r="D11899" t="s">
        <v>75</v>
      </c>
      <c r="E11899" t="str">
        <f>"3410101871431"</f>
        <v>0</v>
      </c>
      <c r="F11899" t="str">
        <f>"007010"</f>
        <v>0</v>
      </c>
      <c r="G11899" t="s">
        <v>21</v>
      </c>
    </row>
    <row r="11900" spans="1:7">
      <c r="A11900">
        <v>11899</v>
      </c>
      <c r="B11900" t="str">
        <f>"010850"</f>
        <v>0</v>
      </c>
      <c r="C11900" t="s">
        <v>7098</v>
      </c>
      <c r="D11900" t="s">
        <v>12242</v>
      </c>
      <c r="E11900" t="str">
        <f>"3459900141629"</f>
        <v>0</v>
      </c>
      <c r="F11900" t="str">
        <f>"007010"</f>
        <v>0</v>
      </c>
      <c r="G11900" t="s">
        <v>21</v>
      </c>
    </row>
    <row r="11901" spans="1:7">
      <c r="A11901">
        <v>11900</v>
      </c>
      <c r="B11901" t="str">
        <f>"013660"</f>
        <v>0</v>
      </c>
      <c r="C11901" t="s">
        <v>17558</v>
      </c>
      <c r="D11901" t="s">
        <v>17559</v>
      </c>
      <c r="E11901" t="str">
        <f>"3340100940317"</f>
        <v>0</v>
      </c>
      <c r="F11901" t="str">
        <f>"007010"</f>
        <v>0</v>
      </c>
      <c r="G11901" t="s">
        <v>21</v>
      </c>
    </row>
    <row r="11902" spans="1:7">
      <c r="A11902">
        <v>11901</v>
      </c>
      <c r="B11902" t="str">
        <f>"013819"</f>
        <v>0</v>
      </c>
      <c r="C11902" t="s">
        <v>17560</v>
      </c>
      <c r="D11902" t="s">
        <v>17561</v>
      </c>
      <c r="E11902" t="str">
        <f>"3451000573304"</f>
        <v>0</v>
      </c>
      <c r="F11902" t="str">
        <f>"007010"</f>
        <v>0</v>
      </c>
      <c r="G11902" t="s">
        <v>21</v>
      </c>
    </row>
    <row r="11903" spans="1:7">
      <c r="A11903">
        <v>11902</v>
      </c>
      <c r="B11903" t="str">
        <f>"015063"</f>
        <v>0</v>
      </c>
      <c r="C11903" t="s">
        <v>425</v>
      </c>
      <c r="D11903" t="s">
        <v>17562</v>
      </c>
      <c r="E11903" t="str">
        <f>"3450500012483"</f>
        <v>0</v>
      </c>
      <c r="F11903" t="str">
        <f>"007010"</f>
        <v>0</v>
      </c>
      <c r="G11903" t="s">
        <v>21</v>
      </c>
    </row>
    <row r="11904" spans="1:7">
      <c r="A11904">
        <v>11903</v>
      </c>
      <c r="B11904" t="str">
        <f>"015125"</f>
        <v>0</v>
      </c>
      <c r="C11904" t="s">
        <v>12247</v>
      </c>
      <c r="D11904" t="s">
        <v>17563</v>
      </c>
      <c r="E11904" t="str">
        <f>"3459900314469"</f>
        <v>0</v>
      </c>
      <c r="F11904" t="str">
        <f>"007010"</f>
        <v>0</v>
      </c>
      <c r="G11904" t="s">
        <v>21</v>
      </c>
    </row>
    <row r="11905" spans="1:7">
      <c r="A11905">
        <v>11904</v>
      </c>
      <c r="B11905" t="str">
        <f>"017103"</f>
        <v>0</v>
      </c>
      <c r="C11905" t="s">
        <v>9970</v>
      </c>
      <c r="D11905" t="s">
        <v>17564</v>
      </c>
      <c r="E11905" t="str">
        <f>"3450900314380"</f>
        <v>0</v>
      </c>
      <c r="F11905" t="str">
        <f>"007010"</f>
        <v>0</v>
      </c>
      <c r="G11905" t="s">
        <v>21</v>
      </c>
    </row>
    <row r="11906" spans="1:7">
      <c r="A11906">
        <v>11905</v>
      </c>
      <c r="B11906" t="str">
        <f>"019772"</f>
        <v>0</v>
      </c>
      <c r="C11906" t="s">
        <v>17565</v>
      </c>
      <c r="D11906" t="s">
        <v>17566</v>
      </c>
      <c r="E11906" t="str">
        <f>"3459900302061"</f>
        <v>0</v>
      </c>
      <c r="F11906" t="str">
        <f>"007010"</f>
        <v>0</v>
      </c>
      <c r="G11906" t="s">
        <v>21</v>
      </c>
    </row>
    <row r="11907" spans="1:7">
      <c r="A11907">
        <v>11906</v>
      </c>
      <c r="B11907" t="str">
        <f>"014623"</f>
        <v>0</v>
      </c>
      <c r="C11907" t="s">
        <v>6808</v>
      </c>
      <c r="D11907" t="s">
        <v>17567</v>
      </c>
      <c r="E11907" t="str">
        <f>"3470500138991"</f>
        <v>0</v>
      </c>
      <c r="F11907" t="str">
        <f>"007010"</f>
        <v>0</v>
      </c>
      <c r="G11907" t="s">
        <v>21</v>
      </c>
    </row>
    <row r="11908" spans="1:7">
      <c r="A11908">
        <v>11907</v>
      </c>
      <c r="B11908" t="str">
        <f>"014624"</f>
        <v>0</v>
      </c>
      <c r="C11908" t="s">
        <v>17568</v>
      </c>
      <c r="D11908" t="s">
        <v>17569</v>
      </c>
      <c r="E11908" t="str">
        <f>"5470500007117"</f>
        <v>0</v>
      </c>
      <c r="F11908" t="str">
        <f>"007010"</f>
        <v>0</v>
      </c>
      <c r="G11908" t="s">
        <v>21</v>
      </c>
    </row>
    <row r="11909" spans="1:7">
      <c r="A11909">
        <v>11908</v>
      </c>
      <c r="B11909" t="str">
        <f>"014628"</f>
        <v>0</v>
      </c>
      <c r="C11909" t="s">
        <v>352</v>
      </c>
      <c r="D11909" t="s">
        <v>17570</v>
      </c>
      <c r="E11909" t="str">
        <f>"3470101142197"</f>
        <v>0</v>
      </c>
      <c r="F11909" t="str">
        <f>"007010"</f>
        <v>0</v>
      </c>
      <c r="G11909" t="s">
        <v>21</v>
      </c>
    </row>
    <row r="11910" spans="1:7">
      <c r="A11910">
        <v>11909</v>
      </c>
      <c r="B11910" t="str">
        <f>"014635"</f>
        <v>0</v>
      </c>
      <c r="C11910" t="s">
        <v>4352</v>
      </c>
      <c r="D11910" t="s">
        <v>17571</v>
      </c>
      <c r="E11910" t="str">
        <f>"3470400312809"</f>
        <v>0</v>
      </c>
      <c r="F11910" t="str">
        <f>"007010"</f>
        <v>0</v>
      </c>
      <c r="G11910" t="s">
        <v>21</v>
      </c>
    </row>
    <row r="11911" spans="1:7">
      <c r="A11911">
        <v>11910</v>
      </c>
      <c r="B11911" t="str">
        <f>"015184"</f>
        <v>0</v>
      </c>
      <c r="C11911" t="s">
        <v>2441</v>
      </c>
      <c r="D11911" t="s">
        <v>17572</v>
      </c>
      <c r="E11911" t="str">
        <f>"3410102532444"</f>
        <v>0</v>
      </c>
      <c r="F11911" t="str">
        <f>"007010"</f>
        <v>0</v>
      </c>
      <c r="G11911" t="s">
        <v>21</v>
      </c>
    </row>
    <row r="11912" spans="1:7">
      <c r="A11912">
        <v>11911</v>
      </c>
      <c r="B11912" t="str">
        <f>"015319"</f>
        <v>0</v>
      </c>
      <c r="C11912" t="s">
        <v>2320</v>
      </c>
      <c r="D11912" t="s">
        <v>17573</v>
      </c>
      <c r="E11912" t="str">
        <f>"3470500090310"</f>
        <v>0</v>
      </c>
      <c r="F11912" t="str">
        <f>"007010"</f>
        <v>0</v>
      </c>
      <c r="G11912" t="s">
        <v>21</v>
      </c>
    </row>
    <row r="11913" spans="1:7">
      <c r="A11913">
        <v>11912</v>
      </c>
      <c r="B11913" t="str">
        <f>"015384"</f>
        <v>0</v>
      </c>
      <c r="C11913" t="s">
        <v>1162</v>
      </c>
      <c r="D11913" t="s">
        <v>17574</v>
      </c>
      <c r="E11913" t="str">
        <f>"3479900124350"</f>
        <v>0</v>
      </c>
      <c r="F11913" t="str">
        <f>"007010"</f>
        <v>0</v>
      </c>
      <c r="G11913" t="s">
        <v>21</v>
      </c>
    </row>
    <row r="11914" spans="1:7">
      <c r="A11914">
        <v>11913</v>
      </c>
      <c r="B11914" t="str">
        <f>"015828"</f>
        <v>0</v>
      </c>
      <c r="C11914" t="s">
        <v>11390</v>
      </c>
      <c r="D11914" t="s">
        <v>17575</v>
      </c>
      <c r="E11914" t="str">
        <f>"3470500153826"</f>
        <v>0</v>
      </c>
      <c r="F11914" t="str">
        <f>"007010"</f>
        <v>0</v>
      </c>
      <c r="G11914" t="s">
        <v>21</v>
      </c>
    </row>
    <row r="11915" spans="1:7">
      <c r="A11915">
        <v>11914</v>
      </c>
      <c r="B11915" t="str">
        <f>"016442"</f>
        <v>0</v>
      </c>
      <c r="C11915" t="s">
        <v>837</v>
      </c>
      <c r="D11915" t="s">
        <v>17576</v>
      </c>
      <c r="E11915" t="str">
        <f>"3470500143821"</f>
        <v>0</v>
      </c>
      <c r="F11915" t="str">
        <f>"007010"</f>
        <v>0</v>
      </c>
      <c r="G11915" t="s">
        <v>21</v>
      </c>
    </row>
    <row r="11916" spans="1:7">
      <c r="A11916">
        <v>11915</v>
      </c>
      <c r="B11916" t="str">
        <f>"018580"</f>
        <v>0</v>
      </c>
      <c r="C11916" t="s">
        <v>2432</v>
      </c>
      <c r="D11916" t="s">
        <v>17577</v>
      </c>
      <c r="E11916" t="str">
        <f>"3451400283443"</f>
        <v>0</v>
      </c>
      <c r="F11916" t="str">
        <f>"007010"</f>
        <v>0</v>
      </c>
      <c r="G11916" t="s">
        <v>21</v>
      </c>
    </row>
    <row r="11917" spans="1:7">
      <c r="A11917">
        <v>11916</v>
      </c>
      <c r="B11917" t="str">
        <f>"002606"</f>
        <v>0</v>
      </c>
      <c r="C11917" t="s">
        <v>17578</v>
      </c>
      <c r="D11917" t="s">
        <v>2808</v>
      </c>
      <c r="E11917" t="str">
        <f>"3120100403224"</f>
        <v>0</v>
      </c>
      <c r="F11917" t="str">
        <f>"007010"</f>
        <v>0</v>
      </c>
      <c r="G11917" t="s">
        <v>21</v>
      </c>
    </row>
    <row r="11918" spans="1:7">
      <c r="A11918">
        <v>11917</v>
      </c>
      <c r="B11918" t="str">
        <f>"012817"</f>
        <v>0</v>
      </c>
      <c r="C11918" t="s">
        <v>1800</v>
      </c>
      <c r="D11918" t="s">
        <v>17579</v>
      </c>
      <c r="E11918" t="str">
        <f>"3501500024813"</f>
        <v>0</v>
      </c>
      <c r="F11918" t="str">
        <f>"007010"</f>
        <v>0</v>
      </c>
      <c r="G11918" t="s">
        <v>21</v>
      </c>
    </row>
    <row r="11919" spans="1:7">
      <c r="A11919">
        <v>11918</v>
      </c>
      <c r="B11919" t="str">
        <f>"014558"</f>
        <v>0</v>
      </c>
      <c r="C11919" t="s">
        <v>5313</v>
      </c>
      <c r="D11919" t="s">
        <v>17580</v>
      </c>
      <c r="E11919" t="str">
        <f>"3510100438253"</f>
        <v>0</v>
      </c>
      <c r="F11919" t="str">
        <f>"007010"</f>
        <v>0</v>
      </c>
      <c r="G11919" t="s">
        <v>21</v>
      </c>
    </row>
    <row r="11920" spans="1:7">
      <c r="A11920">
        <v>11919</v>
      </c>
      <c r="B11920" t="str">
        <f>"014562"</f>
        <v>0</v>
      </c>
      <c r="C11920" t="s">
        <v>17581</v>
      </c>
      <c r="D11920" t="s">
        <v>17582</v>
      </c>
      <c r="E11920" t="str">
        <f>"3501500468304"</f>
        <v>0</v>
      </c>
      <c r="F11920" t="str">
        <f>"007010"</f>
        <v>0</v>
      </c>
      <c r="G11920" t="s">
        <v>21</v>
      </c>
    </row>
    <row r="11921" spans="1:7">
      <c r="A11921">
        <v>11920</v>
      </c>
      <c r="B11921" t="str">
        <f>"015676"</f>
        <v>0</v>
      </c>
      <c r="C11921" t="s">
        <v>17583</v>
      </c>
      <c r="D11921" t="s">
        <v>17584</v>
      </c>
      <c r="E11921" t="str">
        <f>"3500100215327"</f>
        <v>0</v>
      </c>
      <c r="F11921" t="str">
        <f>"007010"</f>
        <v>0</v>
      </c>
      <c r="G11921" t="s">
        <v>21</v>
      </c>
    </row>
    <row r="11922" spans="1:7">
      <c r="A11922">
        <v>11921</v>
      </c>
      <c r="B11922" t="str">
        <f>"017125"</f>
        <v>0</v>
      </c>
      <c r="C11922" t="s">
        <v>520</v>
      </c>
      <c r="D11922" t="s">
        <v>17585</v>
      </c>
      <c r="E11922" t="str">
        <f>"3501500471208"</f>
        <v>0</v>
      </c>
      <c r="F11922" t="str">
        <f>"007010"</f>
        <v>0</v>
      </c>
      <c r="G11922" t="s">
        <v>21</v>
      </c>
    </row>
    <row r="11923" spans="1:7">
      <c r="A11923">
        <v>11922</v>
      </c>
      <c r="B11923" t="str">
        <f>"017126"</f>
        <v>0</v>
      </c>
      <c r="C11923" t="s">
        <v>12247</v>
      </c>
      <c r="D11923" t="s">
        <v>17582</v>
      </c>
      <c r="E11923" t="str">
        <f>"3501500474584"</f>
        <v>0</v>
      </c>
      <c r="F11923" t="str">
        <f>"007010"</f>
        <v>0</v>
      </c>
      <c r="G11923" t="s">
        <v>21</v>
      </c>
    </row>
    <row r="11924" spans="1:7">
      <c r="A11924">
        <v>11923</v>
      </c>
      <c r="B11924" t="str">
        <f>"017128"</f>
        <v>0</v>
      </c>
      <c r="C11924" t="s">
        <v>144</v>
      </c>
      <c r="D11924" t="s">
        <v>17586</v>
      </c>
      <c r="E11924" t="str">
        <f>"3501500179311"</f>
        <v>0</v>
      </c>
      <c r="F11924" t="str">
        <f>"007010"</f>
        <v>0</v>
      </c>
      <c r="G11924" t="s">
        <v>21</v>
      </c>
    </row>
    <row r="11925" spans="1:7">
      <c r="A11925">
        <v>11924</v>
      </c>
      <c r="B11925" t="str">
        <f>"009209"</f>
        <v>0</v>
      </c>
      <c r="C11925" t="s">
        <v>1502</v>
      </c>
      <c r="D11925" t="s">
        <v>17587</v>
      </c>
      <c r="E11925" t="str">
        <f>"3520100271570"</f>
        <v>0</v>
      </c>
      <c r="F11925" t="str">
        <f>"007010"</f>
        <v>0</v>
      </c>
      <c r="G11925" t="s">
        <v>21</v>
      </c>
    </row>
    <row r="11926" spans="1:7">
      <c r="A11926">
        <v>11925</v>
      </c>
      <c r="B11926" t="str">
        <f>"013107"</f>
        <v>0</v>
      </c>
      <c r="C11926" t="s">
        <v>17588</v>
      </c>
      <c r="D11926" t="s">
        <v>17589</v>
      </c>
      <c r="E11926" t="str">
        <f>"3520700174397"</f>
        <v>0</v>
      </c>
      <c r="F11926" t="str">
        <f>"007010"</f>
        <v>0</v>
      </c>
      <c r="G11926" t="s">
        <v>21</v>
      </c>
    </row>
    <row r="11927" spans="1:7">
      <c r="A11927">
        <v>11926</v>
      </c>
      <c r="B11927" t="str">
        <f>"013288"</f>
        <v>0</v>
      </c>
      <c r="C11927" t="s">
        <v>2239</v>
      </c>
      <c r="D11927" t="s">
        <v>17590</v>
      </c>
      <c r="E11927" t="str">
        <f>"5521200001687"</f>
        <v>0</v>
      </c>
      <c r="F11927" t="str">
        <f>"007010"</f>
        <v>0</v>
      </c>
      <c r="G11927" t="s">
        <v>21</v>
      </c>
    </row>
    <row r="11928" spans="1:7">
      <c r="A11928">
        <v>11927</v>
      </c>
      <c r="B11928" t="str">
        <f>"013447"</f>
        <v>0</v>
      </c>
      <c r="C11928" t="s">
        <v>17591</v>
      </c>
      <c r="D11928" t="s">
        <v>17592</v>
      </c>
      <c r="E11928" t="str">
        <f>"3520100456405"</f>
        <v>0</v>
      </c>
      <c r="F11928" t="str">
        <f>"007010"</f>
        <v>0</v>
      </c>
      <c r="G11928" t="s">
        <v>21</v>
      </c>
    </row>
    <row r="11929" spans="1:7">
      <c r="A11929">
        <v>11928</v>
      </c>
      <c r="B11929" t="str">
        <f>"014315"</f>
        <v>0</v>
      </c>
      <c r="C11929" t="s">
        <v>520</v>
      </c>
      <c r="D11929" t="s">
        <v>17593</v>
      </c>
      <c r="E11929" t="str">
        <f>"3520100991173"</f>
        <v>0</v>
      </c>
      <c r="F11929" t="str">
        <f>"007010"</f>
        <v>0</v>
      </c>
      <c r="G11929" t="s">
        <v>21</v>
      </c>
    </row>
    <row r="11930" spans="1:7">
      <c r="A11930">
        <v>11929</v>
      </c>
      <c r="B11930" t="str">
        <f>"014405"</f>
        <v>0</v>
      </c>
      <c r="C11930" t="s">
        <v>17594</v>
      </c>
      <c r="D11930" t="s">
        <v>1728</v>
      </c>
      <c r="E11930" t="str">
        <f>"3521200120191"</f>
        <v>0</v>
      </c>
      <c r="F11930" t="str">
        <f>"007010"</f>
        <v>0</v>
      </c>
      <c r="G11930" t="s">
        <v>21</v>
      </c>
    </row>
    <row r="11931" spans="1:7">
      <c r="A11931">
        <v>11930</v>
      </c>
      <c r="B11931" t="str">
        <f>"014483"</f>
        <v>0</v>
      </c>
      <c r="C11931" t="s">
        <v>17595</v>
      </c>
      <c r="D11931" t="s">
        <v>17596</v>
      </c>
      <c r="E11931" t="str">
        <f>"3519900079418"</f>
        <v>0</v>
      </c>
      <c r="F11931" t="str">
        <f>"007010"</f>
        <v>0</v>
      </c>
      <c r="G11931" t="s">
        <v>21</v>
      </c>
    </row>
    <row r="11932" spans="1:7">
      <c r="A11932">
        <v>11931</v>
      </c>
      <c r="B11932" t="str">
        <f>"015808"</f>
        <v>0</v>
      </c>
      <c r="C11932" t="s">
        <v>17597</v>
      </c>
      <c r="D11932" t="s">
        <v>17598</v>
      </c>
      <c r="E11932" t="str">
        <f>"3520100112765"</f>
        <v>0</v>
      </c>
      <c r="F11932" t="str">
        <f>"007010"</f>
        <v>0</v>
      </c>
      <c r="G11932" t="s">
        <v>21</v>
      </c>
    </row>
    <row r="11933" spans="1:7">
      <c r="A11933">
        <v>11932</v>
      </c>
      <c r="B11933" t="str">
        <f>"015813"</f>
        <v>0</v>
      </c>
      <c r="C11933" t="s">
        <v>17599</v>
      </c>
      <c r="D11933" t="s">
        <v>17600</v>
      </c>
      <c r="E11933" t="str">
        <f>"3520100115331"</f>
        <v>0</v>
      </c>
      <c r="F11933" t="str">
        <f>"007010"</f>
        <v>0</v>
      </c>
      <c r="G11933" t="s">
        <v>21</v>
      </c>
    </row>
    <row r="11934" spans="1:7">
      <c r="A11934">
        <v>11933</v>
      </c>
      <c r="B11934" t="str">
        <f>"017778"</f>
        <v>0</v>
      </c>
      <c r="C11934" t="s">
        <v>587</v>
      </c>
      <c r="D11934" t="s">
        <v>17592</v>
      </c>
      <c r="E11934" t="str">
        <f>"3520100557309"</f>
        <v>0</v>
      </c>
      <c r="F11934" t="str">
        <f>"007010"</f>
        <v>0</v>
      </c>
      <c r="G11934" t="s">
        <v>21</v>
      </c>
    </row>
    <row r="11935" spans="1:7">
      <c r="A11935">
        <v>11934</v>
      </c>
      <c r="B11935" t="str">
        <f>"014575"</f>
        <v>0</v>
      </c>
      <c r="C11935" t="s">
        <v>10469</v>
      </c>
      <c r="D11935" t="s">
        <v>17473</v>
      </c>
      <c r="E11935" t="str">
        <f>"3650600110396"</f>
        <v>0</v>
      </c>
      <c r="F11935" t="str">
        <f>"007010"</f>
        <v>0</v>
      </c>
      <c r="G11935" t="s">
        <v>21</v>
      </c>
    </row>
    <row r="11936" spans="1:7">
      <c r="A11936">
        <v>11935</v>
      </c>
      <c r="B11936" t="str">
        <f>"016992"</f>
        <v>0</v>
      </c>
      <c r="C11936" t="s">
        <v>17601</v>
      </c>
      <c r="D11936" t="s">
        <v>6441</v>
      </c>
      <c r="E11936" t="str">
        <f>"3560100966934"</f>
        <v>0</v>
      </c>
      <c r="F11936" t="str">
        <f>"007010"</f>
        <v>0</v>
      </c>
      <c r="G11936" t="s">
        <v>21</v>
      </c>
    </row>
    <row r="11937" spans="1:7">
      <c r="A11937">
        <v>11936</v>
      </c>
      <c r="B11937" t="str">
        <f>"022494"</f>
        <v>0</v>
      </c>
      <c r="C11937" t="s">
        <v>17602</v>
      </c>
      <c r="D11937" t="s">
        <v>17603</v>
      </c>
      <c r="E11937" t="str">
        <f>"3560100130577"</f>
        <v>0</v>
      </c>
      <c r="F11937" t="str">
        <f>"007010"</f>
        <v>0</v>
      </c>
      <c r="G11937" t="s">
        <v>21</v>
      </c>
    </row>
    <row r="11938" spans="1:7">
      <c r="A11938">
        <v>11937</v>
      </c>
      <c r="B11938" t="str">
        <f>"014922"</f>
        <v>0</v>
      </c>
      <c r="C11938" t="s">
        <v>2441</v>
      </c>
      <c r="D11938" t="s">
        <v>17604</v>
      </c>
      <c r="E11938" t="str">
        <f>"3650100173143"</f>
        <v>0</v>
      </c>
      <c r="F11938" t="str">
        <f>"007010"</f>
        <v>0</v>
      </c>
      <c r="G11938" t="s">
        <v>21</v>
      </c>
    </row>
    <row r="11939" spans="1:7">
      <c r="A11939">
        <v>11938</v>
      </c>
      <c r="B11939" t="str">
        <f>"014923"</f>
        <v>0</v>
      </c>
      <c r="C11939" t="s">
        <v>5287</v>
      </c>
      <c r="D11939" t="s">
        <v>17605</v>
      </c>
      <c r="E11939" t="str">
        <f>"3600100030199"</f>
        <v>0</v>
      </c>
      <c r="F11939" t="str">
        <f>"007010"</f>
        <v>0</v>
      </c>
      <c r="G11939" t="s">
        <v>21</v>
      </c>
    </row>
    <row r="11940" spans="1:7">
      <c r="A11940">
        <v>11939</v>
      </c>
      <c r="B11940" t="str">
        <f>"014927"</f>
        <v>0</v>
      </c>
      <c r="C11940" t="s">
        <v>17606</v>
      </c>
      <c r="D11940" t="s">
        <v>17607</v>
      </c>
      <c r="E11940" t="str">
        <f>"3600101197399"</f>
        <v>0</v>
      </c>
      <c r="F11940" t="str">
        <f>"007010"</f>
        <v>0</v>
      </c>
      <c r="G11940" t="s">
        <v>21</v>
      </c>
    </row>
    <row r="11941" spans="1:7">
      <c r="A11941">
        <v>11940</v>
      </c>
      <c r="B11941" t="str">
        <f>"014932"</f>
        <v>0</v>
      </c>
      <c r="C11941" t="s">
        <v>4088</v>
      </c>
      <c r="D11941" t="s">
        <v>17608</v>
      </c>
      <c r="E11941" t="str">
        <f>"3600100129675"</f>
        <v>0</v>
      </c>
      <c r="F11941" t="str">
        <f>"007010"</f>
        <v>0</v>
      </c>
      <c r="G11941" t="s">
        <v>21</v>
      </c>
    </row>
    <row r="11942" spans="1:7">
      <c r="A11942">
        <v>11941</v>
      </c>
      <c r="B11942" t="str">
        <f>"014940"</f>
        <v>0</v>
      </c>
      <c r="C11942" t="s">
        <v>2441</v>
      </c>
      <c r="D11942" t="s">
        <v>6094</v>
      </c>
      <c r="E11942" t="str">
        <f>"3600100026744"</f>
        <v>0</v>
      </c>
      <c r="F11942" t="str">
        <f>"007010"</f>
        <v>0</v>
      </c>
      <c r="G11942" t="s">
        <v>21</v>
      </c>
    </row>
    <row r="11943" spans="1:7">
      <c r="A11943">
        <v>11942</v>
      </c>
      <c r="B11943" t="str">
        <f>"016142"</f>
        <v>0</v>
      </c>
      <c r="C11943" t="s">
        <v>2760</v>
      </c>
      <c r="D11943" t="s">
        <v>17609</v>
      </c>
      <c r="E11943" t="str">
        <f>"3600100750515"</f>
        <v>0</v>
      </c>
      <c r="F11943" t="str">
        <f>"007010"</f>
        <v>0</v>
      </c>
      <c r="G11943" t="s">
        <v>21</v>
      </c>
    </row>
    <row r="11944" spans="1:7">
      <c r="A11944">
        <v>11943</v>
      </c>
      <c r="B11944" t="str">
        <f>"017549"</f>
        <v>0</v>
      </c>
      <c r="C11944" t="s">
        <v>837</v>
      </c>
      <c r="D11944" t="s">
        <v>17610</v>
      </c>
      <c r="E11944" t="str">
        <f>"3600100138411"</f>
        <v>0</v>
      </c>
      <c r="F11944" t="str">
        <f>"007010"</f>
        <v>0</v>
      </c>
      <c r="G11944" t="s">
        <v>21</v>
      </c>
    </row>
    <row r="11945" spans="1:7">
      <c r="A11945">
        <v>11944</v>
      </c>
      <c r="B11945" t="str">
        <f>"014725"</f>
        <v>0</v>
      </c>
      <c r="C11945" t="s">
        <v>17611</v>
      </c>
      <c r="D11945" t="s">
        <v>17612</v>
      </c>
      <c r="E11945" t="str">
        <f>"3620101051751"</f>
        <v>0</v>
      </c>
      <c r="F11945" t="str">
        <f>"007010"</f>
        <v>0</v>
      </c>
      <c r="G11945" t="s">
        <v>21</v>
      </c>
    </row>
    <row r="11946" spans="1:7">
      <c r="A11946">
        <v>11945</v>
      </c>
      <c r="B11946" t="str">
        <f>"016273"</f>
        <v>0</v>
      </c>
      <c r="C11946" t="s">
        <v>17613</v>
      </c>
      <c r="D11946" t="s">
        <v>17614</v>
      </c>
      <c r="E11946" t="str">
        <f>"3629900141961"</f>
        <v>0</v>
      </c>
      <c r="F11946" t="str">
        <f>"007010"</f>
        <v>0</v>
      </c>
      <c r="G11946" t="s">
        <v>21</v>
      </c>
    </row>
    <row r="11947" spans="1:7">
      <c r="A11947">
        <v>11946</v>
      </c>
      <c r="B11947" t="str">
        <f>"011808"</f>
        <v>0</v>
      </c>
      <c r="C11947" t="s">
        <v>1951</v>
      </c>
      <c r="D11947" t="s">
        <v>17615</v>
      </c>
      <c r="E11947" t="str">
        <f>"5540390001356"</f>
        <v>0</v>
      </c>
      <c r="F11947" t="str">
        <f>"007010"</f>
        <v>0</v>
      </c>
      <c r="G11947" t="s">
        <v>21</v>
      </c>
    </row>
    <row r="11948" spans="1:7">
      <c r="A11948">
        <v>11947</v>
      </c>
      <c r="B11948" t="str">
        <f>"016353"</f>
        <v>0</v>
      </c>
      <c r="C11948" t="s">
        <v>767</v>
      </c>
      <c r="D11948" t="s">
        <v>17616</v>
      </c>
      <c r="E11948" t="str">
        <f>"3640700596851"</f>
        <v>0</v>
      </c>
      <c r="F11948" t="str">
        <f>"007010"</f>
        <v>0</v>
      </c>
      <c r="G11948" t="s">
        <v>21</v>
      </c>
    </row>
    <row r="11949" spans="1:7">
      <c r="A11949">
        <v>11948</v>
      </c>
      <c r="B11949" t="str">
        <f>"016791"</f>
        <v>0</v>
      </c>
      <c r="C11949" t="s">
        <v>9525</v>
      </c>
      <c r="D11949" t="s">
        <v>17617</v>
      </c>
      <c r="E11949" t="str">
        <f>"3640100507939"</f>
        <v>0</v>
      </c>
      <c r="F11949" t="str">
        <f>"007010"</f>
        <v>0</v>
      </c>
      <c r="G11949" t="s">
        <v>21</v>
      </c>
    </row>
    <row r="11950" spans="1:7">
      <c r="A11950">
        <v>11949</v>
      </c>
      <c r="B11950" t="str">
        <f>"013953"</f>
        <v>0</v>
      </c>
      <c r="C11950" t="s">
        <v>5347</v>
      </c>
      <c r="D11950" t="s">
        <v>17618</v>
      </c>
      <c r="E11950" t="str">
        <f>"3650801028425"</f>
        <v>0</v>
      </c>
      <c r="F11950" t="str">
        <f>"007010"</f>
        <v>0</v>
      </c>
      <c r="G11950" t="s">
        <v>21</v>
      </c>
    </row>
    <row r="11951" spans="1:7">
      <c r="A11951">
        <v>11950</v>
      </c>
      <c r="B11951" t="str">
        <f>"013954"</f>
        <v>0</v>
      </c>
      <c r="C11951" t="s">
        <v>3776</v>
      </c>
      <c r="D11951" t="s">
        <v>17619</v>
      </c>
      <c r="E11951" t="str">
        <f>"3650801024918"</f>
        <v>0</v>
      </c>
      <c r="F11951" t="str">
        <f>"007010"</f>
        <v>0</v>
      </c>
      <c r="G11951" t="s">
        <v>21</v>
      </c>
    </row>
    <row r="11952" spans="1:7">
      <c r="A11952">
        <v>11951</v>
      </c>
      <c r="B11952" t="str">
        <f>"014356"</f>
        <v>0</v>
      </c>
      <c r="C11952" t="s">
        <v>5390</v>
      </c>
      <c r="D11952" t="s">
        <v>17620</v>
      </c>
      <c r="E11952" t="str">
        <f>"3650800924397"</f>
        <v>0</v>
      </c>
      <c r="F11952" t="str">
        <f>"007010"</f>
        <v>0</v>
      </c>
      <c r="G11952" t="s">
        <v>21</v>
      </c>
    </row>
    <row r="11953" spans="1:7">
      <c r="A11953">
        <v>11952</v>
      </c>
      <c r="B11953" t="str">
        <f>"014712"</f>
        <v>0</v>
      </c>
      <c r="C11953" t="s">
        <v>624</v>
      </c>
      <c r="D11953" t="s">
        <v>671</v>
      </c>
      <c r="E11953" t="str">
        <f>"3650800831038"</f>
        <v>0</v>
      </c>
      <c r="F11953" t="str">
        <f>"007010"</f>
        <v>0</v>
      </c>
      <c r="G11953" t="s">
        <v>21</v>
      </c>
    </row>
    <row r="11954" spans="1:7">
      <c r="A11954">
        <v>11953</v>
      </c>
      <c r="B11954" t="str">
        <f>"012246"</f>
        <v>0</v>
      </c>
      <c r="C11954" t="s">
        <v>5358</v>
      </c>
      <c r="D11954" t="s">
        <v>17621</v>
      </c>
      <c r="E11954" t="str">
        <f>"5660100005387"</f>
        <v>0</v>
      </c>
      <c r="F11954" t="str">
        <f>"007010"</f>
        <v>0</v>
      </c>
      <c r="G11954" t="s">
        <v>21</v>
      </c>
    </row>
    <row r="11955" spans="1:7">
      <c r="A11955">
        <v>11954</v>
      </c>
      <c r="B11955" t="str">
        <f>"015359"</f>
        <v>0</v>
      </c>
      <c r="C11955" t="s">
        <v>44</v>
      </c>
      <c r="D11955" t="s">
        <v>6228</v>
      </c>
      <c r="E11955" t="str">
        <f>"3660100444767"</f>
        <v>0</v>
      </c>
      <c r="F11955" t="str">
        <f>"007010"</f>
        <v>0</v>
      </c>
      <c r="G11955" t="s">
        <v>21</v>
      </c>
    </row>
    <row r="11956" spans="1:7">
      <c r="A11956">
        <v>11955</v>
      </c>
      <c r="B11956" t="str">
        <f>"014755"</f>
        <v>0</v>
      </c>
      <c r="C11956" t="s">
        <v>1988</v>
      </c>
      <c r="D11956" t="s">
        <v>17622</v>
      </c>
      <c r="E11956" t="str">
        <f>"3700701121848"</f>
        <v>0</v>
      </c>
      <c r="F11956" t="str">
        <f>"007010"</f>
        <v>0</v>
      </c>
      <c r="G11956" t="s">
        <v>21</v>
      </c>
    </row>
    <row r="11957" spans="1:7">
      <c r="A11957">
        <v>11956</v>
      </c>
      <c r="B11957" t="str">
        <f>"014758"</f>
        <v>0</v>
      </c>
      <c r="C11957" t="s">
        <v>14773</v>
      </c>
      <c r="D11957" t="s">
        <v>17623</v>
      </c>
      <c r="E11957" t="str">
        <f>"3700500754282"</f>
        <v>0</v>
      </c>
      <c r="F11957" t="str">
        <f>"007010"</f>
        <v>0</v>
      </c>
      <c r="G11957" t="s">
        <v>21</v>
      </c>
    </row>
    <row r="11958" spans="1:7">
      <c r="A11958">
        <v>11957</v>
      </c>
      <c r="B11958" t="str">
        <f>"014763"</f>
        <v>0</v>
      </c>
      <c r="C11958" t="s">
        <v>3354</v>
      </c>
      <c r="D11958" t="s">
        <v>17624</v>
      </c>
      <c r="E11958" t="str">
        <f>"5700100008326"</f>
        <v>0</v>
      </c>
      <c r="F11958" t="str">
        <f>"007010"</f>
        <v>0</v>
      </c>
      <c r="G11958" t="s">
        <v>21</v>
      </c>
    </row>
    <row r="11959" spans="1:7">
      <c r="A11959">
        <v>11958</v>
      </c>
      <c r="B11959" t="str">
        <f>"016215"</f>
        <v>0</v>
      </c>
      <c r="C11959" t="s">
        <v>352</v>
      </c>
      <c r="D11959" t="s">
        <v>17625</v>
      </c>
      <c r="E11959" t="str">
        <f>"3700101026097"</f>
        <v>0</v>
      </c>
      <c r="F11959" t="str">
        <f>"007010"</f>
        <v>0</v>
      </c>
      <c r="G11959" t="s">
        <v>21</v>
      </c>
    </row>
    <row r="11960" spans="1:7">
      <c r="A11960">
        <v>11959</v>
      </c>
      <c r="B11960" t="str">
        <f>"016708"</f>
        <v>0</v>
      </c>
      <c r="C11960" t="s">
        <v>417</v>
      </c>
      <c r="D11960" t="s">
        <v>2063</v>
      </c>
      <c r="E11960" t="str">
        <f>"3700100206792"</f>
        <v>0</v>
      </c>
      <c r="F11960" t="str">
        <f>"007010"</f>
        <v>0</v>
      </c>
      <c r="G11960" t="s">
        <v>21</v>
      </c>
    </row>
    <row r="11961" spans="1:7">
      <c r="A11961">
        <v>11960</v>
      </c>
      <c r="B11961" t="str">
        <f>"017633"</f>
        <v>0</v>
      </c>
      <c r="C11961" t="s">
        <v>17626</v>
      </c>
      <c r="D11961" t="s">
        <v>17627</v>
      </c>
      <c r="E11961" t="str">
        <f>"3700101071505"</f>
        <v>0</v>
      </c>
      <c r="F11961" t="str">
        <f>"007010"</f>
        <v>0</v>
      </c>
      <c r="G11961" t="s">
        <v>21</v>
      </c>
    </row>
    <row r="11962" spans="1:7">
      <c r="A11962">
        <v>11961</v>
      </c>
      <c r="B11962" t="str">
        <f>"016680"</f>
        <v>0</v>
      </c>
      <c r="C11962" t="s">
        <v>17628</v>
      </c>
      <c r="D11962" t="s">
        <v>17629</v>
      </c>
      <c r="E11962" t="str">
        <f>"3100602115357"</f>
        <v>0</v>
      </c>
      <c r="F11962" t="str">
        <f>"007010"</f>
        <v>0</v>
      </c>
      <c r="G11962" t="s">
        <v>21</v>
      </c>
    </row>
    <row r="11963" spans="1:7">
      <c r="A11963">
        <v>11962</v>
      </c>
      <c r="B11963" t="str">
        <f>"014593"</f>
        <v>0</v>
      </c>
      <c r="C11963" t="s">
        <v>17630</v>
      </c>
      <c r="D11963" t="s">
        <v>6094</v>
      </c>
      <c r="E11963" t="str">
        <f>"3909900273075"</f>
        <v>0</v>
      </c>
      <c r="F11963" t="str">
        <f>"007010"</f>
        <v>0</v>
      </c>
      <c r="G11963" t="s">
        <v>21</v>
      </c>
    </row>
    <row r="11964" spans="1:7">
      <c r="A11964">
        <v>11963</v>
      </c>
      <c r="B11964" t="str">
        <f>"016875"</f>
        <v>0</v>
      </c>
      <c r="C11964" t="s">
        <v>837</v>
      </c>
      <c r="D11964" t="s">
        <v>17631</v>
      </c>
      <c r="E11964" t="str">
        <f>"3920100317258"</f>
        <v>0</v>
      </c>
      <c r="F11964" t="str">
        <f>"007010"</f>
        <v>0</v>
      </c>
      <c r="G11964" t="s">
        <v>21</v>
      </c>
    </row>
    <row r="11965" spans="1:7">
      <c r="A11965">
        <v>11964</v>
      </c>
      <c r="B11965" t="str">
        <f>"011484"</f>
        <v>0</v>
      </c>
      <c r="C11965" t="s">
        <v>1947</v>
      </c>
      <c r="D11965" t="s">
        <v>4117</v>
      </c>
      <c r="E11965" t="str">
        <f>"3930100862663"</f>
        <v>0</v>
      </c>
      <c r="F11965" t="str">
        <f>"007010"</f>
        <v>0</v>
      </c>
      <c r="G11965" t="s">
        <v>21</v>
      </c>
    </row>
    <row r="11966" spans="1:7">
      <c r="A11966">
        <v>11965</v>
      </c>
      <c r="B11966" t="str">
        <f>"012618"</f>
        <v>0</v>
      </c>
      <c r="C11966" t="s">
        <v>17583</v>
      </c>
      <c r="D11966" t="s">
        <v>17632</v>
      </c>
      <c r="E11966" t="str">
        <f>"3930100563038"</f>
        <v>0</v>
      </c>
      <c r="F11966" t="str">
        <f>"007010"</f>
        <v>0</v>
      </c>
      <c r="G11966" t="s">
        <v>21</v>
      </c>
    </row>
    <row r="11967" spans="1:7">
      <c r="A11967">
        <v>11966</v>
      </c>
      <c r="B11967" t="str">
        <f>"012709"</f>
        <v>0</v>
      </c>
      <c r="C11967" t="s">
        <v>17633</v>
      </c>
      <c r="D11967" t="s">
        <v>17634</v>
      </c>
      <c r="E11967" t="str">
        <f>"3930100922542"</f>
        <v>0</v>
      </c>
      <c r="F11967" t="str">
        <f>"007010"</f>
        <v>0</v>
      </c>
      <c r="G11967" t="s">
        <v>21</v>
      </c>
    </row>
    <row r="11968" spans="1:7">
      <c r="A11968">
        <v>11967</v>
      </c>
      <c r="B11968" t="str">
        <f>"013180"</f>
        <v>0</v>
      </c>
      <c r="C11968" t="s">
        <v>92</v>
      </c>
      <c r="D11968" t="s">
        <v>17635</v>
      </c>
      <c r="E11968" t="str">
        <f>"3930100285500"</f>
        <v>0</v>
      </c>
      <c r="F11968" t="str">
        <f>"007010"</f>
        <v>0</v>
      </c>
      <c r="G11968" t="s">
        <v>21</v>
      </c>
    </row>
    <row r="11969" spans="1:7">
      <c r="A11969">
        <v>11968</v>
      </c>
      <c r="B11969" t="str">
        <f>"013843"</f>
        <v>0</v>
      </c>
      <c r="C11969" t="s">
        <v>17636</v>
      </c>
      <c r="D11969" t="s">
        <v>17637</v>
      </c>
      <c r="E11969" t="str">
        <f>"3930500461585"</f>
        <v>0</v>
      </c>
      <c r="F11969" t="str">
        <f>"007010"</f>
        <v>0</v>
      </c>
      <c r="G11969" t="s">
        <v>21</v>
      </c>
    </row>
    <row r="11970" spans="1:7">
      <c r="A11970">
        <v>11969</v>
      </c>
      <c r="B11970" t="str">
        <f>"013845"</f>
        <v>0</v>
      </c>
      <c r="C11970" t="s">
        <v>3620</v>
      </c>
      <c r="D11970" t="s">
        <v>17638</v>
      </c>
      <c r="E11970" t="str">
        <f>"3939900076997"</f>
        <v>0</v>
      </c>
      <c r="F11970" t="str">
        <f>"007010"</f>
        <v>0</v>
      </c>
      <c r="G11970" t="s">
        <v>21</v>
      </c>
    </row>
    <row r="11971" spans="1:7">
      <c r="A11971">
        <v>11970</v>
      </c>
      <c r="B11971" t="str">
        <f>"013847"</f>
        <v>0</v>
      </c>
      <c r="C11971" t="s">
        <v>9956</v>
      </c>
      <c r="D11971" t="s">
        <v>17639</v>
      </c>
      <c r="E11971" t="str">
        <f>"3930100885922"</f>
        <v>0</v>
      </c>
      <c r="F11971" t="str">
        <f>"007010"</f>
        <v>0</v>
      </c>
      <c r="G11971" t="s">
        <v>21</v>
      </c>
    </row>
    <row r="11972" spans="1:7">
      <c r="A11972">
        <v>11971</v>
      </c>
      <c r="B11972" t="str">
        <f>"013228"</f>
        <v>0</v>
      </c>
      <c r="C11972" t="s">
        <v>17640</v>
      </c>
      <c r="D11972" t="s">
        <v>17348</v>
      </c>
      <c r="E11972" t="str">
        <f>"3730200693806"</f>
        <v>0</v>
      </c>
      <c r="F11972" t="str">
        <f>"007010"</f>
        <v>0</v>
      </c>
      <c r="G11972" t="s">
        <v>21</v>
      </c>
    </row>
    <row r="11973" spans="1:7">
      <c r="A11973">
        <v>11972</v>
      </c>
      <c r="B11973" t="str">
        <f>"013891"</f>
        <v>0</v>
      </c>
      <c r="C11973" t="s">
        <v>17641</v>
      </c>
      <c r="D11973" t="s">
        <v>17642</v>
      </c>
      <c r="E11973" t="str">
        <f>"3169900173761"</f>
        <v>0</v>
      </c>
      <c r="F11973" t="str">
        <f>"007010"</f>
        <v>0</v>
      </c>
      <c r="G11973" t="s">
        <v>21</v>
      </c>
    </row>
    <row r="11974" spans="1:7">
      <c r="A11974">
        <v>11973</v>
      </c>
      <c r="B11974" t="str">
        <f>"014191"</f>
        <v>0</v>
      </c>
      <c r="C11974" t="s">
        <v>17643</v>
      </c>
      <c r="D11974" t="s">
        <v>17644</v>
      </c>
      <c r="E11974" t="str">
        <f>"3101203116440"</f>
        <v>0</v>
      </c>
      <c r="F11974" t="str">
        <f>"007010"</f>
        <v>0</v>
      </c>
      <c r="G11974" t="s">
        <v>21</v>
      </c>
    </row>
    <row r="11975" spans="1:7">
      <c r="A11975">
        <v>11974</v>
      </c>
      <c r="B11975" t="str">
        <f>"018245"</f>
        <v>0</v>
      </c>
      <c r="C11975" t="s">
        <v>847</v>
      </c>
      <c r="D11975" t="s">
        <v>17645</v>
      </c>
      <c r="E11975" t="str">
        <f>"3869900117465"</f>
        <v>0</v>
      </c>
      <c r="F11975" t="str">
        <f>"007010"</f>
        <v>0</v>
      </c>
      <c r="G11975" t="s">
        <v>21</v>
      </c>
    </row>
    <row r="11976" spans="1:7">
      <c r="A11976">
        <v>11975</v>
      </c>
      <c r="B11976" t="str">
        <f>"018298"</f>
        <v>0</v>
      </c>
      <c r="C11976" t="s">
        <v>250</v>
      </c>
      <c r="D11976" t="s">
        <v>17646</v>
      </c>
      <c r="E11976" t="str">
        <f>"3101700467399"</f>
        <v>0</v>
      </c>
      <c r="F11976" t="str">
        <f>"007010"</f>
        <v>0</v>
      </c>
      <c r="G11976" t="s">
        <v>21</v>
      </c>
    </row>
    <row r="11977" spans="1:7">
      <c r="A11977">
        <v>11976</v>
      </c>
      <c r="B11977" t="str">
        <f>"019919"</f>
        <v>0</v>
      </c>
      <c r="C11977" t="s">
        <v>17647</v>
      </c>
      <c r="D11977" t="s">
        <v>17648</v>
      </c>
      <c r="E11977" t="str">
        <f>"3100601631220"</f>
        <v>0</v>
      </c>
      <c r="F11977" t="str">
        <f>"007010"</f>
        <v>0</v>
      </c>
      <c r="G11977" t="s">
        <v>21</v>
      </c>
    </row>
    <row r="11978" spans="1:7">
      <c r="A11978">
        <v>11977</v>
      </c>
      <c r="B11978" t="str">
        <f>"020675"</f>
        <v>0</v>
      </c>
      <c r="C11978" t="s">
        <v>17649</v>
      </c>
      <c r="D11978" t="s">
        <v>17650</v>
      </c>
      <c r="E11978" t="str">
        <f>"3539900220196"</f>
        <v>0</v>
      </c>
      <c r="F11978" t="str">
        <f>"007010"</f>
        <v>0</v>
      </c>
      <c r="G11978" t="s">
        <v>21</v>
      </c>
    </row>
    <row r="11979" spans="1:7">
      <c r="A11979">
        <v>11978</v>
      </c>
      <c r="B11979" t="str">
        <f>"022065"</f>
        <v>0</v>
      </c>
      <c r="C11979" t="s">
        <v>17651</v>
      </c>
      <c r="D11979" t="s">
        <v>17652</v>
      </c>
      <c r="E11979" t="str">
        <f>"3530100808395"</f>
        <v>0</v>
      </c>
      <c r="F11979" t="str">
        <f>"007010"</f>
        <v>0</v>
      </c>
      <c r="G11979" t="s">
        <v>21</v>
      </c>
    </row>
    <row r="11980" spans="1:7">
      <c r="A11980">
        <v>11979</v>
      </c>
      <c r="B11980" t="str">
        <f>"022136"</f>
        <v>0</v>
      </c>
      <c r="C11980" t="s">
        <v>17653</v>
      </c>
      <c r="D11980" t="s">
        <v>17654</v>
      </c>
      <c r="E11980" t="str">
        <f>"1349900086240"</f>
        <v>0</v>
      </c>
      <c r="F11980" t="str">
        <f>"007010"</f>
        <v>0</v>
      </c>
      <c r="G11980" t="s">
        <v>21</v>
      </c>
    </row>
    <row r="11981" spans="1:7">
      <c r="A11981">
        <v>11980</v>
      </c>
      <c r="B11981" t="str">
        <f>"022137"</f>
        <v>0</v>
      </c>
      <c r="C11981" t="s">
        <v>13837</v>
      </c>
      <c r="D11981" t="s">
        <v>17655</v>
      </c>
      <c r="E11981" t="str">
        <f>"1439900019711"</f>
        <v>0</v>
      </c>
      <c r="F11981" t="str">
        <f>"007010"</f>
        <v>0</v>
      </c>
      <c r="G11981" t="s">
        <v>21</v>
      </c>
    </row>
    <row r="11982" spans="1:7">
      <c r="A11982">
        <v>11981</v>
      </c>
      <c r="B11982" t="str">
        <f>"022348"</f>
        <v>0</v>
      </c>
      <c r="C11982" t="s">
        <v>17656</v>
      </c>
      <c r="D11982" t="s">
        <v>17657</v>
      </c>
      <c r="E11982" t="str">
        <f>"1709900124440"</f>
        <v>0</v>
      </c>
      <c r="F11982" t="str">
        <f>"007010"</f>
        <v>0</v>
      </c>
      <c r="G11982" t="s">
        <v>21</v>
      </c>
    </row>
    <row r="11983" spans="1:7">
      <c r="A11983">
        <v>11982</v>
      </c>
      <c r="B11983" t="str">
        <f>"023133"</f>
        <v>0</v>
      </c>
      <c r="C11983" t="s">
        <v>17658</v>
      </c>
      <c r="D11983" t="s">
        <v>17659</v>
      </c>
      <c r="E11983" t="str">
        <f>"3730600746354"</f>
        <v>0</v>
      </c>
      <c r="F11983" t="str">
        <f>"007010"</f>
        <v>0</v>
      </c>
      <c r="G11983" t="s">
        <v>21</v>
      </c>
    </row>
    <row r="11984" spans="1:7">
      <c r="A11984">
        <v>11983</v>
      </c>
      <c r="B11984" t="str">
        <f>"019082"</f>
        <v>0</v>
      </c>
      <c r="C11984" t="s">
        <v>17660</v>
      </c>
      <c r="D11984" t="s">
        <v>17661</v>
      </c>
      <c r="E11984" t="str">
        <f>"3120101379785"</f>
        <v>0</v>
      </c>
      <c r="F11984" t="str">
        <f>"007010"</f>
        <v>0</v>
      </c>
      <c r="G11984" t="s">
        <v>21</v>
      </c>
    </row>
    <row r="11985" spans="1:7">
      <c r="A11985">
        <v>11984</v>
      </c>
      <c r="B11985" t="str">
        <f>"023651"</f>
        <v>0</v>
      </c>
      <c r="C11985" t="s">
        <v>17662</v>
      </c>
      <c r="D11985" t="s">
        <v>17663</v>
      </c>
      <c r="E11985" t="str">
        <f>"3120600535758"</f>
        <v>0</v>
      </c>
      <c r="F11985" t="str">
        <f>"007010"</f>
        <v>0</v>
      </c>
      <c r="G11985" t="s">
        <v>21</v>
      </c>
    </row>
    <row r="11986" spans="1:7">
      <c r="A11986">
        <v>11985</v>
      </c>
      <c r="B11986" t="str">
        <f>"024581"</f>
        <v>0</v>
      </c>
      <c r="C11986" t="s">
        <v>17664</v>
      </c>
      <c r="D11986" t="s">
        <v>17665</v>
      </c>
      <c r="E11986" t="str">
        <f>"1120100122962"</f>
        <v>0</v>
      </c>
      <c r="F11986" t="str">
        <f>"007010"</f>
        <v>0</v>
      </c>
      <c r="G11986" t="s">
        <v>21</v>
      </c>
    </row>
    <row r="11987" spans="1:7">
      <c r="A11987">
        <v>11986</v>
      </c>
      <c r="B11987" t="str">
        <f>"026845"</f>
        <v>0</v>
      </c>
      <c r="C11987" t="s">
        <v>17666</v>
      </c>
      <c r="D11987" t="s">
        <v>17667</v>
      </c>
      <c r="E11987" t="str">
        <f>"1102001658025"</f>
        <v>0</v>
      </c>
      <c r="F11987" t="str">
        <f>"007010"</f>
        <v>0</v>
      </c>
      <c r="G11987" t="s">
        <v>21</v>
      </c>
    </row>
    <row r="11988" spans="1:7">
      <c r="A11988">
        <v>11987</v>
      </c>
      <c r="B11988" t="str">
        <f>"026979"</f>
        <v>0</v>
      </c>
      <c r="C11988" t="s">
        <v>17668</v>
      </c>
      <c r="D11988" t="s">
        <v>17669</v>
      </c>
      <c r="E11988" t="str">
        <f>"1101401148759"</f>
        <v>0</v>
      </c>
      <c r="F11988" t="str">
        <f>"007010"</f>
        <v>0</v>
      </c>
      <c r="G11988" t="s">
        <v>21</v>
      </c>
    </row>
    <row r="11989" spans="1:7">
      <c r="A11989">
        <v>11988</v>
      </c>
      <c r="B11989" t="str">
        <f>"027294"</f>
        <v>0</v>
      </c>
      <c r="C11989" t="s">
        <v>7154</v>
      </c>
      <c r="D11989" t="s">
        <v>17670</v>
      </c>
      <c r="E11989" t="str">
        <f>"1103700518568"</f>
        <v>0</v>
      </c>
      <c r="F11989" t="str">
        <f>"007010"</f>
        <v>0</v>
      </c>
      <c r="G11989" t="s">
        <v>21</v>
      </c>
    </row>
    <row r="11990" spans="1:7">
      <c r="A11990">
        <v>11989</v>
      </c>
      <c r="B11990" t="str">
        <f>"016271"</f>
        <v>0</v>
      </c>
      <c r="C11990" t="s">
        <v>17671</v>
      </c>
      <c r="D11990" t="s">
        <v>3806</v>
      </c>
      <c r="E11990" t="str">
        <f>"3120600083032"</f>
        <v>0</v>
      </c>
      <c r="F11990" t="str">
        <f>"007010"</f>
        <v>0</v>
      </c>
      <c r="G11990" t="s">
        <v>21</v>
      </c>
    </row>
    <row r="11991" spans="1:7">
      <c r="A11991">
        <v>11990</v>
      </c>
      <c r="B11991" t="str">
        <f>"018593"</f>
        <v>0</v>
      </c>
      <c r="C11991" t="s">
        <v>15197</v>
      </c>
      <c r="D11991" t="s">
        <v>17672</v>
      </c>
      <c r="E11991" t="str">
        <f>"3150400063569"</f>
        <v>0</v>
      </c>
      <c r="F11991" t="str">
        <f>"007010"</f>
        <v>0</v>
      </c>
      <c r="G11991" t="s">
        <v>21</v>
      </c>
    </row>
    <row r="11992" spans="1:7">
      <c r="A11992">
        <v>11991</v>
      </c>
      <c r="B11992" t="str">
        <f>"024580"</f>
        <v>0</v>
      </c>
      <c r="C11992" t="s">
        <v>17673</v>
      </c>
      <c r="D11992" t="s">
        <v>17674</v>
      </c>
      <c r="E11992" t="str">
        <f>"3710500586118"</f>
        <v>0</v>
      </c>
      <c r="F11992" t="str">
        <f>"007010"</f>
        <v>0</v>
      </c>
      <c r="G11992" t="s">
        <v>21</v>
      </c>
    </row>
    <row r="11993" spans="1:7">
      <c r="A11993">
        <v>11992</v>
      </c>
      <c r="B11993" t="str">
        <f>"016418"</f>
        <v>0</v>
      </c>
      <c r="C11993" t="s">
        <v>7541</v>
      </c>
      <c r="D11993" t="s">
        <v>7086</v>
      </c>
      <c r="E11993" t="str">
        <f>"3720100231207"</f>
        <v>0</v>
      </c>
      <c r="F11993" t="str">
        <f>"007010"</f>
        <v>0</v>
      </c>
      <c r="G11993" t="s">
        <v>21</v>
      </c>
    </row>
    <row r="11994" spans="1:7">
      <c r="A11994">
        <v>11993</v>
      </c>
      <c r="B11994" t="str">
        <f>"020726"</f>
        <v>0</v>
      </c>
      <c r="C11994" t="s">
        <v>17675</v>
      </c>
      <c r="D11994" t="s">
        <v>17676</v>
      </c>
      <c r="E11994" t="str">
        <f>"3101900418031"</f>
        <v>0</v>
      </c>
      <c r="F11994" t="str">
        <f>"007010"</f>
        <v>0</v>
      </c>
      <c r="G11994" t="s">
        <v>21</v>
      </c>
    </row>
    <row r="11995" spans="1:7">
      <c r="A11995">
        <v>11994</v>
      </c>
      <c r="B11995" t="str">
        <f>"023954"</f>
        <v>0</v>
      </c>
      <c r="C11995" t="s">
        <v>17677</v>
      </c>
      <c r="D11995" t="s">
        <v>17678</v>
      </c>
      <c r="E11995" t="str">
        <f>"2461100029365"</f>
        <v>0</v>
      </c>
      <c r="F11995" t="str">
        <f>"007010"</f>
        <v>0</v>
      </c>
      <c r="G11995" t="s">
        <v>21</v>
      </c>
    </row>
    <row r="11996" spans="1:7">
      <c r="A11996">
        <v>11995</v>
      </c>
      <c r="B11996" t="str">
        <f>"026865"</f>
        <v>0</v>
      </c>
      <c r="C11996" t="s">
        <v>17679</v>
      </c>
      <c r="D11996" t="s">
        <v>17680</v>
      </c>
      <c r="E11996" t="str">
        <f>"3100602698476"</f>
        <v>0</v>
      </c>
      <c r="F11996" t="str">
        <f>"007010"</f>
        <v>0</v>
      </c>
      <c r="G11996" t="s">
        <v>21</v>
      </c>
    </row>
    <row r="11997" spans="1:7">
      <c r="A11997">
        <v>11996</v>
      </c>
      <c r="B11997" t="str">
        <f>"014201"</f>
        <v>0</v>
      </c>
      <c r="C11997" t="s">
        <v>82</v>
      </c>
      <c r="D11997" t="s">
        <v>17681</v>
      </c>
      <c r="E11997" t="str">
        <f>"3670700145272"</f>
        <v>0</v>
      </c>
      <c r="F11997" t="str">
        <f>"007010"</f>
        <v>0</v>
      </c>
      <c r="G11997" t="s">
        <v>21</v>
      </c>
    </row>
    <row r="11998" spans="1:7">
      <c r="A11998">
        <v>11997</v>
      </c>
      <c r="B11998" t="str">
        <f>"026458"</f>
        <v>0</v>
      </c>
      <c r="C11998" t="s">
        <v>17682</v>
      </c>
      <c r="D11998" t="s">
        <v>17683</v>
      </c>
      <c r="E11998" t="str">
        <f>"1509900218527"</f>
        <v>0</v>
      </c>
      <c r="F11998" t="str">
        <f>"007010"</f>
        <v>0</v>
      </c>
      <c r="G11998" t="s">
        <v>21</v>
      </c>
    </row>
    <row r="11999" spans="1:7">
      <c r="A11999">
        <v>11998</v>
      </c>
      <c r="B11999" t="str">
        <f>"014785"</f>
        <v>0</v>
      </c>
      <c r="C11999" t="s">
        <v>11292</v>
      </c>
      <c r="D11999" t="s">
        <v>7610</v>
      </c>
      <c r="E11999" t="str">
        <f>"3210300160766"</f>
        <v>0</v>
      </c>
      <c r="F11999" t="str">
        <f>"007010"</f>
        <v>0</v>
      </c>
      <c r="G11999" t="s">
        <v>21</v>
      </c>
    </row>
    <row r="12000" spans="1:7">
      <c r="A12000">
        <v>11999</v>
      </c>
      <c r="B12000" t="str">
        <f>"022308"</f>
        <v>0</v>
      </c>
      <c r="C12000" t="s">
        <v>9388</v>
      </c>
      <c r="D12000" t="s">
        <v>12926</v>
      </c>
      <c r="E12000" t="str">
        <f>"3760200113052"</f>
        <v>0</v>
      </c>
      <c r="F12000" t="str">
        <f>"007010"</f>
        <v>0</v>
      </c>
      <c r="G12000" t="s">
        <v>21</v>
      </c>
    </row>
    <row r="12001" spans="1:7">
      <c r="A12001">
        <v>12000</v>
      </c>
      <c r="B12001" t="str">
        <f>"023921"</f>
        <v>0</v>
      </c>
      <c r="C12001" t="s">
        <v>17684</v>
      </c>
      <c r="D12001" t="s">
        <v>17685</v>
      </c>
      <c r="E12001" t="str">
        <f>"3529900301722"</f>
        <v>0</v>
      </c>
      <c r="F12001" t="str">
        <f>"007010"</f>
        <v>0</v>
      </c>
      <c r="G12001" t="s">
        <v>21</v>
      </c>
    </row>
    <row r="12002" spans="1:7">
      <c r="A12002">
        <v>12001</v>
      </c>
      <c r="B12002" t="str">
        <f>"020512"</f>
        <v>0</v>
      </c>
      <c r="C12002" t="s">
        <v>100</v>
      </c>
      <c r="D12002" t="s">
        <v>17686</v>
      </c>
      <c r="E12002" t="str">
        <f>"3920100693659"</f>
        <v>0</v>
      </c>
      <c r="F12002" t="str">
        <f>"007010"</f>
        <v>0</v>
      </c>
      <c r="G12002" t="s">
        <v>21</v>
      </c>
    </row>
    <row r="12003" spans="1:7">
      <c r="A12003">
        <v>12002</v>
      </c>
      <c r="B12003" t="str">
        <f>"026460"</f>
        <v>0</v>
      </c>
      <c r="C12003" t="s">
        <v>17687</v>
      </c>
      <c r="D12003" t="s">
        <v>17688</v>
      </c>
      <c r="E12003" t="str">
        <f>"1249900101339"</f>
        <v>0</v>
      </c>
      <c r="F12003" t="str">
        <f>"007010"</f>
        <v>0</v>
      </c>
      <c r="G12003" t="s">
        <v>21</v>
      </c>
    </row>
    <row r="12004" spans="1:7">
      <c r="A12004">
        <v>12003</v>
      </c>
      <c r="B12004" t="str">
        <f>"013635"</f>
        <v>0</v>
      </c>
      <c r="C12004" t="s">
        <v>17689</v>
      </c>
      <c r="D12004" t="s">
        <v>17363</v>
      </c>
      <c r="E12004" t="str">
        <f>"3100501543345"</f>
        <v>0</v>
      </c>
      <c r="F12004" t="str">
        <f>"007010"</f>
        <v>0</v>
      </c>
      <c r="G12004" t="s">
        <v>21</v>
      </c>
    </row>
    <row r="12005" spans="1:7">
      <c r="A12005">
        <v>12004</v>
      </c>
      <c r="B12005" t="str">
        <f>"017187"</f>
        <v>0</v>
      </c>
      <c r="C12005" t="s">
        <v>1928</v>
      </c>
      <c r="D12005" t="s">
        <v>17690</v>
      </c>
      <c r="E12005" t="str">
        <f>"3130200475561"</f>
        <v>0</v>
      </c>
      <c r="F12005" t="str">
        <f>"007010"</f>
        <v>0</v>
      </c>
      <c r="G12005" t="s">
        <v>21</v>
      </c>
    </row>
    <row r="12006" spans="1:7">
      <c r="A12006">
        <v>12005</v>
      </c>
      <c r="B12006" t="str">
        <f>"021339"</f>
        <v>0</v>
      </c>
      <c r="C12006" t="s">
        <v>8983</v>
      </c>
      <c r="D12006" t="s">
        <v>17691</v>
      </c>
      <c r="E12006" t="str">
        <f>"3102201729828"</f>
        <v>0</v>
      </c>
      <c r="F12006" t="str">
        <f>"007010"</f>
        <v>0</v>
      </c>
      <c r="G12006" t="s">
        <v>21</v>
      </c>
    </row>
    <row r="12007" spans="1:7">
      <c r="A12007">
        <v>12006</v>
      </c>
      <c r="B12007" t="str">
        <f>"021886"</f>
        <v>0</v>
      </c>
      <c r="C12007" t="s">
        <v>17692</v>
      </c>
      <c r="D12007" t="s">
        <v>17693</v>
      </c>
      <c r="E12007" t="str">
        <f>"3600600208175"</f>
        <v>0</v>
      </c>
      <c r="F12007" t="str">
        <f>"007010"</f>
        <v>0</v>
      </c>
      <c r="G12007" t="s">
        <v>21</v>
      </c>
    </row>
    <row r="12008" spans="1:7">
      <c r="A12008">
        <v>12007</v>
      </c>
      <c r="B12008" t="str">
        <f>"022764"</f>
        <v>0</v>
      </c>
      <c r="C12008" t="s">
        <v>1225</v>
      </c>
      <c r="D12008" t="s">
        <v>17694</v>
      </c>
      <c r="E12008" t="str">
        <f>"1101400784228"</f>
        <v>0</v>
      </c>
      <c r="F12008" t="str">
        <f>"007010"</f>
        <v>0</v>
      </c>
      <c r="G12008" t="s">
        <v>21</v>
      </c>
    </row>
    <row r="12009" spans="1:7">
      <c r="A12009">
        <v>12008</v>
      </c>
      <c r="B12009" t="str">
        <f>"023541"</f>
        <v>0</v>
      </c>
      <c r="C12009" t="s">
        <v>17695</v>
      </c>
      <c r="D12009" t="s">
        <v>17696</v>
      </c>
      <c r="E12009" t="str">
        <f>"3920600704480"</f>
        <v>0</v>
      </c>
      <c r="F12009" t="str">
        <f>"007010"</f>
        <v>0</v>
      </c>
      <c r="G12009" t="s">
        <v>21</v>
      </c>
    </row>
    <row r="12010" spans="1:7">
      <c r="A12010">
        <v>12009</v>
      </c>
      <c r="B12010" t="str">
        <f>"026980"</f>
        <v>0</v>
      </c>
      <c r="C12010" t="s">
        <v>17697</v>
      </c>
      <c r="D12010" t="s">
        <v>17698</v>
      </c>
      <c r="E12010" t="str">
        <f>"3100502257486"</f>
        <v>0</v>
      </c>
      <c r="F12010" t="str">
        <f>"007010"</f>
        <v>0</v>
      </c>
      <c r="G12010" t="s">
        <v>21</v>
      </c>
    </row>
    <row r="12011" spans="1:7">
      <c r="A12011">
        <v>12010</v>
      </c>
      <c r="B12011" t="str">
        <f>"019054"</f>
        <v>0</v>
      </c>
      <c r="C12011" t="s">
        <v>3702</v>
      </c>
      <c r="D12011" t="s">
        <v>9207</v>
      </c>
      <c r="E12011" t="str">
        <f>"3101400660703"</f>
        <v>0</v>
      </c>
      <c r="F12011" t="str">
        <f>"007010"</f>
        <v>0</v>
      </c>
      <c r="G12011" t="s">
        <v>21</v>
      </c>
    </row>
    <row r="12012" spans="1:7">
      <c r="A12012">
        <v>12011</v>
      </c>
      <c r="B12012" t="str">
        <f>"023760"</f>
        <v>0</v>
      </c>
      <c r="C12012" t="s">
        <v>17699</v>
      </c>
      <c r="D12012" t="s">
        <v>17700</v>
      </c>
      <c r="E12012" t="str">
        <f>"1101800195971"</f>
        <v>0</v>
      </c>
      <c r="F12012" t="str">
        <f>"007010"</f>
        <v>0</v>
      </c>
      <c r="G12012" t="s">
        <v>21</v>
      </c>
    </row>
    <row r="12013" spans="1:7">
      <c r="A12013">
        <v>12012</v>
      </c>
      <c r="B12013" t="str">
        <f>"017520"</f>
        <v>0</v>
      </c>
      <c r="C12013" t="s">
        <v>7678</v>
      </c>
      <c r="D12013" t="s">
        <v>17701</v>
      </c>
      <c r="E12013" t="str">
        <f>"3100501473762"</f>
        <v>0</v>
      </c>
      <c r="F12013" t="str">
        <f>"007010"</f>
        <v>0</v>
      </c>
      <c r="G12013" t="s">
        <v>21</v>
      </c>
    </row>
    <row r="12014" spans="1:7">
      <c r="A12014">
        <v>12013</v>
      </c>
      <c r="B12014" t="str">
        <f>"019400"</f>
        <v>0</v>
      </c>
      <c r="C12014" t="s">
        <v>7363</v>
      </c>
      <c r="D12014" t="s">
        <v>17702</v>
      </c>
      <c r="E12014" t="str">
        <f>"3141400038778"</f>
        <v>0</v>
      </c>
      <c r="F12014" t="str">
        <f>"007010"</f>
        <v>0</v>
      </c>
      <c r="G12014" t="s">
        <v>21</v>
      </c>
    </row>
    <row r="12015" spans="1:7">
      <c r="A12015">
        <v>12014</v>
      </c>
      <c r="B12015" t="str">
        <f>"023922"</f>
        <v>0</v>
      </c>
      <c r="C12015" t="s">
        <v>2669</v>
      </c>
      <c r="D12015" t="s">
        <v>3649</v>
      </c>
      <c r="E12015" t="str">
        <f>"3240600586858"</f>
        <v>0</v>
      </c>
      <c r="F12015" t="str">
        <f>"007010"</f>
        <v>0</v>
      </c>
      <c r="G12015" t="s">
        <v>21</v>
      </c>
    </row>
    <row r="12016" spans="1:7">
      <c r="A12016">
        <v>12015</v>
      </c>
      <c r="B12016" t="str">
        <f>"023405"</f>
        <v>0</v>
      </c>
      <c r="C12016" t="s">
        <v>13352</v>
      </c>
      <c r="D12016" t="s">
        <v>17703</v>
      </c>
      <c r="E12016" t="str">
        <f>"1409700002271"</f>
        <v>0</v>
      </c>
      <c r="F12016" t="str">
        <f>"007010"</f>
        <v>0</v>
      </c>
      <c r="G12016" t="s">
        <v>21</v>
      </c>
    </row>
    <row r="12017" spans="1:7">
      <c r="A12017">
        <v>12016</v>
      </c>
      <c r="B12017" t="str">
        <f>"027037"</f>
        <v>0</v>
      </c>
      <c r="C12017" t="s">
        <v>17704</v>
      </c>
      <c r="D12017" t="s">
        <v>2844</v>
      </c>
      <c r="E12017" t="str">
        <f>"1401700147301"</f>
        <v>0</v>
      </c>
      <c r="F12017" t="str">
        <f>"007010"</f>
        <v>0</v>
      </c>
      <c r="G12017" t="s">
        <v>21</v>
      </c>
    </row>
    <row r="12018" spans="1:7">
      <c r="A12018">
        <v>12017</v>
      </c>
      <c r="B12018" t="str">
        <f>"021400"</f>
        <v>0</v>
      </c>
      <c r="C12018" t="s">
        <v>17705</v>
      </c>
      <c r="D12018" t="s">
        <v>17706</v>
      </c>
      <c r="E12018" t="str">
        <f>"3630600150177"</f>
        <v>0</v>
      </c>
      <c r="F12018" t="str">
        <f>"007010"</f>
        <v>0</v>
      </c>
      <c r="G12018" t="s">
        <v>21</v>
      </c>
    </row>
    <row r="12019" spans="1:7">
      <c r="A12019">
        <v>12018</v>
      </c>
      <c r="B12019" t="str">
        <f>"023703"</f>
        <v>0</v>
      </c>
      <c r="C12019" t="s">
        <v>17707</v>
      </c>
      <c r="D12019" t="s">
        <v>17708</v>
      </c>
      <c r="E12019" t="str">
        <f>"1729900079835"</f>
        <v>0</v>
      </c>
      <c r="F12019" t="str">
        <f>"007010"</f>
        <v>0</v>
      </c>
      <c r="G12019" t="s">
        <v>21</v>
      </c>
    </row>
    <row r="12020" spans="1:7">
      <c r="A12020">
        <v>12019</v>
      </c>
      <c r="B12020" t="str">
        <f>"021882"</f>
        <v>0</v>
      </c>
      <c r="C12020" t="s">
        <v>17709</v>
      </c>
      <c r="D12020" t="s">
        <v>3390</v>
      </c>
      <c r="E12020" t="str">
        <f>"3740300268007"</f>
        <v>0</v>
      </c>
      <c r="F12020" t="str">
        <f>"007010"</f>
        <v>0</v>
      </c>
      <c r="G12020" t="s">
        <v>21</v>
      </c>
    </row>
    <row r="12021" spans="1:7">
      <c r="A12021">
        <v>12020</v>
      </c>
      <c r="B12021" t="str">
        <f>"020273"</f>
        <v>0</v>
      </c>
      <c r="C12021" t="s">
        <v>7129</v>
      </c>
      <c r="D12021" t="s">
        <v>17710</v>
      </c>
      <c r="E12021" t="str">
        <f>"3800200212165"</f>
        <v>0</v>
      </c>
      <c r="F12021" t="str">
        <f>"007010"</f>
        <v>0</v>
      </c>
      <c r="G12021" t="s">
        <v>21</v>
      </c>
    </row>
    <row r="12022" spans="1:7">
      <c r="A12022">
        <v>12021</v>
      </c>
      <c r="B12022" t="str">
        <f>"015354"</f>
        <v>0</v>
      </c>
      <c r="C12022" t="s">
        <v>17711</v>
      </c>
      <c r="D12022" t="s">
        <v>17712</v>
      </c>
      <c r="E12022" t="str">
        <f>"3102001778612"</f>
        <v>0</v>
      </c>
      <c r="F12022" t="str">
        <f>"007010"</f>
        <v>0</v>
      </c>
      <c r="G12022" t="s">
        <v>21</v>
      </c>
    </row>
    <row r="12023" spans="1:7">
      <c r="A12023">
        <v>12022</v>
      </c>
      <c r="B12023" t="str">
        <f>"015381"</f>
        <v>0</v>
      </c>
      <c r="C12023" t="s">
        <v>17713</v>
      </c>
      <c r="D12023" t="s">
        <v>17714</v>
      </c>
      <c r="E12023" t="str">
        <f>"3920100072450"</f>
        <v>0</v>
      </c>
      <c r="F12023" t="str">
        <f>"007010"</f>
        <v>0</v>
      </c>
      <c r="G12023" t="s">
        <v>21</v>
      </c>
    </row>
    <row r="12024" spans="1:7">
      <c r="A12024">
        <v>12023</v>
      </c>
      <c r="B12024" t="str">
        <f>"018747"</f>
        <v>0</v>
      </c>
      <c r="C12024" t="s">
        <v>17715</v>
      </c>
      <c r="D12024" t="s">
        <v>17716</v>
      </c>
      <c r="E12024" t="str">
        <f>"3100201693261"</f>
        <v>0</v>
      </c>
      <c r="F12024" t="str">
        <f>"007010"</f>
        <v>0</v>
      </c>
      <c r="G12024" t="s">
        <v>21</v>
      </c>
    </row>
    <row r="12025" spans="1:7">
      <c r="A12025">
        <v>12024</v>
      </c>
      <c r="B12025" t="str">
        <f>"018795"</f>
        <v>0</v>
      </c>
      <c r="C12025" t="s">
        <v>17717</v>
      </c>
      <c r="D12025" t="s">
        <v>17718</v>
      </c>
      <c r="E12025" t="str">
        <f>"3110401132599"</f>
        <v>0</v>
      </c>
      <c r="F12025" t="str">
        <f>"007010"</f>
        <v>0</v>
      </c>
      <c r="G12025" t="s">
        <v>21</v>
      </c>
    </row>
    <row r="12026" spans="1:7">
      <c r="A12026">
        <v>12025</v>
      </c>
      <c r="B12026" t="str">
        <f>"017796"</f>
        <v>0</v>
      </c>
      <c r="C12026" t="s">
        <v>703</v>
      </c>
      <c r="D12026" t="s">
        <v>17719</v>
      </c>
      <c r="E12026" t="str">
        <f>"5120100070671"</f>
        <v>0</v>
      </c>
      <c r="F12026" t="str">
        <f>"007010"</f>
        <v>0</v>
      </c>
      <c r="G12026" t="s">
        <v>21</v>
      </c>
    </row>
    <row r="12027" spans="1:7">
      <c r="A12027">
        <v>12026</v>
      </c>
      <c r="B12027" t="str">
        <f>"020448"</f>
        <v>0</v>
      </c>
      <c r="C12027" t="s">
        <v>17720</v>
      </c>
      <c r="D12027" t="s">
        <v>17721</v>
      </c>
      <c r="E12027" t="str">
        <f>"3120101948402"</f>
        <v>0</v>
      </c>
      <c r="F12027" t="str">
        <f>"007010"</f>
        <v>0</v>
      </c>
      <c r="G12027" t="s">
        <v>21</v>
      </c>
    </row>
    <row r="12028" spans="1:7">
      <c r="A12028">
        <v>12027</v>
      </c>
      <c r="B12028" t="str">
        <f>"017122"</f>
        <v>0</v>
      </c>
      <c r="C12028" t="s">
        <v>17722</v>
      </c>
      <c r="D12028" t="s">
        <v>17723</v>
      </c>
      <c r="E12028" t="str">
        <f>"3101200679974"</f>
        <v>0</v>
      </c>
      <c r="F12028" t="str">
        <f>"007010"</f>
        <v>0</v>
      </c>
      <c r="G12028" t="s">
        <v>21</v>
      </c>
    </row>
    <row r="12029" spans="1:7">
      <c r="A12029">
        <v>12028</v>
      </c>
      <c r="B12029" t="str">
        <f>"019062"</f>
        <v>0</v>
      </c>
      <c r="C12029" t="s">
        <v>17724</v>
      </c>
      <c r="D12029" t="s">
        <v>17725</v>
      </c>
      <c r="E12029" t="str">
        <f>"3660100305899"</f>
        <v>0</v>
      </c>
      <c r="F12029" t="str">
        <f>"007010"</f>
        <v>0</v>
      </c>
      <c r="G12029" t="s">
        <v>21</v>
      </c>
    </row>
    <row r="12030" spans="1:7">
      <c r="A12030">
        <v>12029</v>
      </c>
      <c r="B12030" t="str">
        <f>"019647"</f>
        <v>0</v>
      </c>
      <c r="C12030" t="s">
        <v>17726</v>
      </c>
      <c r="D12030" t="s">
        <v>17727</v>
      </c>
      <c r="E12030" t="str">
        <f>"3920100680166"</f>
        <v>0</v>
      </c>
      <c r="F12030" t="str">
        <f>"007010"</f>
        <v>0</v>
      </c>
      <c r="G12030" t="s">
        <v>21</v>
      </c>
    </row>
    <row r="12031" spans="1:7">
      <c r="A12031">
        <v>12030</v>
      </c>
      <c r="B12031" t="str">
        <f>"026432"</f>
        <v>0</v>
      </c>
      <c r="C12031" t="s">
        <v>17728</v>
      </c>
      <c r="D12031" t="s">
        <v>17729</v>
      </c>
      <c r="E12031" t="str">
        <f>"1103700203206"</f>
        <v>0</v>
      </c>
      <c r="F12031" t="str">
        <f>"007010"</f>
        <v>0</v>
      </c>
      <c r="G12031" t="s">
        <v>21</v>
      </c>
    </row>
    <row r="12032" spans="1:7">
      <c r="A12032">
        <v>12031</v>
      </c>
      <c r="B12032" t="str">
        <f>"026866"</f>
        <v>0</v>
      </c>
      <c r="C12032" t="s">
        <v>17730</v>
      </c>
      <c r="D12032" t="s">
        <v>17731</v>
      </c>
      <c r="E12032" t="str">
        <f>"1801600156305"</f>
        <v>0</v>
      </c>
      <c r="F12032" t="str">
        <f>"007010"</f>
        <v>0</v>
      </c>
      <c r="G12032" t="s">
        <v>21</v>
      </c>
    </row>
    <row r="12033" spans="1:7">
      <c r="A12033">
        <v>12032</v>
      </c>
      <c r="B12033" t="str">
        <f>"022727"</f>
        <v>0</v>
      </c>
      <c r="C12033" t="s">
        <v>4864</v>
      </c>
      <c r="D12033" t="s">
        <v>17732</v>
      </c>
      <c r="E12033" t="str">
        <f>"3440800374941"</f>
        <v>0</v>
      </c>
      <c r="F12033" t="str">
        <f>"007010"</f>
        <v>0</v>
      </c>
      <c r="G12033" t="s">
        <v>21</v>
      </c>
    </row>
    <row r="12034" spans="1:7">
      <c r="A12034">
        <v>12033</v>
      </c>
      <c r="B12034" t="str">
        <f>"023646"</f>
        <v>0</v>
      </c>
      <c r="C12034" t="s">
        <v>17733</v>
      </c>
      <c r="D12034" t="s">
        <v>17734</v>
      </c>
      <c r="E12034" t="str">
        <f>"5139999002285"</f>
        <v>0</v>
      </c>
      <c r="F12034" t="str">
        <f>"007010"</f>
        <v>0</v>
      </c>
      <c r="G12034" t="s">
        <v>21</v>
      </c>
    </row>
    <row r="12035" spans="1:7">
      <c r="A12035">
        <v>12034</v>
      </c>
      <c r="B12035" t="str">
        <f>"026956"</f>
        <v>0</v>
      </c>
      <c r="C12035" t="s">
        <v>6858</v>
      </c>
      <c r="D12035" t="s">
        <v>14798</v>
      </c>
      <c r="E12035" t="str">
        <f>"1340900176348"</f>
        <v>0</v>
      </c>
      <c r="F12035" t="str">
        <f>"007010"</f>
        <v>0</v>
      </c>
      <c r="G12035" t="s">
        <v>21</v>
      </c>
    </row>
    <row r="12036" spans="1:7">
      <c r="A12036">
        <v>12035</v>
      </c>
      <c r="B12036" t="str">
        <f>"023801"</f>
        <v>0</v>
      </c>
      <c r="C12036" t="s">
        <v>767</v>
      </c>
      <c r="D12036" t="s">
        <v>3372</v>
      </c>
      <c r="E12036" t="str">
        <f>"3140400341224"</f>
        <v>0</v>
      </c>
      <c r="F12036" t="str">
        <f>"007010"</f>
        <v>0</v>
      </c>
      <c r="G12036" t="s">
        <v>21</v>
      </c>
    </row>
    <row r="12037" spans="1:7">
      <c r="A12037">
        <v>12036</v>
      </c>
      <c r="B12037" t="str">
        <f>"023789"</f>
        <v>0</v>
      </c>
      <c r="C12037" t="s">
        <v>17735</v>
      </c>
      <c r="D12037" t="s">
        <v>17736</v>
      </c>
      <c r="E12037" t="str">
        <f>"3929800011974"</f>
        <v>0</v>
      </c>
      <c r="F12037" t="str">
        <f>"007010"</f>
        <v>0</v>
      </c>
      <c r="G12037" t="s">
        <v>21</v>
      </c>
    </row>
    <row r="12038" spans="1:7">
      <c r="A12038">
        <v>12037</v>
      </c>
      <c r="B12038" t="str">
        <f>"025975"</f>
        <v>0</v>
      </c>
      <c r="C12038" t="s">
        <v>17737</v>
      </c>
      <c r="D12038" t="s">
        <v>17738</v>
      </c>
      <c r="E12038" t="str">
        <f>"1341000084669"</f>
        <v>0</v>
      </c>
      <c r="F12038" t="str">
        <f>"007010"</f>
        <v>0</v>
      </c>
      <c r="G12038" t="s">
        <v>21</v>
      </c>
    </row>
    <row r="12039" spans="1:7">
      <c r="A12039">
        <v>12038</v>
      </c>
      <c r="B12039" t="str">
        <f>"022725"</f>
        <v>0</v>
      </c>
      <c r="C12039" t="s">
        <v>17739</v>
      </c>
      <c r="D12039" t="s">
        <v>17740</v>
      </c>
      <c r="E12039" t="str">
        <f>"1409900107980"</f>
        <v>0</v>
      </c>
      <c r="F12039" t="str">
        <f>"007010"</f>
        <v>0</v>
      </c>
      <c r="G12039" t="s">
        <v>21</v>
      </c>
    </row>
    <row r="12040" spans="1:7">
      <c r="A12040">
        <v>12039</v>
      </c>
      <c r="B12040" t="str">
        <f>"014006"</f>
        <v>0</v>
      </c>
      <c r="C12040" t="s">
        <v>881</v>
      </c>
      <c r="D12040" t="s">
        <v>15751</v>
      </c>
      <c r="E12040" t="str">
        <f>"3430900010348"</f>
        <v>0</v>
      </c>
      <c r="F12040" t="str">
        <f>"007010"</f>
        <v>0</v>
      </c>
      <c r="G12040" t="s">
        <v>21</v>
      </c>
    </row>
    <row r="12041" spans="1:7">
      <c r="A12041">
        <v>12040</v>
      </c>
      <c r="B12041" t="str">
        <f>"024722"</f>
        <v>0</v>
      </c>
      <c r="C12041" t="s">
        <v>17741</v>
      </c>
      <c r="D12041" t="s">
        <v>17742</v>
      </c>
      <c r="E12041" t="str">
        <f>"1730400053367"</f>
        <v>0</v>
      </c>
      <c r="F12041" t="str">
        <f>"007010"</f>
        <v>0</v>
      </c>
      <c r="G12041" t="s">
        <v>21</v>
      </c>
    </row>
    <row r="12042" spans="1:7">
      <c r="A12042">
        <v>12041</v>
      </c>
      <c r="B12042" t="str">
        <f>"023662"</f>
        <v>0</v>
      </c>
      <c r="C12042" t="s">
        <v>442</v>
      </c>
      <c r="D12042" t="s">
        <v>6356</v>
      </c>
      <c r="E12042" t="str">
        <f>"1721000031421"</f>
        <v>0</v>
      </c>
      <c r="F12042" t="str">
        <f>"007010"</f>
        <v>0</v>
      </c>
      <c r="G12042" t="s">
        <v>21</v>
      </c>
    </row>
    <row r="12043" spans="1:7">
      <c r="A12043">
        <v>12042</v>
      </c>
      <c r="B12043" t="str">
        <f>"023923"</f>
        <v>0</v>
      </c>
      <c r="C12043" t="s">
        <v>4957</v>
      </c>
      <c r="D12043" t="s">
        <v>17743</v>
      </c>
      <c r="E12043" t="str">
        <f>"3170500046631"</f>
        <v>0</v>
      </c>
      <c r="F12043" t="str">
        <f>"007010"</f>
        <v>0</v>
      </c>
      <c r="G12043" t="s">
        <v>21</v>
      </c>
    </row>
    <row r="12044" spans="1:7">
      <c r="A12044">
        <v>12043</v>
      </c>
      <c r="B12044" t="str">
        <f>"022431"</f>
        <v>0</v>
      </c>
      <c r="C12044" t="s">
        <v>17744</v>
      </c>
      <c r="D12044" t="s">
        <v>17745</v>
      </c>
      <c r="E12044" t="str">
        <f>"1309900182486"</f>
        <v>0</v>
      </c>
      <c r="F12044" t="str">
        <f>"007010"</f>
        <v>0</v>
      </c>
      <c r="G12044" t="s">
        <v>21</v>
      </c>
    </row>
    <row r="12045" spans="1:7">
      <c r="A12045">
        <v>12044</v>
      </c>
      <c r="B12045" t="str">
        <f>"023579"</f>
        <v>0</v>
      </c>
      <c r="C12045" t="s">
        <v>17746</v>
      </c>
      <c r="D12045" t="s">
        <v>17747</v>
      </c>
      <c r="E12045" t="str">
        <f>"3500600043762"</f>
        <v>0</v>
      </c>
      <c r="F12045" t="str">
        <f>"007010"</f>
        <v>0</v>
      </c>
      <c r="G12045" t="s">
        <v>21</v>
      </c>
    </row>
    <row r="12046" spans="1:7">
      <c r="A12046">
        <v>12045</v>
      </c>
      <c r="B12046" t="str">
        <f>"021215"</f>
        <v>0</v>
      </c>
      <c r="C12046" t="s">
        <v>17748</v>
      </c>
      <c r="D12046" t="s">
        <v>17749</v>
      </c>
      <c r="E12046" t="str">
        <f>"3659900130811"</f>
        <v>0</v>
      </c>
      <c r="F12046" t="str">
        <f>"007010"</f>
        <v>0</v>
      </c>
      <c r="G12046" t="s">
        <v>21</v>
      </c>
    </row>
    <row r="12047" spans="1:7">
      <c r="A12047">
        <v>12046</v>
      </c>
      <c r="B12047" t="str">
        <f>"023885"</f>
        <v>0</v>
      </c>
      <c r="C12047" t="s">
        <v>17750</v>
      </c>
      <c r="D12047" t="s">
        <v>17751</v>
      </c>
      <c r="E12047" t="str">
        <f>"3940900141006"</f>
        <v>0</v>
      </c>
      <c r="F12047" t="str">
        <f>"007010"</f>
        <v>0</v>
      </c>
      <c r="G12047" t="s">
        <v>21</v>
      </c>
    </row>
    <row r="12048" spans="1:7">
      <c r="A12048">
        <v>12047</v>
      </c>
      <c r="B12048" t="str">
        <f>"020742"</f>
        <v>0</v>
      </c>
      <c r="C12048" t="s">
        <v>17752</v>
      </c>
      <c r="D12048" t="s">
        <v>6228</v>
      </c>
      <c r="E12048" t="str">
        <f>"3660100444783"</f>
        <v>0</v>
      </c>
      <c r="F12048" t="str">
        <f>"007010"</f>
        <v>0</v>
      </c>
      <c r="G12048" t="s">
        <v>21</v>
      </c>
    </row>
    <row r="12049" spans="1:7">
      <c r="A12049">
        <v>12048</v>
      </c>
      <c r="B12049" t="str">
        <f>"016536"</f>
        <v>0</v>
      </c>
      <c r="C12049" t="s">
        <v>1983</v>
      </c>
      <c r="D12049" t="s">
        <v>17753</v>
      </c>
      <c r="E12049" t="str">
        <f>"3669700034207"</f>
        <v>0</v>
      </c>
      <c r="F12049" t="str">
        <f>"007010"</f>
        <v>0</v>
      </c>
      <c r="G12049" t="s">
        <v>21</v>
      </c>
    </row>
    <row r="12050" spans="1:7">
      <c r="A12050">
        <v>12049</v>
      </c>
      <c r="B12050" t="str">
        <f>"010499"</f>
        <v>0</v>
      </c>
      <c r="C12050" t="s">
        <v>17754</v>
      </c>
      <c r="D12050" t="s">
        <v>17755</v>
      </c>
      <c r="E12050" t="str">
        <f>"3410500084689"</f>
        <v>0</v>
      </c>
      <c r="F12050" t="str">
        <f>"007010"</f>
        <v>0</v>
      </c>
      <c r="G12050" t="s">
        <v>21</v>
      </c>
    </row>
    <row r="12051" spans="1:7">
      <c r="A12051">
        <v>12050</v>
      </c>
      <c r="B12051" t="str">
        <f>"013943"</f>
        <v>0</v>
      </c>
      <c r="C12051" t="s">
        <v>9509</v>
      </c>
      <c r="D12051" t="s">
        <v>16638</v>
      </c>
      <c r="E12051" t="str">
        <f>"3650200362096"</f>
        <v>0</v>
      </c>
      <c r="F12051" t="str">
        <f>"007010"</f>
        <v>0</v>
      </c>
      <c r="G12051" t="s">
        <v>21</v>
      </c>
    </row>
    <row r="12052" spans="1:7">
      <c r="A12052">
        <v>12051</v>
      </c>
      <c r="B12052" t="str">
        <f>"014358"</f>
        <v>0</v>
      </c>
      <c r="C12052" t="s">
        <v>17756</v>
      </c>
      <c r="D12052" t="s">
        <v>17757</v>
      </c>
      <c r="E12052" t="str">
        <f>"3650801029081"</f>
        <v>0</v>
      </c>
      <c r="F12052" t="str">
        <f>"007010"</f>
        <v>0</v>
      </c>
      <c r="G12052" t="s">
        <v>21</v>
      </c>
    </row>
    <row r="12053" spans="1:7">
      <c r="A12053">
        <v>12052</v>
      </c>
      <c r="B12053" t="str">
        <f>"014408"</f>
        <v>0</v>
      </c>
      <c r="C12053" t="s">
        <v>130</v>
      </c>
      <c r="D12053" t="s">
        <v>17758</v>
      </c>
      <c r="E12053" t="str">
        <f>"3650801038641"</f>
        <v>0</v>
      </c>
      <c r="F12053" t="str">
        <f>"007010"</f>
        <v>0</v>
      </c>
      <c r="G12053" t="s">
        <v>21</v>
      </c>
    </row>
    <row r="12054" spans="1:7">
      <c r="A12054">
        <v>12053</v>
      </c>
      <c r="B12054" t="str">
        <f>"014554"</f>
        <v>0</v>
      </c>
      <c r="C12054" t="s">
        <v>17759</v>
      </c>
      <c r="D12054" t="s">
        <v>5703</v>
      </c>
      <c r="E12054" t="str">
        <f>"3660100439178"</f>
        <v>0</v>
      </c>
      <c r="F12054" t="str">
        <f>"007010"</f>
        <v>0</v>
      </c>
      <c r="G12054" t="s">
        <v>21</v>
      </c>
    </row>
    <row r="12055" spans="1:7">
      <c r="A12055">
        <v>12054</v>
      </c>
      <c r="B12055" t="str">
        <f>"014718"</f>
        <v>0</v>
      </c>
      <c r="C12055" t="s">
        <v>17760</v>
      </c>
      <c r="D12055" t="s">
        <v>17757</v>
      </c>
      <c r="E12055" t="str">
        <f>"3650800869485"</f>
        <v>0</v>
      </c>
      <c r="F12055" t="str">
        <f>"007010"</f>
        <v>0</v>
      </c>
      <c r="G12055" t="s">
        <v>21</v>
      </c>
    </row>
    <row r="12056" spans="1:7">
      <c r="A12056">
        <v>12055</v>
      </c>
      <c r="B12056" t="str">
        <f>"015035"</f>
        <v>0</v>
      </c>
      <c r="C12056" t="s">
        <v>3150</v>
      </c>
      <c r="D12056" t="s">
        <v>9357</v>
      </c>
      <c r="E12056" t="str">
        <f>"3650100363821"</f>
        <v>0</v>
      </c>
      <c r="F12056" t="str">
        <f>"007010"</f>
        <v>0</v>
      </c>
      <c r="G12056" t="s">
        <v>21</v>
      </c>
    </row>
    <row r="12057" spans="1:7">
      <c r="A12057">
        <v>12056</v>
      </c>
      <c r="B12057" t="str">
        <f>"015429"</f>
        <v>0</v>
      </c>
      <c r="C12057" t="s">
        <v>1021</v>
      </c>
      <c r="D12057" t="s">
        <v>16638</v>
      </c>
      <c r="E12057" t="str">
        <f>"3650801029464"</f>
        <v>0</v>
      </c>
      <c r="F12057" t="str">
        <f>"007010"</f>
        <v>0</v>
      </c>
      <c r="G12057" t="s">
        <v>21</v>
      </c>
    </row>
    <row r="12058" spans="1:7">
      <c r="A12058">
        <v>12057</v>
      </c>
      <c r="B12058" t="str">
        <f>"015430"</f>
        <v>0</v>
      </c>
      <c r="C12058" t="s">
        <v>17761</v>
      </c>
      <c r="D12058" t="s">
        <v>671</v>
      </c>
      <c r="E12058" t="str">
        <f>"3650800008935"</f>
        <v>0</v>
      </c>
      <c r="F12058" t="str">
        <f>"007010"</f>
        <v>0</v>
      </c>
      <c r="G12058" t="s">
        <v>21</v>
      </c>
    </row>
    <row r="12059" spans="1:7">
      <c r="A12059">
        <v>12058</v>
      </c>
      <c r="B12059" t="str">
        <f>"015888"</f>
        <v>0</v>
      </c>
      <c r="C12059" t="s">
        <v>15269</v>
      </c>
      <c r="D12059" t="s">
        <v>17762</v>
      </c>
      <c r="E12059" t="str">
        <f>"3650800816616"</f>
        <v>0</v>
      </c>
      <c r="F12059" t="str">
        <f>"007010"</f>
        <v>0</v>
      </c>
      <c r="G12059" t="s">
        <v>21</v>
      </c>
    </row>
    <row r="12060" spans="1:7">
      <c r="A12060">
        <v>12059</v>
      </c>
      <c r="B12060" t="str">
        <f>"016699"</f>
        <v>0</v>
      </c>
      <c r="C12060" t="s">
        <v>2022</v>
      </c>
      <c r="D12060" t="s">
        <v>5182</v>
      </c>
      <c r="E12060" t="str">
        <f>"3659900096575"</f>
        <v>0</v>
      </c>
      <c r="F12060" t="str">
        <f>"007010"</f>
        <v>0</v>
      </c>
      <c r="G12060" t="s">
        <v>21</v>
      </c>
    </row>
    <row r="12061" spans="1:7">
      <c r="A12061">
        <v>12060</v>
      </c>
      <c r="B12061" t="str">
        <f>"017524"</f>
        <v>0</v>
      </c>
      <c r="C12061" t="s">
        <v>17763</v>
      </c>
      <c r="D12061" t="s">
        <v>8033</v>
      </c>
      <c r="E12061" t="str">
        <f>"3650800849166"</f>
        <v>0</v>
      </c>
      <c r="F12061" t="str">
        <f>"007010"</f>
        <v>0</v>
      </c>
      <c r="G12061" t="s">
        <v>21</v>
      </c>
    </row>
    <row r="12062" spans="1:7">
      <c r="A12062">
        <v>12061</v>
      </c>
      <c r="B12062" t="str">
        <f>"018299"</f>
        <v>0</v>
      </c>
      <c r="C12062" t="s">
        <v>3797</v>
      </c>
      <c r="D12062" t="s">
        <v>17764</v>
      </c>
      <c r="E12062" t="str">
        <f>"3659900746359"</f>
        <v>0</v>
      </c>
      <c r="F12062" t="str">
        <f>"007010"</f>
        <v>0</v>
      </c>
      <c r="G12062" t="s">
        <v>21</v>
      </c>
    </row>
    <row r="12063" spans="1:7">
      <c r="A12063">
        <v>12062</v>
      </c>
      <c r="B12063" t="str">
        <f>"018503"</f>
        <v>0</v>
      </c>
      <c r="C12063" t="s">
        <v>17765</v>
      </c>
      <c r="D12063" t="s">
        <v>17766</v>
      </c>
      <c r="E12063" t="str">
        <f>"3329900135841"</f>
        <v>0</v>
      </c>
      <c r="F12063" t="str">
        <f>"007010"</f>
        <v>0</v>
      </c>
      <c r="G12063" t="s">
        <v>21</v>
      </c>
    </row>
    <row r="12064" spans="1:7">
      <c r="A12064">
        <v>12063</v>
      </c>
      <c r="B12064" t="str">
        <f>"018590"</f>
        <v>0</v>
      </c>
      <c r="C12064" t="s">
        <v>1599</v>
      </c>
      <c r="D12064" t="s">
        <v>17767</v>
      </c>
      <c r="E12064" t="str">
        <f>"3650801023792"</f>
        <v>0</v>
      </c>
      <c r="F12064" t="str">
        <f>"007010"</f>
        <v>0</v>
      </c>
      <c r="G12064" t="s">
        <v>21</v>
      </c>
    </row>
    <row r="12065" spans="1:7">
      <c r="A12065">
        <v>12064</v>
      </c>
      <c r="B12065" t="str">
        <f>"018848"</f>
        <v>0</v>
      </c>
      <c r="C12065" t="s">
        <v>17768</v>
      </c>
      <c r="D12065" t="s">
        <v>671</v>
      </c>
      <c r="E12065" t="str">
        <f>"3650800860763"</f>
        <v>0</v>
      </c>
      <c r="F12065" t="str">
        <f>"007010"</f>
        <v>0</v>
      </c>
      <c r="G12065" t="s">
        <v>21</v>
      </c>
    </row>
    <row r="12066" spans="1:7">
      <c r="A12066">
        <v>12065</v>
      </c>
      <c r="B12066" t="str">
        <f>"019025"</f>
        <v>0</v>
      </c>
      <c r="C12066" t="s">
        <v>326</v>
      </c>
      <c r="D12066" t="s">
        <v>17769</v>
      </c>
      <c r="E12066" t="str">
        <f>"3650100611451"</f>
        <v>0</v>
      </c>
      <c r="F12066" t="str">
        <f>"007010"</f>
        <v>0</v>
      </c>
      <c r="G12066" t="s">
        <v>21</v>
      </c>
    </row>
    <row r="12067" spans="1:7">
      <c r="A12067">
        <v>12066</v>
      </c>
      <c r="B12067" t="str">
        <f>"019061"</f>
        <v>0</v>
      </c>
      <c r="C12067" t="s">
        <v>5461</v>
      </c>
      <c r="D12067" t="s">
        <v>17770</v>
      </c>
      <c r="E12067" t="str">
        <f>"3140100364857"</f>
        <v>0</v>
      </c>
      <c r="F12067" t="str">
        <f>"007010"</f>
        <v>0</v>
      </c>
      <c r="G12067" t="s">
        <v>21</v>
      </c>
    </row>
    <row r="12068" spans="1:7">
      <c r="A12068">
        <v>12067</v>
      </c>
      <c r="B12068" t="str">
        <f>"022141"</f>
        <v>0</v>
      </c>
      <c r="C12068" t="s">
        <v>9144</v>
      </c>
      <c r="D12068" t="s">
        <v>17771</v>
      </c>
      <c r="E12068" t="str">
        <f>"3560300099304"</f>
        <v>0</v>
      </c>
      <c r="F12068" t="str">
        <f>"007010"</f>
        <v>0</v>
      </c>
      <c r="G12068" t="s">
        <v>21</v>
      </c>
    </row>
    <row r="12069" spans="1:7">
      <c r="A12069">
        <v>12068</v>
      </c>
      <c r="B12069" t="str">
        <f>"026846"</f>
        <v>0</v>
      </c>
      <c r="C12069" t="s">
        <v>17772</v>
      </c>
      <c r="D12069" t="s">
        <v>17773</v>
      </c>
      <c r="E12069" t="str">
        <f>"5410690031391"</f>
        <v>0</v>
      </c>
      <c r="F12069" t="str">
        <f>"007010"</f>
        <v>0</v>
      </c>
      <c r="G12069" t="s">
        <v>21</v>
      </c>
    </row>
    <row r="12070" spans="1:7">
      <c r="A12070">
        <v>12069</v>
      </c>
      <c r="B12070" t="str">
        <f>"024313"</f>
        <v>0</v>
      </c>
      <c r="C12070" t="s">
        <v>17774</v>
      </c>
      <c r="D12070" t="s">
        <v>17775</v>
      </c>
      <c r="E12070" t="str">
        <f>"1671000007513"</f>
        <v>0</v>
      </c>
      <c r="F12070" t="str">
        <f>"007010"</f>
        <v>0</v>
      </c>
      <c r="G12070" t="s">
        <v>21</v>
      </c>
    </row>
    <row r="12071" spans="1:7">
      <c r="A12071">
        <v>12070</v>
      </c>
      <c r="B12071" t="str">
        <f>"026453"</f>
        <v>0</v>
      </c>
      <c r="C12071" t="s">
        <v>6223</v>
      </c>
      <c r="D12071" t="s">
        <v>17776</v>
      </c>
      <c r="E12071" t="str">
        <f>"3960800068692"</f>
        <v>0</v>
      </c>
      <c r="F12071" t="str">
        <f>"007010"</f>
        <v>0</v>
      </c>
      <c r="G12071" t="s">
        <v>21</v>
      </c>
    </row>
    <row r="12072" spans="1:7">
      <c r="A12072">
        <v>12071</v>
      </c>
      <c r="B12072" t="str">
        <f>"025740"</f>
        <v>0</v>
      </c>
      <c r="C12072" t="s">
        <v>17777</v>
      </c>
      <c r="D12072" t="s">
        <v>17778</v>
      </c>
      <c r="E12072" t="str">
        <f>"1101400592591"</f>
        <v>0</v>
      </c>
      <c r="F12072" t="str">
        <f>"007010"</f>
        <v>0</v>
      </c>
      <c r="G12072" t="s">
        <v>21</v>
      </c>
    </row>
    <row r="12073" spans="1:7">
      <c r="A12073">
        <v>12072</v>
      </c>
      <c r="B12073" t="str">
        <f>"013069"</f>
        <v>0</v>
      </c>
      <c r="C12073" t="s">
        <v>17597</v>
      </c>
      <c r="D12073" t="s">
        <v>17779</v>
      </c>
      <c r="E12073" t="str">
        <f>"3300700248929"</f>
        <v>0</v>
      </c>
      <c r="F12073" t="str">
        <f>"007010"</f>
        <v>0</v>
      </c>
      <c r="G12073" t="s">
        <v>21</v>
      </c>
    </row>
    <row r="12074" spans="1:7">
      <c r="A12074">
        <v>12073</v>
      </c>
      <c r="B12074" t="str">
        <f>"013070"</f>
        <v>0</v>
      </c>
      <c r="C12074" t="s">
        <v>2551</v>
      </c>
      <c r="D12074" t="s">
        <v>17780</v>
      </c>
      <c r="E12074" t="str">
        <f>"3300100190130"</f>
        <v>0</v>
      </c>
      <c r="F12074" t="str">
        <f>"007010"</f>
        <v>0</v>
      </c>
      <c r="G12074" t="s">
        <v>21</v>
      </c>
    </row>
    <row r="12075" spans="1:7">
      <c r="A12075">
        <v>12074</v>
      </c>
      <c r="B12075" t="str">
        <f>"013599"</f>
        <v>0</v>
      </c>
      <c r="C12075" t="s">
        <v>8431</v>
      </c>
      <c r="D12075" t="s">
        <v>17781</v>
      </c>
      <c r="E12075" t="str">
        <f>"3700400403283"</f>
        <v>0</v>
      </c>
      <c r="F12075" t="str">
        <f>"007010"</f>
        <v>0</v>
      </c>
      <c r="G12075" t="s">
        <v>21</v>
      </c>
    </row>
    <row r="12076" spans="1:7">
      <c r="A12076">
        <v>12075</v>
      </c>
      <c r="B12076" t="str">
        <f>"013636"</f>
        <v>0</v>
      </c>
      <c r="C12076" t="s">
        <v>17782</v>
      </c>
      <c r="D12076" t="s">
        <v>831</v>
      </c>
      <c r="E12076" t="str">
        <f>"3302000202758"</f>
        <v>0</v>
      </c>
      <c r="F12076" t="str">
        <f>"007010"</f>
        <v>0</v>
      </c>
      <c r="G12076" t="s">
        <v>21</v>
      </c>
    </row>
    <row r="12077" spans="1:7">
      <c r="A12077">
        <v>12076</v>
      </c>
      <c r="B12077" t="str">
        <f>"014193"</f>
        <v>0</v>
      </c>
      <c r="C12077" t="s">
        <v>449</v>
      </c>
      <c r="D12077" t="s">
        <v>17783</v>
      </c>
      <c r="E12077" t="str">
        <f>"3720300076761"</f>
        <v>0</v>
      </c>
      <c r="F12077" t="str">
        <f>"007010"</f>
        <v>0</v>
      </c>
      <c r="G12077" t="s">
        <v>21</v>
      </c>
    </row>
    <row r="12078" spans="1:7">
      <c r="A12078">
        <v>12077</v>
      </c>
      <c r="B12078" t="str">
        <f>"014714"</f>
        <v>0</v>
      </c>
      <c r="C12078" t="s">
        <v>447</v>
      </c>
      <c r="D12078" t="s">
        <v>17784</v>
      </c>
      <c r="E12078" t="str">
        <f>"3300700385462"</f>
        <v>0</v>
      </c>
      <c r="F12078" t="str">
        <f>"007010"</f>
        <v>0</v>
      </c>
      <c r="G12078" t="s">
        <v>21</v>
      </c>
    </row>
    <row r="12079" spans="1:7">
      <c r="A12079">
        <v>12078</v>
      </c>
      <c r="B12079" t="str">
        <f>"017104"</f>
        <v>0</v>
      </c>
      <c r="C12079" t="s">
        <v>17785</v>
      </c>
      <c r="D12079" t="s">
        <v>17786</v>
      </c>
      <c r="E12079" t="str">
        <f>"3309900353945"</f>
        <v>0</v>
      </c>
      <c r="F12079" t="str">
        <f>"007010"</f>
        <v>0</v>
      </c>
      <c r="G12079" t="s">
        <v>21</v>
      </c>
    </row>
    <row r="12080" spans="1:7">
      <c r="A12080">
        <v>12079</v>
      </c>
      <c r="B12080" t="str">
        <f>"017468"</f>
        <v>0</v>
      </c>
      <c r="C12080" t="s">
        <v>5526</v>
      </c>
      <c r="D12080" t="s">
        <v>7175</v>
      </c>
      <c r="E12080" t="str">
        <f>"3650101196503"</f>
        <v>0</v>
      </c>
      <c r="F12080" t="str">
        <f>"007010"</f>
        <v>0</v>
      </c>
      <c r="G12080" t="s">
        <v>21</v>
      </c>
    </row>
    <row r="12081" spans="1:7">
      <c r="A12081">
        <v>12080</v>
      </c>
      <c r="B12081" t="str">
        <f>"018713"</f>
        <v>0</v>
      </c>
      <c r="C12081" t="s">
        <v>1699</v>
      </c>
      <c r="D12081" t="s">
        <v>17787</v>
      </c>
      <c r="E12081" t="str">
        <f>"3409900262353"</f>
        <v>0</v>
      </c>
      <c r="F12081" t="str">
        <f>"007010"</f>
        <v>0</v>
      </c>
      <c r="G12081" t="s">
        <v>21</v>
      </c>
    </row>
    <row r="12082" spans="1:7">
      <c r="A12082">
        <v>12081</v>
      </c>
      <c r="B12082" t="str">
        <f>"018808"</f>
        <v>0</v>
      </c>
      <c r="C12082" t="s">
        <v>2084</v>
      </c>
      <c r="D12082" t="s">
        <v>17788</v>
      </c>
      <c r="E12082" t="str">
        <f>"5301200086269"</f>
        <v>0</v>
      </c>
      <c r="F12082" t="str">
        <f>"007010"</f>
        <v>0</v>
      </c>
      <c r="G12082" t="s">
        <v>21</v>
      </c>
    </row>
    <row r="12083" spans="1:7">
      <c r="A12083">
        <v>12082</v>
      </c>
      <c r="B12083" t="str">
        <f>"019231"</f>
        <v>0</v>
      </c>
      <c r="C12083" t="s">
        <v>17789</v>
      </c>
      <c r="D12083" t="s">
        <v>17790</v>
      </c>
      <c r="E12083" t="str">
        <f>"3330400387443"</f>
        <v>0</v>
      </c>
      <c r="F12083" t="str">
        <f>"007010"</f>
        <v>0</v>
      </c>
      <c r="G12083" t="s">
        <v>21</v>
      </c>
    </row>
    <row r="12084" spans="1:7">
      <c r="A12084">
        <v>12083</v>
      </c>
      <c r="B12084" t="str">
        <f>"020364"</f>
        <v>0</v>
      </c>
      <c r="C12084" t="s">
        <v>4457</v>
      </c>
      <c r="D12084" t="s">
        <v>17791</v>
      </c>
      <c r="E12084" t="str">
        <f>"3300700575172"</f>
        <v>0</v>
      </c>
      <c r="F12084" t="str">
        <f>"007010"</f>
        <v>0</v>
      </c>
      <c r="G12084" t="s">
        <v>21</v>
      </c>
    </row>
    <row r="12085" spans="1:7">
      <c r="A12085">
        <v>12084</v>
      </c>
      <c r="B12085" t="str">
        <f>"023982"</f>
        <v>0</v>
      </c>
      <c r="C12085" t="s">
        <v>17792</v>
      </c>
      <c r="D12085" t="s">
        <v>17793</v>
      </c>
      <c r="E12085" t="str">
        <f>"3300300047985"</f>
        <v>0</v>
      </c>
      <c r="F12085" t="str">
        <f>"007010"</f>
        <v>0</v>
      </c>
      <c r="G12085" t="s">
        <v>21</v>
      </c>
    </row>
    <row r="12086" spans="1:7">
      <c r="A12086">
        <v>12085</v>
      </c>
      <c r="B12086" t="str">
        <f>"024257"</f>
        <v>0</v>
      </c>
      <c r="C12086" t="s">
        <v>17794</v>
      </c>
      <c r="D12086" t="s">
        <v>17791</v>
      </c>
      <c r="E12086" t="str">
        <f>"3309900792035"</f>
        <v>0</v>
      </c>
      <c r="F12086" t="str">
        <f>"007010"</f>
        <v>0</v>
      </c>
      <c r="G12086" t="s">
        <v>21</v>
      </c>
    </row>
    <row r="12087" spans="1:7">
      <c r="A12087">
        <v>12086</v>
      </c>
      <c r="B12087" t="str">
        <f>"025368"</f>
        <v>0</v>
      </c>
      <c r="C12087" t="s">
        <v>17795</v>
      </c>
      <c r="D12087" t="s">
        <v>17796</v>
      </c>
      <c r="E12087" t="str">
        <f>"3309800351720"</f>
        <v>0</v>
      </c>
      <c r="F12087" t="str">
        <f>"007010"</f>
        <v>0</v>
      </c>
      <c r="G12087" t="s">
        <v>21</v>
      </c>
    </row>
    <row r="12088" spans="1:7">
      <c r="A12088">
        <v>12087</v>
      </c>
      <c r="B12088" t="str">
        <f>"026012"</f>
        <v>0</v>
      </c>
      <c r="C12088" t="s">
        <v>17797</v>
      </c>
      <c r="D12088" t="s">
        <v>17798</v>
      </c>
      <c r="E12088" t="str">
        <f>"1309900070599"</f>
        <v>0</v>
      </c>
      <c r="F12088" t="str">
        <f>"007010"</f>
        <v>0</v>
      </c>
      <c r="G12088" t="s">
        <v>21</v>
      </c>
    </row>
    <row r="12089" spans="1:7">
      <c r="A12089">
        <v>12088</v>
      </c>
      <c r="B12089" t="str">
        <f>"024626"</f>
        <v>0</v>
      </c>
      <c r="C12089" t="s">
        <v>17799</v>
      </c>
      <c r="D12089" t="s">
        <v>17800</v>
      </c>
      <c r="E12089" t="str">
        <f>"3310700045581"</f>
        <v>0</v>
      </c>
      <c r="F12089" t="str">
        <f>"007010"</f>
        <v>0</v>
      </c>
      <c r="G12089" t="s">
        <v>21</v>
      </c>
    </row>
    <row r="12090" spans="1:7">
      <c r="A12090">
        <v>12089</v>
      </c>
      <c r="B12090" t="str">
        <f>"022639"</f>
        <v>0</v>
      </c>
      <c r="C12090" t="s">
        <v>10438</v>
      </c>
      <c r="D12090" t="s">
        <v>17801</v>
      </c>
      <c r="E12090" t="str">
        <f>"1509900092833"</f>
        <v>0</v>
      </c>
      <c r="F12090" t="str">
        <f>"007010"</f>
        <v>0</v>
      </c>
      <c r="G12090" t="s">
        <v>21</v>
      </c>
    </row>
    <row r="12091" spans="1:7">
      <c r="A12091">
        <v>12090</v>
      </c>
      <c r="B12091" t="str">
        <f>"009760"</f>
        <v>0</v>
      </c>
      <c r="C12091" t="s">
        <v>17802</v>
      </c>
      <c r="D12091" t="s">
        <v>17803</v>
      </c>
      <c r="E12091" t="str">
        <f>"3521200335392"</f>
        <v>0</v>
      </c>
      <c r="F12091" t="str">
        <f>"007010"</f>
        <v>0</v>
      </c>
      <c r="G12091" t="s">
        <v>21</v>
      </c>
    </row>
    <row r="12092" spans="1:7">
      <c r="A12092">
        <v>12091</v>
      </c>
      <c r="B12092" t="str">
        <f>"011304"</f>
        <v>0</v>
      </c>
      <c r="C12092" t="s">
        <v>7724</v>
      </c>
      <c r="D12092" t="s">
        <v>13028</v>
      </c>
      <c r="E12092" t="str">
        <f>"3521200057902"</f>
        <v>0</v>
      </c>
      <c r="F12092" t="str">
        <f>"007010"</f>
        <v>0</v>
      </c>
      <c r="G12092" t="s">
        <v>21</v>
      </c>
    </row>
    <row r="12093" spans="1:7">
      <c r="A12093">
        <v>12092</v>
      </c>
      <c r="B12093" t="str">
        <f>"013955"</f>
        <v>0</v>
      </c>
      <c r="C12093" t="s">
        <v>17804</v>
      </c>
      <c r="D12093" t="s">
        <v>17805</v>
      </c>
      <c r="E12093" t="str">
        <f>"3559900204549"</f>
        <v>0</v>
      </c>
      <c r="F12093" t="str">
        <f>"007010"</f>
        <v>0</v>
      </c>
      <c r="G12093" t="s">
        <v>21</v>
      </c>
    </row>
    <row r="12094" spans="1:7">
      <c r="A12094">
        <v>12093</v>
      </c>
      <c r="B12094" t="str">
        <f>"015059"</f>
        <v>0</v>
      </c>
      <c r="C12094" t="s">
        <v>9057</v>
      </c>
      <c r="D12094" t="s">
        <v>7138</v>
      </c>
      <c r="E12094" t="str">
        <f>"5520100047722"</f>
        <v>0</v>
      </c>
      <c r="F12094" t="str">
        <f>"007010"</f>
        <v>0</v>
      </c>
      <c r="G12094" t="s">
        <v>21</v>
      </c>
    </row>
    <row r="12095" spans="1:7">
      <c r="A12095">
        <v>12094</v>
      </c>
      <c r="B12095" t="str">
        <f>"015811"</f>
        <v>0</v>
      </c>
      <c r="C12095" t="s">
        <v>3354</v>
      </c>
      <c r="D12095" t="s">
        <v>13153</v>
      </c>
      <c r="E12095" t="str">
        <f>"3520100721711"</f>
        <v>0</v>
      </c>
      <c r="F12095" t="str">
        <f>"007010"</f>
        <v>0</v>
      </c>
      <c r="G12095" t="s">
        <v>21</v>
      </c>
    </row>
    <row r="12096" spans="1:7">
      <c r="A12096">
        <v>12095</v>
      </c>
      <c r="B12096" t="str">
        <f>"015812"</f>
        <v>0</v>
      </c>
      <c r="C12096" t="s">
        <v>17594</v>
      </c>
      <c r="D12096" t="s">
        <v>17806</v>
      </c>
      <c r="E12096" t="str">
        <f>"3521200332547"</f>
        <v>0</v>
      </c>
      <c r="F12096" t="str">
        <f>"007010"</f>
        <v>0</v>
      </c>
      <c r="G12096" t="s">
        <v>21</v>
      </c>
    </row>
    <row r="12097" spans="1:7">
      <c r="A12097">
        <v>12096</v>
      </c>
      <c r="B12097" t="str">
        <f>"019002"</f>
        <v>0</v>
      </c>
      <c r="C12097" t="s">
        <v>1849</v>
      </c>
      <c r="D12097" t="s">
        <v>17807</v>
      </c>
      <c r="E12097" t="str">
        <f>"3520100752420"</f>
        <v>0</v>
      </c>
      <c r="F12097" t="str">
        <f>"007010"</f>
        <v>0</v>
      </c>
      <c r="G12097" t="s">
        <v>21</v>
      </c>
    </row>
    <row r="12098" spans="1:7">
      <c r="A12098">
        <v>12097</v>
      </c>
      <c r="B12098" t="str">
        <f>"019003"</f>
        <v>0</v>
      </c>
      <c r="C12098" t="s">
        <v>576</v>
      </c>
      <c r="D12098" t="s">
        <v>17808</v>
      </c>
      <c r="E12098" t="str">
        <f>"3520100759785"</f>
        <v>0</v>
      </c>
      <c r="F12098" t="str">
        <f>"007010"</f>
        <v>0</v>
      </c>
      <c r="G12098" t="s">
        <v>21</v>
      </c>
    </row>
    <row r="12099" spans="1:7">
      <c r="A12099">
        <v>12098</v>
      </c>
      <c r="B12099" t="str">
        <f>"016537"</f>
        <v>0</v>
      </c>
      <c r="C12099" t="s">
        <v>445</v>
      </c>
      <c r="D12099" t="s">
        <v>17809</v>
      </c>
      <c r="E12099" t="str">
        <f>"3169900054109"</f>
        <v>0</v>
      </c>
      <c r="F12099" t="str">
        <f>"007010"</f>
        <v>0</v>
      </c>
      <c r="G12099" t="s">
        <v>21</v>
      </c>
    </row>
    <row r="12100" spans="1:7">
      <c r="A12100">
        <v>12099</v>
      </c>
      <c r="B12100" t="str">
        <f>"022818"</f>
        <v>0</v>
      </c>
      <c r="C12100" t="s">
        <v>7471</v>
      </c>
      <c r="D12100" t="s">
        <v>17810</v>
      </c>
      <c r="E12100" t="str">
        <f>"3170500033335"</f>
        <v>0</v>
      </c>
      <c r="F12100" t="str">
        <f>"007010"</f>
        <v>0</v>
      </c>
      <c r="G12100" t="s">
        <v>21</v>
      </c>
    </row>
    <row r="12101" spans="1:7">
      <c r="A12101">
        <v>12100</v>
      </c>
      <c r="B12101" t="str">
        <f>"024206"</f>
        <v>0</v>
      </c>
      <c r="C12101" t="s">
        <v>451</v>
      </c>
      <c r="D12101" t="s">
        <v>17811</v>
      </c>
      <c r="E12101" t="str">
        <f>"1170600074240"</f>
        <v>0</v>
      </c>
      <c r="F12101" t="str">
        <f>"007010"</f>
        <v>0</v>
      </c>
      <c r="G12101" t="s">
        <v>21</v>
      </c>
    </row>
    <row r="12102" spans="1:7">
      <c r="A12102">
        <v>12101</v>
      </c>
      <c r="B12102" t="str">
        <f>"011709"</f>
        <v>0</v>
      </c>
      <c r="C12102" t="s">
        <v>17812</v>
      </c>
      <c r="D12102" t="s">
        <v>12634</v>
      </c>
      <c r="E12102" t="str">
        <f>"3141400311148"</f>
        <v>0</v>
      </c>
      <c r="F12102" t="str">
        <f>"007010"</f>
        <v>0</v>
      </c>
      <c r="G12102" t="s">
        <v>21</v>
      </c>
    </row>
    <row r="12103" spans="1:7">
      <c r="A12103">
        <v>12102</v>
      </c>
      <c r="B12103" t="str">
        <f>"014072"</f>
        <v>0</v>
      </c>
      <c r="C12103" t="s">
        <v>4395</v>
      </c>
      <c r="D12103" t="s">
        <v>9561</v>
      </c>
      <c r="E12103" t="str">
        <f>"3180300210136"</f>
        <v>0</v>
      </c>
      <c r="F12103" t="str">
        <f>"007010"</f>
        <v>0</v>
      </c>
      <c r="G12103" t="s">
        <v>21</v>
      </c>
    </row>
    <row r="12104" spans="1:7">
      <c r="A12104">
        <v>12103</v>
      </c>
      <c r="B12104" t="str">
        <f>"016763"</f>
        <v>0</v>
      </c>
      <c r="C12104" t="s">
        <v>6526</v>
      </c>
      <c r="D12104" t="s">
        <v>17813</v>
      </c>
      <c r="E12104" t="str">
        <f>"3180200254921"</f>
        <v>0</v>
      </c>
      <c r="F12104" t="str">
        <f>"007010"</f>
        <v>0</v>
      </c>
      <c r="G12104" t="s">
        <v>21</v>
      </c>
    </row>
    <row r="12105" spans="1:7">
      <c r="A12105">
        <v>12104</v>
      </c>
      <c r="B12105" t="str">
        <f>"016765"</f>
        <v>0</v>
      </c>
      <c r="C12105" t="s">
        <v>17814</v>
      </c>
      <c r="D12105" t="s">
        <v>17815</v>
      </c>
      <c r="E12105" t="str">
        <f>"4180200001584"</f>
        <v>0</v>
      </c>
      <c r="F12105" t="str">
        <f>"007010"</f>
        <v>0</v>
      </c>
      <c r="G12105" t="s">
        <v>21</v>
      </c>
    </row>
    <row r="12106" spans="1:7">
      <c r="A12106">
        <v>12105</v>
      </c>
      <c r="B12106" t="str">
        <f>"018722"</f>
        <v>0</v>
      </c>
      <c r="C12106" t="s">
        <v>344</v>
      </c>
      <c r="D12106" t="s">
        <v>17816</v>
      </c>
      <c r="E12106" t="str">
        <f>"3180100290659"</f>
        <v>0</v>
      </c>
      <c r="F12106" t="str">
        <f>"007010"</f>
        <v>0</v>
      </c>
      <c r="G12106" t="s">
        <v>21</v>
      </c>
    </row>
    <row r="12107" spans="1:7">
      <c r="A12107">
        <v>12106</v>
      </c>
      <c r="B12107" t="str">
        <f>"020040"</f>
        <v>0</v>
      </c>
      <c r="C12107" t="s">
        <v>17817</v>
      </c>
      <c r="D12107" t="s">
        <v>6894</v>
      </c>
      <c r="E12107" t="str">
        <f>"3180200276861"</f>
        <v>0</v>
      </c>
      <c r="F12107" t="str">
        <f>"007010"</f>
        <v>0</v>
      </c>
      <c r="G12107" t="s">
        <v>21</v>
      </c>
    </row>
    <row r="12108" spans="1:7">
      <c r="A12108">
        <v>12107</v>
      </c>
      <c r="B12108" t="str">
        <f>"022634"</f>
        <v>0</v>
      </c>
      <c r="C12108" t="s">
        <v>17818</v>
      </c>
      <c r="D12108" t="s">
        <v>17819</v>
      </c>
      <c r="E12108" t="str">
        <f>"3180200316986"</f>
        <v>0</v>
      </c>
      <c r="F12108" t="str">
        <f>"007010"</f>
        <v>0</v>
      </c>
      <c r="G12108" t="s">
        <v>21</v>
      </c>
    </row>
    <row r="12109" spans="1:7">
      <c r="A12109">
        <v>12108</v>
      </c>
      <c r="B12109" t="str">
        <f>"023650"</f>
        <v>0</v>
      </c>
      <c r="C12109" t="s">
        <v>2655</v>
      </c>
      <c r="D12109" t="s">
        <v>17820</v>
      </c>
      <c r="E12109" t="str">
        <f>"3180100292384"</f>
        <v>0</v>
      </c>
      <c r="F12109" t="str">
        <f>"007010"</f>
        <v>0</v>
      </c>
      <c r="G12109" t="s">
        <v>21</v>
      </c>
    </row>
    <row r="12110" spans="1:7">
      <c r="A12110">
        <v>12109</v>
      </c>
      <c r="B12110" t="str">
        <f>"026615"</f>
        <v>0</v>
      </c>
      <c r="C12110" t="s">
        <v>17821</v>
      </c>
      <c r="D12110" t="s">
        <v>17822</v>
      </c>
      <c r="E12110" t="str">
        <f>"1929900295340"</f>
        <v>0</v>
      </c>
      <c r="F12110" t="str">
        <f>"007010"</f>
        <v>0</v>
      </c>
      <c r="G12110" t="s">
        <v>21</v>
      </c>
    </row>
    <row r="12111" spans="1:7">
      <c r="A12111">
        <v>12110</v>
      </c>
      <c r="B12111" t="str">
        <f>"014152"</f>
        <v>0</v>
      </c>
      <c r="C12111" t="s">
        <v>2216</v>
      </c>
      <c r="D12111" t="s">
        <v>17823</v>
      </c>
      <c r="E12111" t="str">
        <f>"3550900057289"</f>
        <v>0</v>
      </c>
      <c r="F12111" t="str">
        <f>"007010"</f>
        <v>0</v>
      </c>
      <c r="G12111" t="s">
        <v>21</v>
      </c>
    </row>
    <row r="12112" spans="1:7">
      <c r="A12112">
        <v>12111</v>
      </c>
      <c r="B12112" t="str">
        <f>"018741"</f>
        <v>0</v>
      </c>
      <c r="C12112" t="s">
        <v>17824</v>
      </c>
      <c r="D12112" t="s">
        <v>17825</v>
      </c>
      <c r="E12112" t="str">
        <f>"3601000009075"</f>
        <v>0</v>
      </c>
      <c r="F12112" t="str">
        <f>"007010"</f>
        <v>0</v>
      </c>
      <c r="G12112" t="s">
        <v>21</v>
      </c>
    </row>
    <row r="12113" spans="1:7">
      <c r="A12113">
        <v>12112</v>
      </c>
      <c r="B12113" t="str">
        <f>"015061"</f>
        <v>0</v>
      </c>
      <c r="C12113" t="s">
        <v>17826</v>
      </c>
      <c r="D12113" t="s">
        <v>17827</v>
      </c>
      <c r="E12113" t="str">
        <f>"3740200561403"</f>
        <v>0</v>
      </c>
      <c r="F12113" t="str">
        <f>"007010"</f>
        <v>0</v>
      </c>
      <c r="G12113" t="s">
        <v>21</v>
      </c>
    </row>
    <row r="12114" spans="1:7">
      <c r="A12114">
        <v>12113</v>
      </c>
      <c r="B12114" t="str">
        <f>"022495"</f>
        <v>0</v>
      </c>
      <c r="C12114" t="s">
        <v>2208</v>
      </c>
      <c r="D12114" t="s">
        <v>17828</v>
      </c>
      <c r="E12114" t="str">
        <f>"3660600375195"</f>
        <v>0</v>
      </c>
      <c r="F12114" t="str">
        <f>"007010"</f>
        <v>0</v>
      </c>
      <c r="G12114" t="s">
        <v>21</v>
      </c>
    </row>
    <row r="12115" spans="1:7">
      <c r="A12115">
        <v>12114</v>
      </c>
      <c r="B12115" t="str">
        <f>"011316"</f>
        <v>0</v>
      </c>
      <c r="C12115" t="s">
        <v>12247</v>
      </c>
      <c r="D12115" t="s">
        <v>17829</v>
      </c>
      <c r="E12115" t="str">
        <f>"5250500049181"</f>
        <v>0</v>
      </c>
      <c r="F12115" t="str">
        <f>"007010"</f>
        <v>0</v>
      </c>
      <c r="G12115" t="s">
        <v>21</v>
      </c>
    </row>
    <row r="12116" spans="1:7">
      <c r="A12116">
        <v>12115</v>
      </c>
      <c r="B12116" t="str">
        <f>"010701"</f>
        <v>0</v>
      </c>
      <c r="C12116" t="s">
        <v>17830</v>
      </c>
      <c r="D12116" t="s">
        <v>17393</v>
      </c>
      <c r="E12116" t="str">
        <f>"3160101400580"</f>
        <v>0</v>
      </c>
      <c r="F12116" t="str">
        <f>"007010"</f>
        <v>0</v>
      </c>
      <c r="G12116" t="s">
        <v>21</v>
      </c>
    </row>
    <row r="12117" spans="1:7">
      <c r="A12117">
        <v>12116</v>
      </c>
      <c r="B12117" t="str">
        <f>"012381"</f>
        <v>0</v>
      </c>
      <c r="C12117" t="s">
        <v>14851</v>
      </c>
      <c r="D12117" t="s">
        <v>4958</v>
      </c>
      <c r="E12117" t="str">
        <f>"3160500115072"</f>
        <v>0</v>
      </c>
      <c r="F12117" t="str">
        <f>"007010"</f>
        <v>0</v>
      </c>
      <c r="G12117" t="s">
        <v>21</v>
      </c>
    </row>
    <row r="12118" spans="1:7">
      <c r="A12118">
        <v>12117</v>
      </c>
      <c r="B12118" t="str">
        <f>"019108"</f>
        <v>0</v>
      </c>
      <c r="C12118" t="s">
        <v>1341</v>
      </c>
      <c r="D12118" t="s">
        <v>17517</v>
      </c>
      <c r="E12118" t="str">
        <f>"3160100616422"</f>
        <v>0</v>
      </c>
      <c r="F12118" t="str">
        <f>"007010"</f>
        <v>0</v>
      </c>
      <c r="G12118" t="s">
        <v>21</v>
      </c>
    </row>
    <row r="12119" spans="1:7">
      <c r="A12119">
        <v>12118</v>
      </c>
      <c r="B12119" t="str">
        <f>"024141"</f>
        <v>0</v>
      </c>
      <c r="C12119" t="s">
        <v>17831</v>
      </c>
      <c r="D12119" t="s">
        <v>12798</v>
      </c>
      <c r="E12119" t="str">
        <f>"1169800065510"</f>
        <v>0</v>
      </c>
      <c r="F12119" t="str">
        <f>"007010"</f>
        <v>0</v>
      </c>
      <c r="G12119" t="s">
        <v>21</v>
      </c>
    </row>
    <row r="12120" spans="1:7">
      <c r="A12120">
        <v>12119</v>
      </c>
      <c r="B12120" t="str">
        <f>"027013"</f>
        <v>0</v>
      </c>
      <c r="C12120" t="s">
        <v>10050</v>
      </c>
      <c r="D12120" t="s">
        <v>17832</v>
      </c>
      <c r="E12120" t="str">
        <f>"1219900109283"</f>
        <v>0</v>
      </c>
      <c r="F12120" t="str">
        <f>"007010"</f>
        <v>0</v>
      </c>
      <c r="G12120" t="s">
        <v>21</v>
      </c>
    </row>
    <row r="12121" spans="1:7">
      <c r="A12121">
        <v>12120</v>
      </c>
      <c r="B12121" t="str">
        <f>"027014"</f>
        <v>0</v>
      </c>
      <c r="C12121" t="s">
        <v>6203</v>
      </c>
      <c r="D12121" t="s">
        <v>17833</v>
      </c>
      <c r="E12121" t="str">
        <f>"1451400030786"</f>
        <v>0</v>
      </c>
      <c r="F12121" t="str">
        <f>"007010"</f>
        <v>0</v>
      </c>
      <c r="G12121" t="s">
        <v>21</v>
      </c>
    </row>
    <row r="12122" spans="1:7">
      <c r="A12122">
        <v>12121</v>
      </c>
      <c r="B12122" t="str">
        <f>"015060"</f>
        <v>0</v>
      </c>
      <c r="C12122" t="s">
        <v>104</v>
      </c>
      <c r="D12122" t="s">
        <v>17532</v>
      </c>
      <c r="E12122" t="str">
        <f>"3190900071358"</f>
        <v>0</v>
      </c>
      <c r="F12122" t="str">
        <f>"007010"</f>
        <v>0</v>
      </c>
      <c r="G12122" t="s">
        <v>21</v>
      </c>
    </row>
    <row r="12123" spans="1:7">
      <c r="A12123">
        <v>12122</v>
      </c>
      <c r="B12123" t="str">
        <f>"017484"</f>
        <v>0</v>
      </c>
      <c r="C12123" t="s">
        <v>17834</v>
      </c>
      <c r="D12123" t="s">
        <v>17835</v>
      </c>
      <c r="E12123" t="str">
        <f>"3190900154911"</f>
        <v>0</v>
      </c>
      <c r="F12123" t="str">
        <f>"007010"</f>
        <v>0</v>
      </c>
      <c r="G12123" t="s">
        <v>21</v>
      </c>
    </row>
    <row r="12124" spans="1:7">
      <c r="A12124">
        <v>12123</v>
      </c>
      <c r="B12124" t="str">
        <f>"021892"</f>
        <v>0</v>
      </c>
      <c r="C12124" t="s">
        <v>1903</v>
      </c>
      <c r="D12124" t="s">
        <v>17836</v>
      </c>
      <c r="E12124" t="str">
        <f>"3190900261386"</f>
        <v>0</v>
      </c>
      <c r="F12124" t="str">
        <f>"007010"</f>
        <v>0</v>
      </c>
      <c r="G12124" t="s">
        <v>21</v>
      </c>
    </row>
    <row r="12125" spans="1:7">
      <c r="A12125">
        <v>12124</v>
      </c>
      <c r="B12125" t="str">
        <f>"017120"</f>
        <v>0</v>
      </c>
      <c r="C12125" t="s">
        <v>4757</v>
      </c>
      <c r="D12125" t="s">
        <v>17837</v>
      </c>
      <c r="E12125" t="str">
        <f>"5600100006405"</f>
        <v>0</v>
      </c>
      <c r="F12125" t="str">
        <f>"007010"</f>
        <v>0</v>
      </c>
      <c r="G12125" t="s">
        <v>21</v>
      </c>
    </row>
    <row r="12126" spans="1:7">
      <c r="A12126">
        <v>12125</v>
      </c>
      <c r="B12126" t="str">
        <f>"024527"</f>
        <v>0</v>
      </c>
      <c r="C12126" t="s">
        <v>5749</v>
      </c>
      <c r="D12126" t="s">
        <v>17838</v>
      </c>
      <c r="E12126" t="str">
        <f>"1102001319468"</f>
        <v>0</v>
      </c>
      <c r="F12126" t="str">
        <f>"007010"</f>
        <v>0</v>
      </c>
      <c r="G12126" t="s">
        <v>21</v>
      </c>
    </row>
    <row r="12127" spans="1:7">
      <c r="A12127">
        <v>12126</v>
      </c>
      <c r="B12127" t="str">
        <f>"025095"</f>
        <v>0</v>
      </c>
      <c r="C12127" t="s">
        <v>9132</v>
      </c>
      <c r="D12127" t="s">
        <v>17839</v>
      </c>
      <c r="E12127" t="str">
        <f>"1720600016911"</f>
        <v>0</v>
      </c>
      <c r="F12127" t="str">
        <f>"007010"</f>
        <v>0</v>
      </c>
      <c r="G12127" t="s">
        <v>21</v>
      </c>
    </row>
    <row r="12128" spans="1:7">
      <c r="A12128">
        <v>12127</v>
      </c>
      <c r="B12128" t="str">
        <f>"027270"</f>
        <v>0</v>
      </c>
      <c r="C12128" t="s">
        <v>488</v>
      </c>
      <c r="D12128" t="s">
        <v>17840</v>
      </c>
      <c r="E12128" t="str">
        <f>"1471000012870"</f>
        <v>0</v>
      </c>
      <c r="F12128" t="str">
        <f>"007010"</f>
        <v>0</v>
      </c>
      <c r="G12128" t="s">
        <v>21</v>
      </c>
    </row>
    <row r="12129" spans="1:7">
      <c r="A12129">
        <v>12128</v>
      </c>
      <c r="B12129" t="str">
        <f>"012105"</f>
        <v>0</v>
      </c>
      <c r="C12129" t="s">
        <v>17841</v>
      </c>
      <c r="D12129" t="s">
        <v>17842</v>
      </c>
      <c r="E12129" t="str">
        <f>"3809900224415"</f>
        <v>0</v>
      </c>
      <c r="F12129" t="str">
        <f>"007010"</f>
        <v>0</v>
      </c>
      <c r="G12129" t="s">
        <v>21</v>
      </c>
    </row>
    <row r="12130" spans="1:7">
      <c r="A12130">
        <v>12129</v>
      </c>
      <c r="B12130" t="str">
        <f>"018769"</f>
        <v>0</v>
      </c>
      <c r="C12130" t="s">
        <v>16905</v>
      </c>
      <c r="D12130" t="s">
        <v>4090</v>
      </c>
      <c r="E12130" t="str">
        <f>"5809990013598"</f>
        <v>0</v>
      </c>
      <c r="F12130" t="str">
        <f>"007010"</f>
        <v>0</v>
      </c>
      <c r="G12130" t="s">
        <v>21</v>
      </c>
    </row>
    <row r="12131" spans="1:7">
      <c r="A12131">
        <v>12130</v>
      </c>
      <c r="B12131" t="str">
        <f>"014915"</f>
        <v>0</v>
      </c>
      <c r="C12131" t="s">
        <v>17843</v>
      </c>
      <c r="D12131" t="s">
        <v>16638</v>
      </c>
      <c r="E12131" t="str">
        <f>"3900900514961"</f>
        <v>0</v>
      </c>
      <c r="F12131" t="str">
        <f>"007010"</f>
        <v>0</v>
      </c>
      <c r="G12131" t="s">
        <v>21</v>
      </c>
    </row>
    <row r="12132" spans="1:7">
      <c r="A12132">
        <v>12131</v>
      </c>
      <c r="B12132" t="str">
        <f>"020194"</f>
        <v>0</v>
      </c>
      <c r="C12132" t="s">
        <v>3073</v>
      </c>
      <c r="D12132" t="s">
        <v>17844</v>
      </c>
      <c r="E12132" t="str">
        <f>"3909801119027"</f>
        <v>0</v>
      </c>
      <c r="F12132" t="str">
        <f>"007010"</f>
        <v>0</v>
      </c>
      <c r="G12132" t="s">
        <v>21</v>
      </c>
    </row>
    <row r="12133" spans="1:7">
      <c r="A12133">
        <v>12132</v>
      </c>
      <c r="B12133" t="str">
        <f>"011231"</f>
        <v>0</v>
      </c>
      <c r="C12133" t="s">
        <v>4566</v>
      </c>
      <c r="D12133" t="s">
        <v>17845</v>
      </c>
      <c r="E12133" t="str">
        <f>"3900700205566"</f>
        <v>0</v>
      </c>
      <c r="F12133" t="str">
        <f>"007010"</f>
        <v>0</v>
      </c>
      <c r="G12133" t="s">
        <v>21</v>
      </c>
    </row>
    <row r="12134" spans="1:7">
      <c r="A12134">
        <v>12133</v>
      </c>
      <c r="B12134" t="str">
        <f>"012106"</f>
        <v>0</v>
      </c>
      <c r="C12134" t="s">
        <v>1162</v>
      </c>
      <c r="D12134" t="s">
        <v>4117</v>
      </c>
      <c r="E12134" t="str">
        <f>"5930100040228"</f>
        <v>0</v>
      </c>
      <c r="F12134" t="str">
        <f>"007010"</f>
        <v>0</v>
      </c>
      <c r="G12134" t="s">
        <v>21</v>
      </c>
    </row>
    <row r="12135" spans="1:7">
      <c r="A12135">
        <v>12134</v>
      </c>
      <c r="B12135" t="str">
        <f>"012633"</f>
        <v>0</v>
      </c>
      <c r="C12135" t="s">
        <v>17846</v>
      </c>
      <c r="D12135" t="s">
        <v>17847</v>
      </c>
      <c r="E12135" t="str">
        <f>"3930100271134"</f>
        <v>0</v>
      </c>
      <c r="F12135" t="str">
        <f>"007010"</f>
        <v>0</v>
      </c>
      <c r="G12135" t="s">
        <v>21</v>
      </c>
    </row>
    <row r="12136" spans="1:7">
      <c r="A12136">
        <v>12135</v>
      </c>
      <c r="B12136" t="str">
        <f>"012935"</f>
        <v>0</v>
      </c>
      <c r="C12136" t="s">
        <v>7274</v>
      </c>
      <c r="D12136" t="s">
        <v>6178</v>
      </c>
      <c r="E12136" t="str">
        <f>"3930300075991"</f>
        <v>0</v>
      </c>
      <c r="F12136" t="str">
        <f>"007010"</f>
        <v>0</v>
      </c>
      <c r="G12136" t="s">
        <v>21</v>
      </c>
    </row>
    <row r="12137" spans="1:7">
      <c r="A12137">
        <v>12136</v>
      </c>
      <c r="B12137" t="str">
        <f>"013634"</f>
        <v>0</v>
      </c>
      <c r="C12137" t="s">
        <v>17848</v>
      </c>
      <c r="D12137" t="s">
        <v>17849</v>
      </c>
      <c r="E12137" t="str">
        <f>"3930100040574"</f>
        <v>0</v>
      </c>
      <c r="F12137" t="str">
        <f>"007010"</f>
        <v>0</v>
      </c>
      <c r="G12137" t="s">
        <v>21</v>
      </c>
    </row>
    <row r="12138" spans="1:7">
      <c r="A12138">
        <v>12137</v>
      </c>
      <c r="B12138" t="str">
        <f>"013844"</f>
        <v>0</v>
      </c>
      <c r="C12138" t="s">
        <v>11534</v>
      </c>
      <c r="D12138" t="s">
        <v>17850</v>
      </c>
      <c r="E12138" t="str">
        <f>"3939900124932"</f>
        <v>0</v>
      </c>
      <c r="F12138" t="str">
        <f>"007010"</f>
        <v>0</v>
      </c>
      <c r="G12138" t="s">
        <v>21</v>
      </c>
    </row>
    <row r="12139" spans="1:7">
      <c r="A12139">
        <v>12138</v>
      </c>
      <c r="B12139" t="str">
        <f>"014074"</f>
        <v>0</v>
      </c>
      <c r="C12139" t="s">
        <v>4967</v>
      </c>
      <c r="D12139" t="s">
        <v>17851</v>
      </c>
      <c r="E12139" t="str">
        <f>"3800600432898"</f>
        <v>0</v>
      </c>
      <c r="F12139" t="str">
        <f>"007010"</f>
        <v>0</v>
      </c>
      <c r="G12139" t="s">
        <v>21</v>
      </c>
    </row>
    <row r="12140" spans="1:7">
      <c r="A12140">
        <v>12139</v>
      </c>
      <c r="B12140" t="str">
        <f>"014768"</f>
        <v>0</v>
      </c>
      <c r="C12140" t="s">
        <v>4967</v>
      </c>
      <c r="D12140" t="s">
        <v>17852</v>
      </c>
      <c r="E12140" t="str">
        <f>"3190900090361"</f>
        <v>0</v>
      </c>
      <c r="F12140" t="str">
        <f>"007010"</f>
        <v>0</v>
      </c>
      <c r="G12140" t="s">
        <v>21</v>
      </c>
    </row>
    <row r="12141" spans="1:7">
      <c r="A12141">
        <v>12140</v>
      </c>
      <c r="B12141" t="str">
        <f>"016110"</f>
        <v>0</v>
      </c>
      <c r="C12141" t="s">
        <v>126</v>
      </c>
      <c r="D12141" t="s">
        <v>17853</v>
      </c>
      <c r="E12141" t="str">
        <f>"3930500435789"</f>
        <v>0</v>
      </c>
      <c r="F12141" t="str">
        <f>"007010"</f>
        <v>0</v>
      </c>
      <c r="G12141" t="s">
        <v>21</v>
      </c>
    </row>
    <row r="12142" spans="1:7">
      <c r="A12142">
        <v>12141</v>
      </c>
      <c r="B12142" t="str">
        <f>"016330"</f>
        <v>0</v>
      </c>
      <c r="C12142" t="s">
        <v>4088</v>
      </c>
      <c r="D12142" t="s">
        <v>17854</v>
      </c>
      <c r="E12142" t="str">
        <f>"3930300284388"</f>
        <v>0</v>
      </c>
      <c r="F12142" t="str">
        <f>"007010"</f>
        <v>0</v>
      </c>
      <c r="G12142" t="s">
        <v>21</v>
      </c>
    </row>
    <row r="12143" spans="1:7">
      <c r="A12143">
        <v>12142</v>
      </c>
      <c r="B12143" t="str">
        <f>"018023"</f>
        <v>0</v>
      </c>
      <c r="C12143" t="s">
        <v>814</v>
      </c>
      <c r="D12143" t="s">
        <v>17855</v>
      </c>
      <c r="E12143" t="str">
        <f>"5930400009741"</f>
        <v>0</v>
      </c>
      <c r="F12143" t="str">
        <f>"007010"</f>
        <v>0</v>
      </c>
      <c r="G12143" t="s">
        <v>21</v>
      </c>
    </row>
    <row r="12144" spans="1:7">
      <c r="A12144">
        <v>12143</v>
      </c>
      <c r="B12144" t="str">
        <f>"020195"</f>
        <v>0</v>
      </c>
      <c r="C12144" t="s">
        <v>17856</v>
      </c>
      <c r="D12144" t="s">
        <v>17857</v>
      </c>
      <c r="E12144" t="str">
        <f>"3930300279317"</f>
        <v>0</v>
      </c>
      <c r="F12144" t="str">
        <f>"007010"</f>
        <v>0</v>
      </c>
      <c r="G12144" t="s">
        <v>21</v>
      </c>
    </row>
    <row r="12145" spans="1:7">
      <c r="A12145">
        <v>12144</v>
      </c>
      <c r="B12145" t="str">
        <f>"020211"</f>
        <v>0</v>
      </c>
      <c r="C12145" t="s">
        <v>3411</v>
      </c>
      <c r="D12145" t="s">
        <v>17858</v>
      </c>
      <c r="E12145" t="str">
        <f>"3930100867011"</f>
        <v>0</v>
      </c>
      <c r="F12145" t="str">
        <f>"007010"</f>
        <v>0</v>
      </c>
      <c r="G12145" t="s">
        <v>21</v>
      </c>
    </row>
    <row r="12146" spans="1:7">
      <c r="A12146">
        <v>12145</v>
      </c>
      <c r="B12146" t="str">
        <f>"024270"</f>
        <v>0</v>
      </c>
      <c r="C12146" t="s">
        <v>13348</v>
      </c>
      <c r="D12146" t="s">
        <v>17859</v>
      </c>
      <c r="E12146" t="str">
        <f>"3930300630332"</f>
        <v>0</v>
      </c>
      <c r="F12146" t="str">
        <f>"007010"</f>
        <v>0</v>
      </c>
      <c r="G12146" t="s">
        <v>21</v>
      </c>
    </row>
    <row r="12147" spans="1:7">
      <c r="A12147">
        <v>12146</v>
      </c>
      <c r="B12147" t="str">
        <f>"022359"</f>
        <v>0</v>
      </c>
      <c r="C12147" t="s">
        <v>17860</v>
      </c>
      <c r="D12147" t="s">
        <v>17861</v>
      </c>
      <c r="E12147" t="str">
        <f>"3500700620222"</f>
        <v>0</v>
      </c>
      <c r="F12147" t="str">
        <f>"007010"</f>
        <v>0</v>
      </c>
      <c r="G12147" t="s">
        <v>21</v>
      </c>
    </row>
    <row r="12148" spans="1:7">
      <c r="A12148">
        <v>12147</v>
      </c>
      <c r="B12148" t="str">
        <f>"016235"</f>
        <v>0</v>
      </c>
      <c r="C12148" t="s">
        <v>235</v>
      </c>
      <c r="D12148" t="s">
        <v>17862</v>
      </c>
      <c r="E12148" t="str">
        <f>"3400101204346"</f>
        <v>0</v>
      </c>
      <c r="F12148" t="str">
        <f>"007010"</f>
        <v>0</v>
      </c>
      <c r="G12148" t="s">
        <v>21</v>
      </c>
    </row>
    <row r="12149" spans="1:7">
      <c r="A12149">
        <v>12148</v>
      </c>
      <c r="B12149" t="str">
        <f>"013256"</f>
        <v>0</v>
      </c>
      <c r="C12149" t="s">
        <v>1502</v>
      </c>
      <c r="D12149" t="s">
        <v>17863</v>
      </c>
      <c r="E12149" t="str">
        <f>"3501300205326"</f>
        <v>0</v>
      </c>
      <c r="F12149" t="str">
        <f>"007010"</f>
        <v>0</v>
      </c>
      <c r="G12149" t="s">
        <v>21</v>
      </c>
    </row>
    <row r="12150" spans="1:7">
      <c r="A12150">
        <v>12149</v>
      </c>
      <c r="B12150" t="str">
        <f>"014112"</f>
        <v>0</v>
      </c>
      <c r="C12150" t="s">
        <v>17864</v>
      </c>
      <c r="D12150" t="s">
        <v>17865</v>
      </c>
      <c r="E12150" t="str">
        <f>"3520101372612"</f>
        <v>0</v>
      </c>
      <c r="F12150" t="str">
        <f>"007010"</f>
        <v>0</v>
      </c>
      <c r="G12150" t="s">
        <v>21</v>
      </c>
    </row>
    <row r="12151" spans="1:7">
      <c r="A12151">
        <v>12150</v>
      </c>
      <c r="B12151" t="str">
        <f>"014560"</f>
        <v>0</v>
      </c>
      <c r="C12151" t="s">
        <v>6645</v>
      </c>
      <c r="D12151" t="s">
        <v>17584</v>
      </c>
      <c r="E12151" t="str">
        <f>"3500100147437"</f>
        <v>0</v>
      </c>
      <c r="F12151" t="str">
        <f>"007010"</f>
        <v>0</v>
      </c>
      <c r="G12151" t="s">
        <v>21</v>
      </c>
    </row>
    <row r="12152" spans="1:7">
      <c r="A12152">
        <v>12151</v>
      </c>
      <c r="B12152" t="str">
        <f>"015670"</f>
        <v>0</v>
      </c>
      <c r="C12152" t="s">
        <v>17866</v>
      </c>
      <c r="D12152" t="s">
        <v>17867</v>
      </c>
      <c r="E12152" t="str">
        <f>"3180100024258"</f>
        <v>0</v>
      </c>
      <c r="F12152" t="str">
        <f>"007010"</f>
        <v>0</v>
      </c>
      <c r="G12152" t="s">
        <v>21</v>
      </c>
    </row>
    <row r="12153" spans="1:7">
      <c r="A12153">
        <v>12152</v>
      </c>
      <c r="B12153" t="str">
        <f>"015675"</f>
        <v>0</v>
      </c>
      <c r="C12153" t="s">
        <v>458</v>
      </c>
      <c r="D12153" t="s">
        <v>17868</v>
      </c>
      <c r="E12153" t="str">
        <f>"3520300027958"</f>
        <v>0</v>
      </c>
      <c r="F12153" t="str">
        <f>"007010"</f>
        <v>0</v>
      </c>
      <c r="G12153" t="s">
        <v>21</v>
      </c>
    </row>
    <row r="12154" spans="1:7">
      <c r="A12154">
        <v>12153</v>
      </c>
      <c r="B12154" t="str">
        <f>"015679"</f>
        <v>0</v>
      </c>
      <c r="C12154" t="s">
        <v>13906</v>
      </c>
      <c r="D12154" t="s">
        <v>17869</v>
      </c>
      <c r="E12154" t="str">
        <f>"3501500011738"</f>
        <v>0</v>
      </c>
      <c r="F12154" t="str">
        <f>"007010"</f>
        <v>0</v>
      </c>
      <c r="G12154" t="s">
        <v>21</v>
      </c>
    </row>
    <row r="12155" spans="1:7">
      <c r="A12155">
        <v>12154</v>
      </c>
      <c r="B12155" t="str">
        <f>"016810"</f>
        <v>0</v>
      </c>
      <c r="C12155" t="s">
        <v>6526</v>
      </c>
      <c r="D12155" t="s">
        <v>8734</v>
      </c>
      <c r="E12155" t="str">
        <f>"3501600267459"</f>
        <v>0</v>
      </c>
      <c r="F12155" t="str">
        <f>"007010"</f>
        <v>0</v>
      </c>
      <c r="G12155" t="s">
        <v>21</v>
      </c>
    </row>
    <row r="12156" spans="1:7">
      <c r="A12156">
        <v>12155</v>
      </c>
      <c r="B12156" t="str">
        <f>"016811"</f>
        <v>0</v>
      </c>
      <c r="C12156" t="s">
        <v>17870</v>
      </c>
      <c r="D12156" t="s">
        <v>17582</v>
      </c>
      <c r="E12156" t="str">
        <f>"3501500468282"</f>
        <v>0</v>
      </c>
      <c r="F12156" t="str">
        <f>"007010"</f>
        <v>0</v>
      </c>
      <c r="G12156" t="s">
        <v>21</v>
      </c>
    </row>
    <row r="12157" spans="1:7">
      <c r="A12157">
        <v>12156</v>
      </c>
      <c r="B12157" t="str">
        <f>"017202"</f>
        <v>0</v>
      </c>
      <c r="C12157" t="s">
        <v>4866</v>
      </c>
      <c r="D12157" t="s">
        <v>3741</v>
      </c>
      <c r="E12157" t="str">
        <f>"3501200856830"</f>
        <v>0</v>
      </c>
      <c r="F12157" t="str">
        <f>"007010"</f>
        <v>0</v>
      </c>
      <c r="G12157" t="s">
        <v>21</v>
      </c>
    </row>
    <row r="12158" spans="1:7">
      <c r="A12158">
        <v>12157</v>
      </c>
      <c r="B12158" t="str">
        <f>"017253"</f>
        <v>0</v>
      </c>
      <c r="C12158" t="s">
        <v>17871</v>
      </c>
      <c r="D12158" t="s">
        <v>12800</v>
      </c>
      <c r="E12158" t="str">
        <f>"3829800049336"</f>
        <v>0</v>
      </c>
      <c r="F12158" t="str">
        <f>"007010"</f>
        <v>0</v>
      </c>
      <c r="G12158" t="s">
        <v>21</v>
      </c>
    </row>
    <row r="12159" spans="1:7">
      <c r="A12159">
        <v>12158</v>
      </c>
      <c r="B12159" t="str">
        <f>"017308"</f>
        <v>0</v>
      </c>
      <c r="C12159" t="s">
        <v>6327</v>
      </c>
      <c r="D12159" t="s">
        <v>17872</v>
      </c>
      <c r="E12159" t="str">
        <f>"3520300093306"</f>
        <v>0</v>
      </c>
      <c r="F12159" t="str">
        <f>"007010"</f>
        <v>0</v>
      </c>
      <c r="G12159" t="s">
        <v>21</v>
      </c>
    </row>
    <row r="12160" spans="1:7">
      <c r="A12160">
        <v>12159</v>
      </c>
      <c r="B12160" t="str">
        <f>"017588"</f>
        <v>0</v>
      </c>
      <c r="C12160" t="s">
        <v>15070</v>
      </c>
      <c r="D12160" t="s">
        <v>5163</v>
      </c>
      <c r="E12160" t="str">
        <f>"3501500251241"</f>
        <v>0</v>
      </c>
      <c r="F12160" t="str">
        <f>"007010"</f>
        <v>0</v>
      </c>
      <c r="G12160" t="s">
        <v>21</v>
      </c>
    </row>
    <row r="12161" spans="1:7">
      <c r="A12161">
        <v>12160</v>
      </c>
      <c r="B12161" t="str">
        <f>"018353"</f>
        <v>0</v>
      </c>
      <c r="C12161" t="s">
        <v>847</v>
      </c>
      <c r="D12161" t="s">
        <v>17873</v>
      </c>
      <c r="E12161" t="str">
        <f>"3500100188745"</f>
        <v>0</v>
      </c>
      <c r="F12161" t="str">
        <f>"007010"</f>
        <v>0</v>
      </c>
      <c r="G12161" t="s">
        <v>21</v>
      </c>
    </row>
    <row r="12162" spans="1:7">
      <c r="A12162">
        <v>12161</v>
      </c>
      <c r="B12162" t="str">
        <f>"018771"</f>
        <v>0</v>
      </c>
      <c r="C12162" t="s">
        <v>326</v>
      </c>
      <c r="D12162" t="s">
        <v>15246</v>
      </c>
      <c r="E12162" t="str">
        <f>"3501500470015"</f>
        <v>0</v>
      </c>
      <c r="F12162" t="str">
        <f>"007010"</f>
        <v>0</v>
      </c>
      <c r="G12162" t="s">
        <v>21</v>
      </c>
    </row>
    <row r="12163" spans="1:7">
      <c r="A12163">
        <v>12162</v>
      </c>
      <c r="B12163" t="str">
        <f>"018911"</f>
        <v>0</v>
      </c>
      <c r="C12163" t="s">
        <v>3821</v>
      </c>
      <c r="D12163" t="s">
        <v>17579</v>
      </c>
      <c r="E12163" t="str">
        <f>"3501500024830"</f>
        <v>0</v>
      </c>
      <c r="F12163" t="str">
        <f>"007010"</f>
        <v>0</v>
      </c>
      <c r="G12163" t="s">
        <v>21</v>
      </c>
    </row>
    <row r="12164" spans="1:7">
      <c r="A12164">
        <v>12163</v>
      </c>
      <c r="B12164" t="str">
        <f>"018912"</f>
        <v>0</v>
      </c>
      <c r="C12164" t="s">
        <v>1263</v>
      </c>
      <c r="D12164" t="s">
        <v>17874</v>
      </c>
      <c r="E12164" t="str">
        <f>"3501500473162"</f>
        <v>0</v>
      </c>
      <c r="F12164" t="str">
        <f>"007010"</f>
        <v>0</v>
      </c>
      <c r="G12164" t="s">
        <v>21</v>
      </c>
    </row>
    <row r="12165" spans="1:7">
      <c r="A12165">
        <v>12164</v>
      </c>
      <c r="B12165" t="str">
        <f>"019088"</f>
        <v>0</v>
      </c>
      <c r="C12165" t="s">
        <v>17875</v>
      </c>
      <c r="D12165" t="s">
        <v>17876</v>
      </c>
      <c r="E12165" t="str">
        <f>"3501500107468"</f>
        <v>0</v>
      </c>
      <c r="F12165" t="str">
        <f>"007010"</f>
        <v>0</v>
      </c>
      <c r="G12165" t="s">
        <v>21</v>
      </c>
    </row>
    <row r="12166" spans="1:7">
      <c r="A12166">
        <v>12165</v>
      </c>
      <c r="B12166" t="str">
        <f>"019610"</f>
        <v>0</v>
      </c>
      <c r="C12166" t="s">
        <v>17877</v>
      </c>
      <c r="D12166" t="s">
        <v>3526</v>
      </c>
      <c r="E12166" t="str">
        <f>"3501400269890"</f>
        <v>0</v>
      </c>
      <c r="F12166" t="str">
        <f>"007010"</f>
        <v>0</v>
      </c>
      <c r="G12166" t="s">
        <v>21</v>
      </c>
    </row>
    <row r="12167" spans="1:7">
      <c r="A12167">
        <v>12166</v>
      </c>
      <c r="B12167" t="str">
        <f>"019740"</f>
        <v>0</v>
      </c>
      <c r="C12167" t="s">
        <v>17878</v>
      </c>
      <c r="D12167" t="s">
        <v>17879</v>
      </c>
      <c r="E12167" t="str">
        <f>"3500700496696"</f>
        <v>0</v>
      </c>
      <c r="F12167" t="str">
        <f>"007010"</f>
        <v>0</v>
      </c>
      <c r="G12167" t="s">
        <v>21</v>
      </c>
    </row>
    <row r="12168" spans="1:7">
      <c r="A12168">
        <v>12167</v>
      </c>
      <c r="B12168" t="str">
        <f>"023924"</f>
        <v>0</v>
      </c>
      <c r="C12168" t="s">
        <v>307</v>
      </c>
      <c r="D12168" t="s">
        <v>17880</v>
      </c>
      <c r="E12168" t="str">
        <f>"3559900206649"</f>
        <v>0</v>
      </c>
      <c r="F12168" t="str">
        <f>"007010"</f>
        <v>0</v>
      </c>
      <c r="G12168" t="s">
        <v>21</v>
      </c>
    </row>
    <row r="12169" spans="1:7">
      <c r="A12169">
        <v>12168</v>
      </c>
      <c r="B12169" t="str">
        <f>"021638"</f>
        <v>0</v>
      </c>
      <c r="C12169" t="s">
        <v>17881</v>
      </c>
      <c r="D12169" t="s">
        <v>17882</v>
      </c>
      <c r="E12169" t="str">
        <f>"3510600302822"</f>
        <v>0</v>
      </c>
      <c r="F12169" t="str">
        <f>"007010"</f>
        <v>0</v>
      </c>
      <c r="G12169" t="s">
        <v>21</v>
      </c>
    </row>
    <row r="12170" spans="1:7">
      <c r="A12170">
        <v>12169</v>
      </c>
      <c r="B12170" t="str">
        <f>"022879"</f>
        <v>0</v>
      </c>
      <c r="C12170" t="s">
        <v>17883</v>
      </c>
      <c r="D12170" t="s">
        <v>17884</v>
      </c>
      <c r="E12170" t="str">
        <f>"3540200457683"</f>
        <v>0</v>
      </c>
      <c r="F12170" t="str">
        <f>"007010"</f>
        <v>0</v>
      </c>
      <c r="G12170" t="s">
        <v>21</v>
      </c>
    </row>
    <row r="12171" spans="1:7">
      <c r="A12171">
        <v>12170</v>
      </c>
      <c r="B12171" t="str">
        <f>"014111"</f>
        <v>0</v>
      </c>
      <c r="C12171" t="s">
        <v>1162</v>
      </c>
      <c r="D12171" t="s">
        <v>17885</v>
      </c>
      <c r="E12171" t="str">
        <f>"3560100581005"</f>
        <v>0</v>
      </c>
      <c r="F12171" t="str">
        <f>"007010"</f>
        <v>0</v>
      </c>
      <c r="G12171" t="s">
        <v>21</v>
      </c>
    </row>
    <row r="12172" spans="1:7">
      <c r="A12172">
        <v>12171</v>
      </c>
      <c r="B12172" t="str">
        <f>"014564"</f>
        <v>0</v>
      </c>
      <c r="C12172" t="s">
        <v>17886</v>
      </c>
      <c r="D12172" t="s">
        <v>17461</v>
      </c>
      <c r="E12172" t="str">
        <f>"3540600227596"</f>
        <v>0</v>
      </c>
      <c r="F12172" t="str">
        <f>"007010"</f>
        <v>0</v>
      </c>
      <c r="G12172" t="s">
        <v>21</v>
      </c>
    </row>
    <row r="12173" spans="1:7">
      <c r="A12173">
        <v>12172</v>
      </c>
      <c r="B12173" t="str">
        <f>"014565"</f>
        <v>0</v>
      </c>
      <c r="C12173" t="s">
        <v>5633</v>
      </c>
      <c r="D12173" t="s">
        <v>5342</v>
      </c>
      <c r="E12173" t="str">
        <f>"3569900017650"</f>
        <v>0</v>
      </c>
      <c r="F12173" t="str">
        <f>"007010"</f>
        <v>0</v>
      </c>
      <c r="G12173" t="s">
        <v>21</v>
      </c>
    </row>
    <row r="12174" spans="1:7">
      <c r="A12174">
        <v>12173</v>
      </c>
      <c r="B12174" t="str">
        <f>"014567"</f>
        <v>0</v>
      </c>
      <c r="C12174" t="s">
        <v>9819</v>
      </c>
      <c r="D12174" t="s">
        <v>17887</v>
      </c>
      <c r="E12174" t="str">
        <f>"3560100130569"</f>
        <v>0</v>
      </c>
      <c r="F12174" t="str">
        <f>"007010"</f>
        <v>0</v>
      </c>
      <c r="G12174" t="s">
        <v>21</v>
      </c>
    </row>
    <row r="12175" spans="1:7">
      <c r="A12175">
        <v>12174</v>
      </c>
      <c r="B12175" t="str">
        <f>"014571"</f>
        <v>0</v>
      </c>
      <c r="C12175" t="s">
        <v>470</v>
      </c>
      <c r="D12175" t="s">
        <v>17888</v>
      </c>
      <c r="E12175" t="str">
        <f>"3560100129978"</f>
        <v>0</v>
      </c>
      <c r="F12175" t="str">
        <f>"007010"</f>
        <v>0</v>
      </c>
      <c r="G12175" t="s">
        <v>21</v>
      </c>
    </row>
    <row r="12176" spans="1:7">
      <c r="A12176">
        <v>12175</v>
      </c>
      <c r="B12176" t="str">
        <f>"014572"</f>
        <v>0</v>
      </c>
      <c r="C12176" t="s">
        <v>26</v>
      </c>
      <c r="D12176" t="s">
        <v>17889</v>
      </c>
      <c r="E12176" t="str">
        <f>"3560300147414"</f>
        <v>0</v>
      </c>
      <c r="F12176" t="str">
        <f>"007010"</f>
        <v>0</v>
      </c>
      <c r="G12176" t="s">
        <v>21</v>
      </c>
    </row>
    <row r="12177" spans="1:7">
      <c r="A12177">
        <v>12176</v>
      </c>
      <c r="B12177" t="str">
        <f>"014816"</f>
        <v>0</v>
      </c>
      <c r="C12177" t="s">
        <v>17890</v>
      </c>
      <c r="D12177" t="s">
        <v>17891</v>
      </c>
      <c r="E12177" t="str">
        <f>"3560500352836"</f>
        <v>0</v>
      </c>
      <c r="F12177" t="str">
        <f>"007010"</f>
        <v>0</v>
      </c>
      <c r="G12177" t="s">
        <v>21</v>
      </c>
    </row>
    <row r="12178" spans="1:7">
      <c r="A12178">
        <v>12177</v>
      </c>
      <c r="B12178" t="str">
        <f>"015180"</f>
        <v>0</v>
      </c>
      <c r="C12178" t="s">
        <v>17892</v>
      </c>
      <c r="D12178" t="s">
        <v>17893</v>
      </c>
      <c r="E12178" t="str">
        <f>"3569900159551"</f>
        <v>0</v>
      </c>
      <c r="F12178" t="str">
        <f>"007010"</f>
        <v>0</v>
      </c>
      <c r="G12178" t="s">
        <v>21</v>
      </c>
    </row>
    <row r="12179" spans="1:7">
      <c r="A12179">
        <v>12178</v>
      </c>
      <c r="B12179" t="str">
        <f>"015760"</f>
        <v>0</v>
      </c>
      <c r="C12179" t="s">
        <v>5133</v>
      </c>
      <c r="D12179" t="s">
        <v>17894</v>
      </c>
      <c r="E12179" t="str">
        <f>"3560101103549"</f>
        <v>0</v>
      </c>
      <c r="F12179" t="str">
        <f>"007010"</f>
        <v>0</v>
      </c>
      <c r="G12179" t="s">
        <v>21</v>
      </c>
    </row>
    <row r="12180" spans="1:7">
      <c r="A12180">
        <v>12179</v>
      </c>
      <c r="B12180" t="str">
        <f>"015925"</f>
        <v>0</v>
      </c>
      <c r="C12180" t="s">
        <v>789</v>
      </c>
      <c r="D12180" t="s">
        <v>11147</v>
      </c>
      <c r="E12180" t="str">
        <f>"3569900066065"</f>
        <v>0</v>
      </c>
      <c r="F12180" t="str">
        <f>"007010"</f>
        <v>0</v>
      </c>
      <c r="G12180" t="s">
        <v>21</v>
      </c>
    </row>
    <row r="12181" spans="1:7">
      <c r="A12181">
        <v>12180</v>
      </c>
      <c r="B12181" t="str">
        <f>"016907"</f>
        <v>0</v>
      </c>
      <c r="C12181" t="s">
        <v>17895</v>
      </c>
      <c r="D12181" t="s">
        <v>17896</v>
      </c>
      <c r="E12181" t="str">
        <f>"3560100383319"</f>
        <v>0</v>
      </c>
      <c r="F12181" t="str">
        <f>"007010"</f>
        <v>0</v>
      </c>
      <c r="G12181" t="s">
        <v>21</v>
      </c>
    </row>
    <row r="12182" spans="1:7">
      <c r="A12182">
        <v>12181</v>
      </c>
      <c r="B12182" t="str">
        <f>"018366"</f>
        <v>0</v>
      </c>
      <c r="C12182" t="s">
        <v>94</v>
      </c>
      <c r="D12182" t="s">
        <v>17897</v>
      </c>
      <c r="E12182" t="str">
        <f>"4560100008460"</f>
        <v>0</v>
      </c>
      <c r="F12182" t="str">
        <f>"007010"</f>
        <v>0</v>
      </c>
      <c r="G12182" t="s">
        <v>21</v>
      </c>
    </row>
    <row r="12183" spans="1:7">
      <c r="A12183">
        <v>12182</v>
      </c>
      <c r="B12183" t="str">
        <f>"019866"</f>
        <v>0</v>
      </c>
      <c r="C12183" t="s">
        <v>3620</v>
      </c>
      <c r="D12183" t="s">
        <v>17898</v>
      </c>
      <c r="E12183" t="str">
        <f>"3560100137016"</f>
        <v>0</v>
      </c>
      <c r="F12183" t="str">
        <f>"007010"</f>
        <v>0</v>
      </c>
      <c r="G12183" t="s">
        <v>21</v>
      </c>
    </row>
    <row r="12184" spans="1:7">
      <c r="A12184">
        <v>12183</v>
      </c>
      <c r="B12184" t="str">
        <f>"020171"</f>
        <v>0</v>
      </c>
      <c r="C12184" t="s">
        <v>17899</v>
      </c>
      <c r="D12184" t="s">
        <v>17900</v>
      </c>
      <c r="E12184" t="str">
        <f>"3560500424233"</f>
        <v>0</v>
      </c>
      <c r="F12184" t="str">
        <f>"007010"</f>
        <v>0</v>
      </c>
      <c r="G12184" t="s">
        <v>21</v>
      </c>
    </row>
    <row r="12185" spans="1:7">
      <c r="A12185">
        <v>12184</v>
      </c>
      <c r="B12185" t="str">
        <f>"025994"</f>
        <v>0</v>
      </c>
      <c r="C12185" t="s">
        <v>17901</v>
      </c>
      <c r="D12185" t="s">
        <v>17902</v>
      </c>
      <c r="E12185" t="str">
        <f>"3560101015054"</f>
        <v>0</v>
      </c>
      <c r="F12185" t="str">
        <f>"007010"</f>
        <v>0</v>
      </c>
      <c r="G12185" t="s">
        <v>21</v>
      </c>
    </row>
    <row r="12186" spans="1:7">
      <c r="A12186">
        <v>12185</v>
      </c>
      <c r="B12186" t="str">
        <f>"014600"</f>
        <v>0</v>
      </c>
      <c r="C12186" t="s">
        <v>17903</v>
      </c>
      <c r="D12186" t="s">
        <v>17904</v>
      </c>
      <c r="E12186" t="str">
        <f>"3740200356044"</f>
        <v>0</v>
      </c>
      <c r="F12186" t="str">
        <f>"007010"</f>
        <v>0</v>
      </c>
      <c r="G12186" t="s">
        <v>21</v>
      </c>
    </row>
    <row r="12187" spans="1:7">
      <c r="A12187">
        <v>12186</v>
      </c>
      <c r="B12187" t="str">
        <f>"014602"</f>
        <v>0</v>
      </c>
      <c r="C12187" t="s">
        <v>2646</v>
      </c>
      <c r="D12187" t="s">
        <v>17904</v>
      </c>
      <c r="E12187" t="str">
        <f>"3570200187503"</f>
        <v>0</v>
      </c>
      <c r="F12187" t="str">
        <f>"007010"</f>
        <v>0</v>
      </c>
      <c r="G12187" t="s">
        <v>21</v>
      </c>
    </row>
    <row r="12188" spans="1:7">
      <c r="A12188">
        <v>12187</v>
      </c>
      <c r="B12188" t="str">
        <f>"017124"</f>
        <v>0</v>
      </c>
      <c r="C12188" t="s">
        <v>12247</v>
      </c>
      <c r="D12188" t="s">
        <v>17905</v>
      </c>
      <c r="E12188" t="str">
        <f>"3570501010424"</f>
        <v>0</v>
      </c>
      <c r="F12188" t="str">
        <f>"007010"</f>
        <v>0</v>
      </c>
      <c r="G12188" t="s">
        <v>21</v>
      </c>
    </row>
    <row r="12189" spans="1:7">
      <c r="A12189">
        <v>12188</v>
      </c>
      <c r="B12189" t="str">
        <f>"014577"</f>
        <v>0</v>
      </c>
      <c r="C12189" t="s">
        <v>3103</v>
      </c>
      <c r="D12189" t="s">
        <v>17491</v>
      </c>
      <c r="E12189" t="str">
        <f>"3650801044307"</f>
        <v>0</v>
      </c>
      <c r="F12189" t="str">
        <f>"007010"</f>
        <v>0</v>
      </c>
      <c r="G12189" t="s">
        <v>21</v>
      </c>
    </row>
    <row r="12190" spans="1:7">
      <c r="A12190">
        <v>12189</v>
      </c>
      <c r="B12190" t="str">
        <f>"022539"</f>
        <v>0</v>
      </c>
      <c r="C12190" t="s">
        <v>17906</v>
      </c>
      <c r="D12190" t="s">
        <v>17907</v>
      </c>
      <c r="E12190" t="str">
        <f>"3609900593641"</f>
        <v>0</v>
      </c>
      <c r="F12190" t="str">
        <f>"007010"</f>
        <v>0</v>
      </c>
      <c r="G12190" t="s">
        <v>21</v>
      </c>
    </row>
    <row r="12191" spans="1:7">
      <c r="A12191">
        <v>12190</v>
      </c>
      <c r="B12191" t="str">
        <f>"012613"</f>
        <v>0</v>
      </c>
      <c r="C12191" t="s">
        <v>5091</v>
      </c>
      <c r="D12191" t="s">
        <v>17908</v>
      </c>
      <c r="E12191" t="str">
        <f>"3730500615843"</f>
        <v>0</v>
      </c>
      <c r="F12191" t="str">
        <f>"007010"</f>
        <v>0</v>
      </c>
      <c r="G12191" t="s">
        <v>21</v>
      </c>
    </row>
    <row r="12192" spans="1:7">
      <c r="A12192">
        <v>12191</v>
      </c>
      <c r="B12192" t="str">
        <f>"013345"</f>
        <v>0</v>
      </c>
      <c r="C12192" t="s">
        <v>5125</v>
      </c>
      <c r="D12192" t="s">
        <v>17909</v>
      </c>
      <c r="E12192" t="str">
        <f>"5620190049109"</f>
        <v>0</v>
      </c>
      <c r="F12192" t="str">
        <f>"007010"</f>
        <v>0</v>
      </c>
      <c r="G12192" t="s">
        <v>21</v>
      </c>
    </row>
    <row r="12193" spans="1:7">
      <c r="A12193">
        <v>12192</v>
      </c>
      <c r="B12193" t="str">
        <f>"013348"</f>
        <v>0</v>
      </c>
      <c r="C12193" t="s">
        <v>6636</v>
      </c>
      <c r="D12193" t="s">
        <v>1932</v>
      </c>
      <c r="E12193" t="str">
        <f>"3639900041142"</f>
        <v>0</v>
      </c>
      <c r="F12193" t="str">
        <f>"007010"</f>
        <v>0</v>
      </c>
      <c r="G12193" t="s">
        <v>21</v>
      </c>
    </row>
    <row r="12194" spans="1:7">
      <c r="A12194">
        <v>12193</v>
      </c>
      <c r="B12194" t="str">
        <f>"013962"</f>
        <v>0</v>
      </c>
      <c r="C12194" t="s">
        <v>17910</v>
      </c>
      <c r="D12194" t="s">
        <v>1932</v>
      </c>
      <c r="E12194" t="str">
        <f>"3640800106341"</f>
        <v>0</v>
      </c>
      <c r="F12194" t="str">
        <f>"007010"</f>
        <v>0</v>
      </c>
      <c r="G12194" t="s">
        <v>21</v>
      </c>
    </row>
    <row r="12195" spans="1:7">
      <c r="A12195">
        <v>12194</v>
      </c>
      <c r="B12195" t="str">
        <f>"014720"</f>
        <v>0</v>
      </c>
      <c r="C12195" t="s">
        <v>46</v>
      </c>
      <c r="D12195" t="s">
        <v>17911</v>
      </c>
      <c r="E12195" t="str">
        <f>"3620100384471"</f>
        <v>0</v>
      </c>
      <c r="F12195" t="str">
        <f>"007010"</f>
        <v>0</v>
      </c>
      <c r="G12195" t="s">
        <v>21</v>
      </c>
    </row>
    <row r="12196" spans="1:7">
      <c r="A12196">
        <v>12195</v>
      </c>
      <c r="B12196" t="str">
        <f>"014721"</f>
        <v>0</v>
      </c>
      <c r="C12196" t="s">
        <v>160</v>
      </c>
      <c r="D12196" t="s">
        <v>17912</v>
      </c>
      <c r="E12196" t="str">
        <f>"3650100459268"</f>
        <v>0</v>
      </c>
      <c r="F12196" t="str">
        <f>"007010"</f>
        <v>0</v>
      </c>
      <c r="G12196" t="s">
        <v>21</v>
      </c>
    </row>
    <row r="12197" spans="1:7">
      <c r="A12197">
        <v>12196</v>
      </c>
      <c r="B12197" t="str">
        <f>"014723"</f>
        <v>0</v>
      </c>
      <c r="C12197" t="s">
        <v>17913</v>
      </c>
      <c r="D12197" t="s">
        <v>17914</v>
      </c>
      <c r="E12197" t="str">
        <f>"3640900247249"</f>
        <v>0</v>
      </c>
      <c r="F12197" t="str">
        <f>"007010"</f>
        <v>0</v>
      </c>
      <c r="G12197" t="s">
        <v>21</v>
      </c>
    </row>
    <row r="12198" spans="1:7">
      <c r="A12198">
        <v>12197</v>
      </c>
      <c r="B12198" t="str">
        <f>"014724"</f>
        <v>0</v>
      </c>
      <c r="C12198" t="s">
        <v>17915</v>
      </c>
      <c r="D12198" t="s">
        <v>17914</v>
      </c>
      <c r="E12198" t="str">
        <f>"3669900177273"</f>
        <v>0</v>
      </c>
      <c r="F12198" t="str">
        <f>"007010"</f>
        <v>0</v>
      </c>
      <c r="G12198" t="s">
        <v>21</v>
      </c>
    </row>
    <row r="12199" spans="1:7">
      <c r="A12199">
        <v>12198</v>
      </c>
      <c r="B12199" t="str">
        <f>"014727"</f>
        <v>0</v>
      </c>
      <c r="C12199" t="s">
        <v>520</v>
      </c>
      <c r="D12199" t="s">
        <v>17916</v>
      </c>
      <c r="E12199" t="str">
        <f>"3620100068714"</f>
        <v>0</v>
      </c>
      <c r="F12199" t="str">
        <f>"007010"</f>
        <v>0</v>
      </c>
      <c r="G12199" t="s">
        <v>21</v>
      </c>
    </row>
    <row r="12200" spans="1:7">
      <c r="A12200">
        <v>12199</v>
      </c>
      <c r="B12200" t="str">
        <f>"015014"</f>
        <v>0</v>
      </c>
      <c r="C12200" t="s">
        <v>326</v>
      </c>
      <c r="D12200" t="s">
        <v>11643</v>
      </c>
      <c r="E12200" t="str">
        <f>"3320400409102"</f>
        <v>0</v>
      </c>
      <c r="F12200" t="str">
        <f>"007010"</f>
        <v>0</v>
      </c>
      <c r="G12200" t="s">
        <v>21</v>
      </c>
    </row>
    <row r="12201" spans="1:7">
      <c r="A12201">
        <v>12200</v>
      </c>
      <c r="B12201" t="str">
        <f>"015101"</f>
        <v>0</v>
      </c>
      <c r="C12201" t="s">
        <v>3314</v>
      </c>
      <c r="D12201" t="s">
        <v>17917</v>
      </c>
      <c r="E12201" t="str">
        <f>"3610500145864"</f>
        <v>0</v>
      </c>
      <c r="F12201" t="str">
        <f>"007010"</f>
        <v>0</v>
      </c>
      <c r="G12201" t="s">
        <v>21</v>
      </c>
    </row>
    <row r="12202" spans="1:7">
      <c r="A12202">
        <v>12201</v>
      </c>
      <c r="B12202" t="str">
        <f>"015210"</f>
        <v>0</v>
      </c>
      <c r="C12202" t="s">
        <v>17918</v>
      </c>
      <c r="D12202" t="s">
        <v>17919</v>
      </c>
      <c r="E12202" t="str">
        <f>"3620101046391"</f>
        <v>0</v>
      </c>
      <c r="F12202" t="str">
        <f>"007010"</f>
        <v>0</v>
      </c>
      <c r="G12202" t="s">
        <v>21</v>
      </c>
    </row>
    <row r="12203" spans="1:7">
      <c r="A12203">
        <v>12202</v>
      </c>
      <c r="B12203" t="str">
        <f>"015634"</f>
        <v>0</v>
      </c>
      <c r="C12203" t="s">
        <v>17920</v>
      </c>
      <c r="D12203" t="s">
        <v>170</v>
      </c>
      <c r="E12203" t="str">
        <f>"3100901076655"</f>
        <v>0</v>
      </c>
      <c r="F12203" t="str">
        <f>"007010"</f>
        <v>0</v>
      </c>
      <c r="G12203" t="s">
        <v>21</v>
      </c>
    </row>
    <row r="12204" spans="1:7">
      <c r="A12204">
        <v>12203</v>
      </c>
      <c r="B12204" t="str">
        <f>"015878"</f>
        <v>0</v>
      </c>
      <c r="C12204" t="s">
        <v>17921</v>
      </c>
      <c r="D12204" t="s">
        <v>17922</v>
      </c>
      <c r="E12204" t="str">
        <f>"3660400397781"</f>
        <v>0</v>
      </c>
      <c r="F12204" t="str">
        <f>"007010"</f>
        <v>0</v>
      </c>
      <c r="G12204" t="s">
        <v>21</v>
      </c>
    </row>
    <row r="12205" spans="1:7">
      <c r="A12205">
        <v>12204</v>
      </c>
      <c r="B12205" t="str">
        <f>"016790"</f>
        <v>0</v>
      </c>
      <c r="C12205" t="s">
        <v>17923</v>
      </c>
      <c r="D12205" t="s">
        <v>17924</v>
      </c>
      <c r="E12205" t="str">
        <f>"3650801040999"</f>
        <v>0</v>
      </c>
      <c r="F12205" t="str">
        <f>"007010"</f>
        <v>0</v>
      </c>
      <c r="G12205" t="s">
        <v>21</v>
      </c>
    </row>
    <row r="12206" spans="1:7">
      <c r="A12206">
        <v>12205</v>
      </c>
      <c r="B12206" t="str">
        <f>"016793"</f>
        <v>0</v>
      </c>
      <c r="C12206" t="s">
        <v>17925</v>
      </c>
      <c r="D12206" t="s">
        <v>17924</v>
      </c>
      <c r="E12206" t="str">
        <f>"3540100488331"</f>
        <v>0</v>
      </c>
      <c r="F12206" t="str">
        <f>"007010"</f>
        <v>0</v>
      </c>
      <c r="G12206" t="s">
        <v>21</v>
      </c>
    </row>
    <row r="12207" spans="1:7">
      <c r="A12207">
        <v>12206</v>
      </c>
      <c r="B12207" t="str">
        <f>"017418"</f>
        <v>0</v>
      </c>
      <c r="C12207" t="s">
        <v>17926</v>
      </c>
      <c r="D12207" t="s">
        <v>17927</v>
      </c>
      <c r="E12207" t="str">
        <f>"3629900098420"</f>
        <v>0</v>
      </c>
      <c r="F12207" t="str">
        <f>"007010"</f>
        <v>0</v>
      </c>
      <c r="G12207" t="s">
        <v>21</v>
      </c>
    </row>
    <row r="12208" spans="1:7">
      <c r="A12208">
        <v>12207</v>
      </c>
      <c r="B12208" t="str">
        <f>"017661"</f>
        <v>0</v>
      </c>
      <c r="C12208" t="s">
        <v>17928</v>
      </c>
      <c r="D12208" t="s">
        <v>10292</v>
      </c>
      <c r="E12208" t="str">
        <f>"3650100459250"</f>
        <v>0</v>
      </c>
      <c r="F12208" t="str">
        <f>"007010"</f>
        <v>0</v>
      </c>
      <c r="G12208" t="s">
        <v>21</v>
      </c>
    </row>
    <row r="12209" spans="1:7">
      <c r="A12209">
        <v>12208</v>
      </c>
      <c r="B12209" t="str">
        <f>"017983"</f>
        <v>0</v>
      </c>
      <c r="C12209" t="s">
        <v>470</v>
      </c>
      <c r="D12209" t="s">
        <v>17929</v>
      </c>
      <c r="E12209" t="str">
        <f>"3629900152726"</f>
        <v>0</v>
      </c>
      <c r="F12209" t="str">
        <f>"007010"</f>
        <v>0</v>
      </c>
      <c r="G12209" t="s">
        <v>21</v>
      </c>
    </row>
    <row r="12210" spans="1:7">
      <c r="A12210">
        <v>12209</v>
      </c>
      <c r="B12210" t="str">
        <f>"018068"</f>
        <v>0</v>
      </c>
      <c r="C12210" t="s">
        <v>1849</v>
      </c>
      <c r="D12210" t="s">
        <v>17930</v>
      </c>
      <c r="E12210" t="str">
        <f>"3620100238601"</f>
        <v>0</v>
      </c>
      <c r="F12210" t="str">
        <f>"007010"</f>
        <v>0</v>
      </c>
      <c r="G12210" t="s">
        <v>21</v>
      </c>
    </row>
    <row r="12211" spans="1:7">
      <c r="A12211">
        <v>12210</v>
      </c>
      <c r="B12211" t="str">
        <f>"023878"</f>
        <v>0</v>
      </c>
      <c r="C12211" t="s">
        <v>11041</v>
      </c>
      <c r="D12211" t="s">
        <v>17931</v>
      </c>
      <c r="E12211" t="str">
        <f>"1529900094054"</f>
        <v>0</v>
      </c>
      <c r="F12211" t="str">
        <f>"007010"</f>
        <v>0</v>
      </c>
      <c r="G12211" t="s">
        <v>21</v>
      </c>
    </row>
    <row r="12212" spans="1:7">
      <c r="A12212">
        <v>12211</v>
      </c>
      <c r="B12212" t="str">
        <f>"014404"</f>
        <v>0</v>
      </c>
      <c r="C12212" t="s">
        <v>3783</v>
      </c>
      <c r="D12212" t="s">
        <v>17932</v>
      </c>
      <c r="E12212" t="str">
        <f>"3100200983095"</f>
        <v>0</v>
      </c>
      <c r="F12212" t="str">
        <f>"007010"</f>
        <v>0</v>
      </c>
      <c r="G12212" t="s">
        <v>21</v>
      </c>
    </row>
    <row r="12213" spans="1:7">
      <c r="A12213">
        <v>12212</v>
      </c>
      <c r="B12213" t="str">
        <f>"024665"</f>
        <v>0</v>
      </c>
      <c r="C12213" t="s">
        <v>17933</v>
      </c>
      <c r="D12213" t="s">
        <v>17934</v>
      </c>
      <c r="E12213" t="str">
        <f>"1349900299880"</f>
        <v>0</v>
      </c>
      <c r="F12213" t="str">
        <f>"007010"</f>
        <v>0</v>
      </c>
      <c r="G12213" t="s">
        <v>21</v>
      </c>
    </row>
    <row r="12214" spans="1:7">
      <c r="A12214">
        <v>12213</v>
      </c>
      <c r="B12214" t="str">
        <f>"013059"</f>
        <v>0</v>
      </c>
      <c r="C12214" t="s">
        <v>341</v>
      </c>
      <c r="D12214" t="s">
        <v>17935</v>
      </c>
      <c r="E12214" t="str">
        <f>"3340100460480"</f>
        <v>0</v>
      </c>
      <c r="F12214" t="str">
        <f>"007010"</f>
        <v>0</v>
      </c>
      <c r="G12214" t="s">
        <v>21</v>
      </c>
    </row>
    <row r="12215" spans="1:7">
      <c r="A12215">
        <v>12214</v>
      </c>
      <c r="B12215" t="str">
        <f>"013657"</f>
        <v>0</v>
      </c>
      <c r="C12215" t="s">
        <v>17936</v>
      </c>
      <c r="D12215" t="s">
        <v>17937</v>
      </c>
      <c r="E12215" t="str">
        <f>"3349700072683"</f>
        <v>0</v>
      </c>
      <c r="F12215" t="str">
        <f>"007010"</f>
        <v>0</v>
      </c>
      <c r="G12215" t="s">
        <v>21</v>
      </c>
    </row>
    <row r="12216" spans="1:7">
      <c r="A12216">
        <v>12215</v>
      </c>
      <c r="B12216" t="str">
        <f>"013671"</f>
        <v>0</v>
      </c>
      <c r="C12216" t="s">
        <v>36</v>
      </c>
      <c r="D12216" t="s">
        <v>17938</v>
      </c>
      <c r="E12216" t="str">
        <f>"3340100124633"</f>
        <v>0</v>
      </c>
      <c r="F12216" t="str">
        <f>"007010"</f>
        <v>0</v>
      </c>
      <c r="G12216" t="s">
        <v>21</v>
      </c>
    </row>
    <row r="12217" spans="1:7">
      <c r="A12217">
        <v>12216</v>
      </c>
      <c r="B12217" t="str">
        <f>"013673"</f>
        <v>0</v>
      </c>
      <c r="C12217" t="s">
        <v>46</v>
      </c>
      <c r="D12217" t="s">
        <v>17939</v>
      </c>
      <c r="E12217" t="str">
        <f>"3349900310766"</f>
        <v>0</v>
      </c>
      <c r="F12217" t="str">
        <f>"007010"</f>
        <v>0</v>
      </c>
      <c r="G12217" t="s">
        <v>21</v>
      </c>
    </row>
    <row r="12218" spans="1:7">
      <c r="A12218">
        <v>12217</v>
      </c>
      <c r="B12218" t="str">
        <f>"013675"</f>
        <v>0</v>
      </c>
      <c r="C12218" t="s">
        <v>17940</v>
      </c>
      <c r="D12218" t="s">
        <v>17941</v>
      </c>
      <c r="E12218" t="str">
        <f>"3340100148648"</f>
        <v>0</v>
      </c>
      <c r="F12218" t="str">
        <f>"007010"</f>
        <v>0</v>
      </c>
      <c r="G12218" t="s">
        <v>21</v>
      </c>
    </row>
    <row r="12219" spans="1:7">
      <c r="A12219">
        <v>12218</v>
      </c>
      <c r="B12219" t="str">
        <f>"016035"</f>
        <v>0</v>
      </c>
      <c r="C12219" t="s">
        <v>17942</v>
      </c>
      <c r="D12219" t="s">
        <v>8614</v>
      </c>
      <c r="E12219" t="str">
        <f>"3340100676041"</f>
        <v>0</v>
      </c>
      <c r="F12219" t="str">
        <f>"007010"</f>
        <v>0</v>
      </c>
      <c r="G12219" t="s">
        <v>21</v>
      </c>
    </row>
    <row r="12220" spans="1:7">
      <c r="A12220">
        <v>12219</v>
      </c>
      <c r="B12220" t="str">
        <f>"016847"</f>
        <v>0</v>
      </c>
      <c r="C12220" t="s">
        <v>2303</v>
      </c>
      <c r="D12220" t="s">
        <v>17943</v>
      </c>
      <c r="E12220" t="str">
        <f>"3340100513516"</f>
        <v>0</v>
      </c>
      <c r="F12220" t="str">
        <f>"007010"</f>
        <v>0</v>
      </c>
      <c r="G12220" t="s">
        <v>21</v>
      </c>
    </row>
    <row r="12221" spans="1:7">
      <c r="A12221">
        <v>12220</v>
      </c>
      <c r="B12221" t="str">
        <f>"017451"</f>
        <v>0</v>
      </c>
      <c r="C12221" t="s">
        <v>11196</v>
      </c>
      <c r="D12221" t="s">
        <v>17944</v>
      </c>
      <c r="E12221" t="str">
        <f>"3349900678089"</f>
        <v>0</v>
      </c>
      <c r="F12221" t="str">
        <f>"007010"</f>
        <v>0</v>
      </c>
      <c r="G12221" t="s">
        <v>21</v>
      </c>
    </row>
    <row r="12222" spans="1:7">
      <c r="A12222">
        <v>12221</v>
      </c>
      <c r="B12222" t="str">
        <f>"017488"</f>
        <v>0</v>
      </c>
      <c r="C12222" t="s">
        <v>6446</v>
      </c>
      <c r="D12222" t="s">
        <v>17932</v>
      </c>
      <c r="E12222" t="str">
        <f>"3349900818093"</f>
        <v>0</v>
      </c>
      <c r="F12222" t="str">
        <f>"007010"</f>
        <v>0</v>
      </c>
      <c r="G12222" t="s">
        <v>21</v>
      </c>
    </row>
    <row r="12223" spans="1:7">
      <c r="A12223">
        <v>12222</v>
      </c>
      <c r="B12223" t="str">
        <f>"017516"</f>
        <v>0</v>
      </c>
      <c r="C12223" t="s">
        <v>2758</v>
      </c>
      <c r="D12223" t="s">
        <v>17945</v>
      </c>
      <c r="E12223" t="str">
        <f>"3340300099446"</f>
        <v>0</v>
      </c>
      <c r="F12223" t="str">
        <f>"007010"</f>
        <v>0</v>
      </c>
      <c r="G12223" t="s">
        <v>21</v>
      </c>
    </row>
    <row r="12224" spans="1:7">
      <c r="A12224">
        <v>12223</v>
      </c>
      <c r="B12224" t="str">
        <f>"017517"</f>
        <v>0</v>
      </c>
      <c r="C12224" t="s">
        <v>14208</v>
      </c>
      <c r="D12224" t="s">
        <v>17946</v>
      </c>
      <c r="E12224" t="str">
        <f>"3340100148371"</f>
        <v>0</v>
      </c>
      <c r="F12224" t="str">
        <f>"007010"</f>
        <v>0</v>
      </c>
      <c r="G12224" t="s">
        <v>21</v>
      </c>
    </row>
    <row r="12225" spans="1:7">
      <c r="A12225">
        <v>12224</v>
      </c>
      <c r="B12225" t="str">
        <f>"018837"</f>
        <v>0</v>
      </c>
      <c r="C12225" t="s">
        <v>678</v>
      </c>
      <c r="D12225" t="s">
        <v>17947</v>
      </c>
      <c r="E12225" t="str">
        <f>"3341500214011"</f>
        <v>0</v>
      </c>
      <c r="F12225" t="str">
        <f>"007010"</f>
        <v>0</v>
      </c>
      <c r="G12225" t="s">
        <v>21</v>
      </c>
    </row>
    <row r="12226" spans="1:7">
      <c r="A12226">
        <v>12225</v>
      </c>
      <c r="B12226" t="str">
        <f>"019344"</f>
        <v>0</v>
      </c>
      <c r="C12226" t="s">
        <v>3256</v>
      </c>
      <c r="D12226" t="s">
        <v>7120</v>
      </c>
      <c r="E12226" t="str">
        <f>"3330900798931"</f>
        <v>0</v>
      </c>
      <c r="F12226" t="str">
        <f>"007010"</f>
        <v>0</v>
      </c>
      <c r="G12226" t="s">
        <v>21</v>
      </c>
    </row>
    <row r="12227" spans="1:7">
      <c r="A12227">
        <v>12226</v>
      </c>
      <c r="B12227" t="str">
        <f>"019908"</f>
        <v>0</v>
      </c>
      <c r="C12227" t="s">
        <v>6408</v>
      </c>
      <c r="D12227" t="s">
        <v>17948</v>
      </c>
      <c r="E12227" t="str">
        <f>"3340701486033"</f>
        <v>0</v>
      </c>
      <c r="F12227" t="str">
        <f>"007010"</f>
        <v>0</v>
      </c>
      <c r="G12227" t="s">
        <v>21</v>
      </c>
    </row>
    <row r="12228" spans="1:7">
      <c r="A12228">
        <v>12227</v>
      </c>
      <c r="B12228" t="str">
        <f>"020676"</f>
        <v>0</v>
      </c>
      <c r="C12228" t="s">
        <v>1502</v>
      </c>
      <c r="D12228" t="s">
        <v>17949</v>
      </c>
      <c r="E12228" t="str">
        <f>"3341501419511"</f>
        <v>0</v>
      </c>
      <c r="F12228" t="str">
        <f>"007010"</f>
        <v>0</v>
      </c>
      <c r="G12228" t="s">
        <v>21</v>
      </c>
    </row>
    <row r="12229" spans="1:7">
      <c r="A12229">
        <v>12228</v>
      </c>
      <c r="B12229" t="str">
        <f>"021231"</f>
        <v>0</v>
      </c>
      <c r="C12229" t="s">
        <v>9057</v>
      </c>
      <c r="D12229" t="s">
        <v>7273</v>
      </c>
      <c r="E12229" t="str">
        <f>"3340100289446"</f>
        <v>0</v>
      </c>
      <c r="F12229" t="str">
        <f>"007010"</f>
        <v>0</v>
      </c>
      <c r="G12229" t="s">
        <v>21</v>
      </c>
    </row>
    <row r="12230" spans="1:7">
      <c r="A12230">
        <v>12229</v>
      </c>
      <c r="B12230" t="str">
        <f>"021533"</f>
        <v>0</v>
      </c>
      <c r="C12230" t="s">
        <v>17950</v>
      </c>
      <c r="D12230" t="s">
        <v>17951</v>
      </c>
      <c r="E12230" t="str">
        <f>"3349900469056"</f>
        <v>0</v>
      </c>
      <c r="F12230" t="str">
        <f>"007010"</f>
        <v>0</v>
      </c>
      <c r="G12230" t="s">
        <v>21</v>
      </c>
    </row>
    <row r="12231" spans="1:7">
      <c r="A12231">
        <v>12230</v>
      </c>
      <c r="B12231" t="str">
        <f>"021688"</f>
        <v>0</v>
      </c>
      <c r="C12231" t="s">
        <v>4920</v>
      </c>
      <c r="D12231" t="s">
        <v>16557</v>
      </c>
      <c r="E12231" t="str">
        <f>"3349700072675"</f>
        <v>0</v>
      </c>
      <c r="F12231" t="str">
        <f>"007010"</f>
        <v>0</v>
      </c>
      <c r="G12231" t="s">
        <v>21</v>
      </c>
    </row>
    <row r="12232" spans="1:7">
      <c r="A12232">
        <v>12231</v>
      </c>
      <c r="B12232" t="str">
        <f>"026867"</f>
        <v>0</v>
      </c>
      <c r="C12232" t="s">
        <v>17952</v>
      </c>
      <c r="D12232" t="s">
        <v>17953</v>
      </c>
      <c r="E12232" t="str">
        <f>"3102200064679"</f>
        <v>0</v>
      </c>
      <c r="F12232" t="str">
        <f>"007010"</f>
        <v>0</v>
      </c>
      <c r="G12232" t="s">
        <v>21</v>
      </c>
    </row>
    <row r="12233" spans="1:7">
      <c r="A12233">
        <v>12232</v>
      </c>
      <c r="B12233" t="str">
        <f>"022810"</f>
        <v>0</v>
      </c>
      <c r="C12233" t="s">
        <v>17954</v>
      </c>
      <c r="D12233" t="s">
        <v>17955</v>
      </c>
      <c r="E12233" t="str">
        <f>"1349900030295"</f>
        <v>0</v>
      </c>
      <c r="F12233" t="str">
        <f>"007010"</f>
        <v>0</v>
      </c>
      <c r="G12233" t="s">
        <v>21</v>
      </c>
    </row>
    <row r="12234" spans="1:7">
      <c r="A12234">
        <v>12233</v>
      </c>
      <c r="B12234" t="str">
        <f>"010852"</f>
        <v>0</v>
      </c>
      <c r="C12234" t="s">
        <v>130</v>
      </c>
      <c r="D12234" t="s">
        <v>12412</v>
      </c>
      <c r="E12234" t="str">
        <f>"3450500339547"</f>
        <v>0</v>
      </c>
      <c r="F12234" t="str">
        <f>"007010"</f>
        <v>0</v>
      </c>
      <c r="G12234" t="s">
        <v>21</v>
      </c>
    </row>
    <row r="12235" spans="1:7">
      <c r="A12235">
        <v>12234</v>
      </c>
      <c r="B12235" t="str">
        <f>"014421"</f>
        <v>0</v>
      </c>
      <c r="C12235" t="s">
        <v>17956</v>
      </c>
      <c r="D12235" t="s">
        <v>11421</v>
      </c>
      <c r="E12235" t="str">
        <f>"3450500253421"</f>
        <v>0</v>
      </c>
      <c r="F12235" t="str">
        <f>"007010"</f>
        <v>0</v>
      </c>
      <c r="G12235" t="s">
        <v>21</v>
      </c>
    </row>
    <row r="12236" spans="1:7">
      <c r="A12236">
        <v>12235</v>
      </c>
      <c r="B12236" t="str">
        <f>"014888"</f>
        <v>0</v>
      </c>
      <c r="C12236" t="s">
        <v>17957</v>
      </c>
      <c r="D12236" t="s">
        <v>17958</v>
      </c>
      <c r="E12236" t="str">
        <f>"3450400115311"</f>
        <v>0</v>
      </c>
      <c r="F12236" t="str">
        <f>"007010"</f>
        <v>0</v>
      </c>
      <c r="G12236" t="s">
        <v>21</v>
      </c>
    </row>
    <row r="12237" spans="1:7">
      <c r="A12237">
        <v>12236</v>
      </c>
      <c r="B12237" t="str">
        <f>"014979"</f>
        <v>0</v>
      </c>
      <c r="C12237" t="s">
        <v>3601</v>
      </c>
      <c r="D12237" t="s">
        <v>17959</v>
      </c>
      <c r="E12237" t="str">
        <f>"3459900266766"</f>
        <v>0</v>
      </c>
      <c r="F12237" t="str">
        <f>"007010"</f>
        <v>0</v>
      </c>
      <c r="G12237" t="s">
        <v>21</v>
      </c>
    </row>
    <row r="12238" spans="1:7">
      <c r="A12238">
        <v>12237</v>
      </c>
      <c r="B12238" t="str">
        <f>"015062"</f>
        <v>0</v>
      </c>
      <c r="C12238" t="s">
        <v>17960</v>
      </c>
      <c r="D12238" t="s">
        <v>17961</v>
      </c>
      <c r="E12238" t="str">
        <f>"3450100394711"</f>
        <v>0</v>
      </c>
      <c r="F12238" t="str">
        <f>"007010"</f>
        <v>0</v>
      </c>
      <c r="G12238" t="s">
        <v>21</v>
      </c>
    </row>
    <row r="12239" spans="1:7">
      <c r="A12239">
        <v>12238</v>
      </c>
      <c r="B12239" t="str">
        <f>"015068"</f>
        <v>0</v>
      </c>
      <c r="C12239" t="s">
        <v>173</v>
      </c>
      <c r="D12239" t="s">
        <v>12381</v>
      </c>
      <c r="E12239" t="str">
        <f>"3450101555564"</f>
        <v>0</v>
      </c>
      <c r="F12239" t="str">
        <f>"007010"</f>
        <v>0</v>
      </c>
      <c r="G12239" t="s">
        <v>21</v>
      </c>
    </row>
    <row r="12240" spans="1:7">
      <c r="A12240">
        <v>12239</v>
      </c>
      <c r="B12240" t="str">
        <f>"015110"</f>
        <v>0</v>
      </c>
      <c r="C12240" t="s">
        <v>17962</v>
      </c>
      <c r="D12240" t="s">
        <v>17963</v>
      </c>
      <c r="E12240" t="str">
        <f>"3450100005846"</f>
        <v>0</v>
      </c>
      <c r="F12240" t="str">
        <f>"007010"</f>
        <v>0</v>
      </c>
      <c r="G12240" t="s">
        <v>21</v>
      </c>
    </row>
    <row r="12241" spans="1:7">
      <c r="A12241">
        <v>12240</v>
      </c>
      <c r="B12241" t="str">
        <f>"015350"</f>
        <v>0</v>
      </c>
      <c r="C12241" t="s">
        <v>17964</v>
      </c>
      <c r="D12241" t="s">
        <v>17965</v>
      </c>
      <c r="E12241" t="str">
        <f>"3450101053372"</f>
        <v>0</v>
      </c>
      <c r="F12241" t="str">
        <f>"007010"</f>
        <v>0</v>
      </c>
      <c r="G12241" t="s">
        <v>21</v>
      </c>
    </row>
    <row r="12242" spans="1:7">
      <c r="A12242">
        <v>12241</v>
      </c>
      <c r="B12242" t="str">
        <f>"017574"</f>
        <v>0</v>
      </c>
      <c r="C12242" t="s">
        <v>17966</v>
      </c>
      <c r="D12242" t="s">
        <v>17967</v>
      </c>
      <c r="E12242" t="str">
        <f>"3450500268861"</f>
        <v>0</v>
      </c>
      <c r="F12242" t="str">
        <f>"007010"</f>
        <v>0</v>
      </c>
      <c r="G12242" t="s">
        <v>21</v>
      </c>
    </row>
    <row r="12243" spans="1:7">
      <c r="A12243">
        <v>12242</v>
      </c>
      <c r="B12243" t="str">
        <f>"017636"</f>
        <v>0</v>
      </c>
      <c r="C12243" t="s">
        <v>32</v>
      </c>
      <c r="D12243" t="s">
        <v>17968</v>
      </c>
      <c r="E12243" t="str">
        <f>"3361200187808"</f>
        <v>0</v>
      </c>
      <c r="F12243" t="str">
        <f>"007010"</f>
        <v>0</v>
      </c>
      <c r="G12243" t="s">
        <v>21</v>
      </c>
    </row>
    <row r="12244" spans="1:7">
      <c r="A12244">
        <v>12243</v>
      </c>
      <c r="B12244" t="str">
        <f>"018447"</f>
        <v>0</v>
      </c>
      <c r="C12244" t="s">
        <v>2476</v>
      </c>
      <c r="D12244" t="s">
        <v>17969</v>
      </c>
      <c r="E12244" t="str">
        <f>"3401400364729"</f>
        <v>0</v>
      </c>
      <c r="F12244" t="str">
        <f>"007010"</f>
        <v>0</v>
      </c>
      <c r="G12244" t="s">
        <v>21</v>
      </c>
    </row>
    <row r="12245" spans="1:7">
      <c r="A12245">
        <v>12244</v>
      </c>
      <c r="B12245" t="str">
        <f>"018703"</f>
        <v>0</v>
      </c>
      <c r="C12245" t="s">
        <v>4967</v>
      </c>
      <c r="D12245" t="s">
        <v>17970</v>
      </c>
      <c r="E12245" t="str">
        <f>"3450500245909"</f>
        <v>0</v>
      </c>
      <c r="F12245" t="str">
        <f>"007010"</f>
        <v>0</v>
      </c>
      <c r="G12245" t="s">
        <v>21</v>
      </c>
    </row>
    <row r="12246" spans="1:7">
      <c r="A12246">
        <v>12245</v>
      </c>
      <c r="B12246" t="str">
        <f>"019874"</f>
        <v>0</v>
      </c>
      <c r="C12246" t="s">
        <v>8527</v>
      </c>
      <c r="D12246" t="s">
        <v>17971</v>
      </c>
      <c r="E12246" t="str">
        <f>"3450101599171"</f>
        <v>0</v>
      </c>
      <c r="F12246" t="str">
        <f>"007010"</f>
        <v>0</v>
      </c>
      <c r="G12246" t="s">
        <v>21</v>
      </c>
    </row>
    <row r="12247" spans="1:7">
      <c r="A12247">
        <v>12246</v>
      </c>
      <c r="B12247" t="str">
        <f>"020013"</f>
        <v>0</v>
      </c>
      <c r="C12247" t="s">
        <v>2777</v>
      </c>
      <c r="D12247" t="s">
        <v>17972</v>
      </c>
      <c r="E12247" t="str">
        <f>"3450100805508"</f>
        <v>0</v>
      </c>
      <c r="F12247" t="str">
        <f>"007010"</f>
        <v>0</v>
      </c>
      <c r="G12247" t="s">
        <v>21</v>
      </c>
    </row>
    <row r="12248" spans="1:7">
      <c r="A12248">
        <v>12247</v>
      </c>
      <c r="B12248" t="str">
        <f>"026868"</f>
        <v>0</v>
      </c>
      <c r="C12248" t="s">
        <v>17973</v>
      </c>
      <c r="D12248" t="s">
        <v>17974</v>
      </c>
      <c r="E12248" t="str">
        <f>"5450590009173"</f>
        <v>0</v>
      </c>
      <c r="F12248" t="str">
        <f>"007010"</f>
        <v>0</v>
      </c>
      <c r="G12248" t="s">
        <v>21</v>
      </c>
    </row>
    <row r="12249" spans="1:7">
      <c r="A12249">
        <v>12248</v>
      </c>
      <c r="B12249" t="str">
        <f>"018574"</f>
        <v>0</v>
      </c>
      <c r="C12249" t="s">
        <v>1926</v>
      </c>
      <c r="D12249" t="s">
        <v>17975</v>
      </c>
      <c r="E12249" t="str">
        <f>"3469900178654"</f>
        <v>0</v>
      </c>
      <c r="F12249" t="str">
        <f>"007010"</f>
        <v>0</v>
      </c>
      <c r="G12249" t="s">
        <v>21</v>
      </c>
    </row>
    <row r="12250" spans="1:7">
      <c r="A12250">
        <v>12249</v>
      </c>
      <c r="B12250" t="str">
        <f>"010590"</f>
        <v>0</v>
      </c>
      <c r="C12250" t="s">
        <v>60</v>
      </c>
      <c r="D12250" t="s">
        <v>17976</v>
      </c>
      <c r="E12250" t="str">
        <f>"3419900385331"</f>
        <v>0</v>
      </c>
      <c r="F12250" t="str">
        <f>"007010"</f>
        <v>0</v>
      </c>
      <c r="G12250" t="s">
        <v>21</v>
      </c>
    </row>
    <row r="12251" spans="1:7">
      <c r="A12251">
        <v>12250</v>
      </c>
      <c r="B12251" t="str">
        <f>"012997"</f>
        <v>0</v>
      </c>
      <c r="C12251" t="s">
        <v>8846</v>
      </c>
      <c r="D12251" t="s">
        <v>17977</v>
      </c>
      <c r="E12251" t="str">
        <f>"3660100472167"</f>
        <v>0</v>
      </c>
      <c r="F12251" t="str">
        <f>"007010"</f>
        <v>0</v>
      </c>
      <c r="G12251" t="s">
        <v>21</v>
      </c>
    </row>
    <row r="12252" spans="1:7">
      <c r="A12252">
        <v>12251</v>
      </c>
      <c r="B12252" t="str">
        <f>"012999"</f>
        <v>0</v>
      </c>
      <c r="C12252" t="s">
        <v>17978</v>
      </c>
      <c r="D12252" t="s">
        <v>16749</v>
      </c>
      <c r="E12252" t="str">
        <f>"3410200334302"</f>
        <v>0</v>
      </c>
      <c r="F12252" t="str">
        <f>"007010"</f>
        <v>0</v>
      </c>
      <c r="G12252" t="s">
        <v>21</v>
      </c>
    </row>
    <row r="12253" spans="1:7">
      <c r="A12253">
        <v>12252</v>
      </c>
      <c r="B12253" t="str">
        <f>"013001"</f>
        <v>0</v>
      </c>
      <c r="C12253" t="s">
        <v>17979</v>
      </c>
      <c r="D12253" t="s">
        <v>17980</v>
      </c>
      <c r="E12253" t="str">
        <f>"3410101568887"</f>
        <v>0</v>
      </c>
      <c r="F12253" t="str">
        <f>"007010"</f>
        <v>0</v>
      </c>
      <c r="G12253" t="s">
        <v>21</v>
      </c>
    </row>
    <row r="12254" spans="1:7">
      <c r="A12254">
        <v>12253</v>
      </c>
      <c r="B12254" t="str">
        <f>"013002"</f>
        <v>0</v>
      </c>
      <c r="C12254" t="s">
        <v>17981</v>
      </c>
      <c r="D12254" t="s">
        <v>17982</v>
      </c>
      <c r="E12254" t="str">
        <f>"3420100395261"</f>
        <v>0</v>
      </c>
      <c r="F12254" t="str">
        <f>"007010"</f>
        <v>0</v>
      </c>
      <c r="G12254" t="s">
        <v>21</v>
      </c>
    </row>
    <row r="12255" spans="1:7">
      <c r="A12255">
        <v>12254</v>
      </c>
      <c r="B12255" t="str">
        <f>"013005"</f>
        <v>0</v>
      </c>
      <c r="C12255" t="s">
        <v>17983</v>
      </c>
      <c r="D12255" t="s">
        <v>13469</v>
      </c>
      <c r="E12255" t="str">
        <f>"3360300052806"</f>
        <v>0</v>
      </c>
      <c r="F12255" t="str">
        <f>"007010"</f>
        <v>0</v>
      </c>
      <c r="G12255" t="s">
        <v>21</v>
      </c>
    </row>
    <row r="12256" spans="1:7">
      <c r="A12256">
        <v>12255</v>
      </c>
      <c r="B12256" t="str">
        <f>"013011"</f>
        <v>0</v>
      </c>
      <c r="C12256" t="s">
        <v>1021</v>
      </c>
      <c r="D12256" t="s">
        <v>17984</v>
      </c>
      <c r="E12256" t="str">
        <f>"3770600277575"</f>
        <v>0</v>
      </c>
      <c r="F12256" t="str">
        <f>"007010"</f>
        <v>0</v>
      </c>
      <c r="G12256" t="s">
        <v>21</v>
      </c>
    </row>
    <row r="12257" spans="1:7">
      <c r="A12257">
        <v>12256</v>
      </c>
      <c r="B12257" t="str">
        <f>"013524"</f>
        <v>0</v>
      </c>
      <c r="C12257" t="s">
        <v>14200</v>
      </c>
      <c r="D12257" t="s">
        <v>17985</v>
      </c>
      <c r="E12257" t="str">
        <f>"3301500256686"</f>
        <v>0</v>
      </c>
      <c r="F12257" t="str">
        <f>"007010"</f>
        <v>0</v>
      </c>
      <c r="G12257" t="s">
        <v>21</v>
      </c>
    </row>
    <row r="12258" spans="1:7">
      <c r="A12258">
        <v>12257</v>
      </c>
      <c r="B12258" t="str">
        <f>"015477"</f>
        <v>0</v>
      </c>
      <c r="C12258" t="s">
        <v>17986</v>
      </c>
      <c r="D12258" t="s">
        <v>17987</v>
      </c>
      <c r="E12258" t="str">
        <f>"3480700704702"</f>
        <v>0</v>
      </c>
      <c r="F12258" t="str">
        <f>"007010"</f>
        <v>0</v>
      </c>
      <c r="G12258" t="s">
        <v>21</v>
      </c>
    </row>
    <row r="12259" spans="1:7">
      <c r="A12259">
        <v>12258</v>
      </c>
      <c r="B12259" t="str">
        <f>"016223"</f>
        <v>0</v>
      </c>
      <c r="C12259" t="s">
        <v>32</v>
      </c>
      <c r="D12259" t="s">
        <v>17988</v>
      </c>
      <c r="E12259" t="str">
        <f>"3410101033975"</f>
        <v>0</v>
      </c>
      <c r="F12259" t="str">
        <f>"007010"</f>
        <v>0</v>
      </c>
      <c r="G12259" t="s">
        <v>21</v>
      </c>
    </row>
    <row r="12260" spans="1:7">
      <c r="A12260">
        <v>12259</v>
      </c>
      <c r="B12260" t="str">
        <f>"016622"</f>
        <v>0</v>
      </c>
      <c r="C12260" t="s">
        <v>1792</v>
      </c>
      <c r="D12260" t="s">
        <v>17989</v>
      </c>
      <c r="E12260" t="str">
        <f>"3411000193234"</f>
        <v>0</v>
      </c>
      <c r="F12260" t="str">
        <f>"007010"</f>
        <v>0</v>
      </c>
      <c r="G12260" t="s">
        <v>21</v>
      </c>
    </row>
    <row r="12261" spans="1:7">
      <c r="A12261">
        <v>12260</v>
      </c>
      <c r="B12261" t="str">
        <f>"017840"</f>
        <v>0</v>
      </c>
      <c r="C12261" t="s">
        <v>17990</v>
      </c>
      <c r="D12261" t="s">
        <v>17991</v>
      </c>
      <c r="E12261" t="str">
        <f>"3410200004213"</f>
        <v>0</v>
      </c>
      <c r="F12261" t="str">
        <f>"007010"</f>
        <v>0</v>
      </c>
      <c r="G12261" t="s">
        <v>21</v>
      </c>
    </row>
    <row r="12262" spans="1:7">
      <c r="A12262">
        <v>12261</v>
      </c>
      <c r="B12262" t="str">
        <f>"018255"</f>
        <v>0</v>
      </c>
      <c r="C12262" t="s">
        <v>694</v>
      </c>
      <c r="D12262" t="s">
        <v>17427</v>
      </c>
      <c r="E12262" t="str">
        <f>"3360300052831"</f>
        <v>0</v>
      </c>
      <c r="F12262" t="str">
        <f>"007010"</f>
        <v>0</v>
      </c>
      <c r="G12262" t="s">
        <v>21</v>
      </c>
    </row>
    <row r="12263" spans="1:7">
      <c r="A12263">
        <v>12262</v>
      </c>
      <c r="B12263" t="str">
        <f>"018739"</f>
        <v>0</v>
      </c>
      <c r="C12263" t="s">
        <v>17992</v>
      </c>
      <c r="D12263" t="s">
        <v>17993</v>
      </c>
      <c r="E12263" t="str">
        <f>"5411200118950"</f>
        <v>0</v>
      </c>
      <c r="F12263" t="str">
        <f>"007010"</f>
        <v>0</v>
      </c>
      <c r="G12263" t="s">
        <v>21</v>
      </c>
    </row>
    <row r="12264" spans="1:7">
      <c r="A12264">
        <v>12263</v>
      </c>
      <c r="B12264" t="str">
        <f>"019478"</f>
        <v>0</v>
      </c>
      <c r="C12264" t="s">
        <v>219</v>
      </c>
      <c r="D12264" t="s">
        <v>8367</v>
      </c>
      <c r="E12264" t="str">
        <f>"3450500168475"</f>
        <v>0</v>
      </c>
      <c r="F12264" t="str">
        <f>"007010"</f>
        <v>0</v>
      </c>
      <c r="G12264" t="s">
        <v>21</v>
      </c>
    </row>
    <row r="12265" spans="1:7">
      <c r="A12265">
        <v>12264</v>
      </c>
      <c r="B12265" t="str">
        <f>"023494"</f>
        <v>0</v>
      </c>
      <c r="C12265" t="s">
        <v>634</v>
      </c>
      <c r="D12265" t="s">
        <v>17994</v>
      </c>
      <c r="E12265" t="str">
        <f>"3410800013060"</f>
        <v>0</v>
      </c>
      <c r="F12265" t="str">
        <f>"007010"</f>
        <v>0</v>
      </c>
      <c r="G12265" t="s">
        <v>21</v>
      </c>
    </row>
    <row r="12266" spans="1:7">
      <c r="A12266">
        <v>12265</v>
      </c>
      <c r="B12266" t="str">
        <f>"024299"</f>
        <v>0</v>
      </c>
      <c r="C12266" t="s">
        <v>8062</v>
      </c>
      <c r="D12266" t="s">
        <v>17995</v>
      </c>
      <c r="E12266" t="str">
        <f>"1420900026841"</f>
        <v>0</v>
      </c>
      <c r="F12266" t="str">
        <f>"007010"</f>
        <v>0</v>
      </c>
      <c r="G12266" t="s">
        <v>21</v>
      </c>
    </row>
    <row r="12267" spans="1:7">
      <c r="A12267">
        <v>12266</v>
      </c>
      <c r="B12267" t="str">
        <f>"015316"</f>
        <v>0</v>
      </c>
      <c r="C12267" t="s">
        <v>5502</v>
      </c>
      <c r="D12267" t="s">
        <v>17996</v>
      </c>
      <c r="E12267" t="str">
        <f>"3470400040540"</f>
        <v>0</v>
      </c>
      <c r="F12267" t="str">
        <f>"007010"</f>
        <v>0</v>
      </c>
      <c r="G12267" t="s">
        <v>21</v>
      </c>
    </row>
    <row r="12268" spans="1:7">
      <c r="A12268">
        <v>12267</v>
      </c>
      <c r="B12268" t="str">
        <f>"021536"</f>
        <v>0</v>
      </c>
      <c r="C12268" t="s">
        <v>13106</v>
      </c>
      <c r="D12268" t="s">
        <v>17997</v>
      </c>
      <c r="E12268" t="str">
        <f>"3470600106625"</f>
        <v>0</v>
      </c>
      <c r="F12268" t="str">
        <f>"007010"</f>
        <v>0</v>
      </c>
      <c r="G12268" t="s">
        <v>21</v>
      </c>
    </row>
    <row r="12269" spans="1:7">
      <c r="A12269">
        <v>12268</v>
      </c>
      <c r="B12269" t="str">
        <f>"014582"</f>
        <v>0</v>
      </c>
      <c r="C12269" t="s">
        <v>56</v>
      </c>
      <c r="D12269" t="s">
        <v>17998</v>
      </c>
      <c r="E12269" t="str">
        <f>"3469900037228"</f>
        <v>0</v>
      </c>
      <c r="F12269" t="str">
        <f>"007010"</f>
        <v>0</v>
      </c>
      <c r="G12269" t="s">
        <v>21</v>
      </c>
    </row>
    <row r="12270" spans="1:7">
      <c r="A12270">
        <v>12269</v>
      </c>
      <c r="B12270" t="str">
        <f>"014586"</f>
        <v>0</v>
      </c>
      <c r="C12270" t="s">
        <v>10139</v>
      </c>
      <c r="D12270" t="s">
        <v>17999</v>
      </c>
      <c r="E12270" t="str">
        <f>"3440100521399"</f>
        <v>0</v>
      </c>
      <c r="F12270" t="str">
        <f>"007010"</f>
        <v>0</v>
      </c>
      <c r="G12270" t="s">
        <v>21</v>
      </c>
    </row>
    <row r="12271" spans="1:7">
      <c r="A12271">
        <v>12270</v>
      </c>
      <c r="B12271" t="str">
        <f>"018109"</f>
        <v>0</v>
      </c>
      <c r="C12271" t="s">
        <v>18000</v>
      </c>
      <c r="D12271" t="s">
        <v>18001</v>
      </c>
      <c r="E12271" t="str">
        <f>"3469900030193"</f>
        <v>0</v>
      </c>
      <c r="F12271" t="str">
        <f>"007010"</f>
        <v>0</v>
      </c>
      <c r="G12271" t="s">
        <v>21</v>
      </c>
    </row>
    <row r="12272" spans="1:7">
      <c r="A12272">
        <v>12271</v>
      </c>
      <c r="B12272" t="str">
        <f>"018977"</f>
        <v>0</v>
      </c>
      <c r="C12272" t="s">
        <v>18002</v>
      </c>
      <c r="D12272" t="s">
        <v>18003</v>
      </c>
      <c r="E12272" t="str">
        <f>"3460300326034"</f>
        <v>0</v>
      </c>
      <c r="F12272" t="str">
        <f>"007010"</f>
        <v>0</v>
      </c>
      <c r="G12272" t="s">
        <v>21</v>
      </c>
    </row>
    <row r="12273" spans="1:7">
      <c r="A12273">
        <v>12272</v>
      </c>
      <c r="B12273" t="str">
        <f>"022917"</f>
        <v>0</v>
      </c>
      <c r="C12273" t="s">
        <v>18004</v>
      </c>
      <c r="D12273" t="s">
        <v>18005</v>
      </c>
      <c r="E12273" t="str">
        <f>"3460500129909"</f>
        <v>0</v>
      </c>
      <c r="F12273" t="str">
        <f>"007010"</f>
        <v>0</v>
      </c>
      <c r="G12273" t="s">
        <v>21</v>
      </c>
    </row>
    <row r="12274" spans="1:7">
      <c r="A12274">
        <v>12273</v>
      </c>
      <c r="B12274" t="str">
        <f>"023495"</f>
        <v>0</v>
      </c>
      <c r="C12274" t="s">
        <v>11013</v>
      </c>
      <c r="D12274" t="s">
        <v>18006</v>
      </c>
      <c r="E12274" t="str">
        <f>"5460100014604"</f>
        <v>0</v>
      </c>
      <c r="F12274" t="str">
        <f>"007010"</f>
        <v>0</v>
      </c>
      <c r="G12274" t="s">
        <v>21</v>
      </c>
    </row>
    <row r="12275" spans="1:7">
      <c r="A12275">
        <v>12274</v>
      </c>
      <c r="B12275" t="str">
        <f>"026847"</f>
        <v>0</v>
      </c>
      <c r="C12275" t="s">
        <v>18007</v>
      </c>
      <c r="D12275" t="s">
        <v>18008</v>
      </c>
      <c r="E12275" t="str">
        <f>"1809900125861"</f>
        <v>0</v>
      </c>
      <c r="F12275" t="str">
        <f>"007010"</f>
        <v>0</v>
      </c>
      <c r="G12275" t="s">
        <v>21</v>
      </c>
    </row>
    <row r="12276" spans="1:7">
      <c r="A12276">
        <v>12275</v>
      </c>
      <c r="B12276" t="str">
        <f>"019254"</f>
        <v>0</v>
      </c>
      <c r="C12276" t="s">
        <v>18009</v>
      </c>
      <c r="D12276" t="s">
        <v>18010</v>
      </c>
      <c r="E12276" t="str">
        <f>"3471201461660"</f>
        <v>0</v>
      </c>
      <c r="F12276" t="str">
        <f>"007010"</f>
        <v>0</v>
      </c>
      <c r="G12276" t="s">
        <v>21</v>
      </c>
    </row>
    <row r="12277" spans="1:7">
      <c r="A12277">
        <v>12276</v>
      </c>
      <c r="B12277" t="str">
        <f>"025066"</f>
        <v>0</v>
      </c>
      <c r="C12277" t="s">
        <v>18011</v>
      </c>
      <c r="D12277" t="s">
        <v>18012</v>
      </c>
      <c r="E12277" t="str">
        <f>"3460600291317"</f>
        <v>0</v>
      </c>
      <c r="F12277" t="str">
        <f>"007010"</f>
        <v>0</v>
      </c>
      <c r="G12277" t="s">
        <v>21</v>
      </c>
    </row>
    <row r="12278" spans="1:7">
      <c r="A12278">
        <v>12277</v>
      </c>
      <c r="B12278" t="str">
        <f>"022106"</f>
        <v>0</v>
      </c>
      <c r="C12278" t="s">
        <v>18013</v>
      </c>
      <c r="D12278" t="s">
        <v>18014</v>
      </c>
      <c r="E12278" t="str">
        <f>"3520101231237"</f>
        <v>0</v>
      </c>
      <c r="F12278" t="str">
        <f>"007010"</f>
        <v>0</v>
      </c>
      <c r="G12278" t="s">
        <v>21</v>
      </c>
    </row>
    <row r="12279" spans="1:7">
      <c r="A12279">
        <v>12278</v>
      </c>
      <c r="B12279" t="str">
        <f>"022912"</f>
        <v>0</v>
      </c>
      <c r="C12279" t="s">
        <v>18015</v>
      </c>
      <c r="D12279" t="s">
        <v>18016</v>
      </c>
      <c r="E12279" t="str">
        <f>"3110401495527"</f>
        <v>0</v>
      </c>
      <c r="F12279" t="str">
        <f>"007010"</f>
        <v>0</v>
      </c>
      <c r="G12279" t="s">
        <v>21</v>
      </c>
    </row>
    <row r="12280" spans="1:7">
      <c r="A12280">
        <v>12279</v>
      </c>
      <c r="B12280" t="str">
        <f>"027310"</f>
        <v>0</v>
      </c>
      <c r="C12280" t="s">
        <v>18017</v>
      </c>
      <c r="D12280" t="s">
        <v>18018</v>
      </c>
      <c r="E12280" t="str">
        <f>"1670500020089"</f>
        <v>0</v>
      </c>
      <c r="F12280" t="str">
        <f>"007010"</f>
        <v>0</v>
      </c>
      <c r="G12280" t="s">
        <v>21</v>
      </c>
    </row>
    <row r="12281" spans="1:7">
      <c r="A12281">
        <v>12280</v>
      </c>
      <c r="B12281" t="str">
        <f>"026065"</f>
        <v>0</v>
      </c>
      <c r="C12281" t="s">
        <v>4018</v>
      </c>
      <c r="D12281" t="s">
        <v>18019</v>
      </c>
      <c r="E12281" t="str">
        <f>"1540400051536"</f>
        <v>0</v>
      </c>
      <c r="F12281" t="str">
        <f>"007010"</f>
        <v>0</v>
      </c>
      <c r="G12281" t="s">
        <v>21</v>
      </c>
    </row>
    <row r="12282" spans="1:7">
      <c r="A12282">
        <v>12281</v>
      </c>
      <c r="B12282" t="str">
        <f>"015208"</f>
        <v>0</v>
      </c>
      <c r="C12282" t="s">
        <v>2551</v>
      </c>
      <c r="D12282" t="s">
        <v>18020</v>
      </c>
      <c r="E12282" t="str">
        <f>"3800400470028"</f>
        <v>0</v>
      </c>
      <c r="F12282" t="str">
        <f>"007010"</f>
        <v>0</v>
      </c>
      <c r="G12282" t="s">
        <v>21</v>
      </c>
    </row>
    <row r="12283" spans="1:7">
      <c r="A12283">
        <v>12282</v>
      </c>
      <c r="B12283" t="str">
        <f>"020158"</f>
        <v>0</v>
      </c>
      <c r="C12283" t="s">
        <v>18021</v>
      </c>
      <c r="D12283" t="s">
        <v>18022</v>
      </c>
      <c r="E12283" t="str">
        <f>"3520101100370"</f>
        <v>0</v>
      </c>
      <c r="F12283" t="str">
        <f>"007010"</f>
        <v>0</v>
      </c>
      <c r="G12283" t="s">
        <v>21</v>
      </c>
    </row>
    <row r="12284" spans="1:7">
      <c r="A12284">
        <v>12283</v>
      </c>
      <c r="B12284" t="str">
        <f>"013206"</f>
        <v>0</v>
      </c>
      <c r="C12284" t="s">
        <v>767</v>
      </c>
      <c r="D12284" t="s">
        <v>18023</v>
      </c>
      <c r="E12284" t="str">
        <f>"3540200502816"</f>
        <v>0</v>
      </c>
      <c r="F12284" t="str">
        <f>"007010"</f>
        <v>0</v>
      </c>
      <c r="G12284" t="s">
        <v>21</v>
      </c>
    </row>
    <row r="12285" spans="1:7">
      <c r="A12285">
        <v>12284</v>
      </c>
      <c r="B12285" t="str">
        <f>"014148"</f>
        <v>0</v>
      </c>
      <c r="C12285" t="s">
        <v>6060</v>
      </c>
      <c r="D12285" t="s">
        <v>18024</v>
      </c>
      <c r="E12285" t="str">
        <f>"3540400376598"</f>
        <v>0</v>
      </c>
      <c r="F12285" t="str">
        <f>"007010"</f>
        <v>0</v>
      </c>
      <c r="G12285" t="s">
        <v>21</v>
      </c>
    </row>
    <row r="12286" spans="1:7">
      <c r="A12286">
        <v>12285</v>
      </c>
      <c r="B12286" t="str">
        <f>"014730"</f>
        <v>0</v>
      </c>
      <c r="C12286" t="s">
        <v>18025</v>
      </c>
      <c r="D12286" t="s">
        <v>18026</v>
      </c>
      <c r="E12286" t="str">
        <f>"3540100577806"</f>
        <v>0</v>
      </c>
      <c r="F12286" t="str">
        <f>"007010"</f>
        <v>0</v>
      </c>
      <c r="G12286" t="s">
        <v>21</v>
      </c>
    </row>
    <row r="12287" spans="1:7">
      <c r="A12287">
        <v>12286</v>
      </c>
      <c r="B12287" t="str">
        <f>"014733"</f>
        <v>0</v>
      </c>
      <c r="C12287" t="s">
        <v>18027</v>
      </c>
      <c r="D12287" t="s">
        <v>18028</v>
      </c>
      <c r="E12287" t="str">
        <f>"3540200065645"</f>
        <v>0</v>
      </c>
      <c r="F12287" t="str">
        <f>"007010"</f>
        <v>0</v>
      </c>
      <c r="G12287" t="s">
        <v>21</v>
      </c>
    </row>
    <row r="12288" spans="1:7">
      <c r="A12288">
        <v>12287</v>
      </c>
      <c r="B12288" t="str">
        <f>"014734"</f>
        <v>0</v>
      </c>
      <c r="C12288" t="s">
        <v>18029</v>
      </c>
      <c r="D12288" t="s">
        <v>18030</v>
      </c>
      <c r="E12288" t="str">
        <f>"3560500002533"</f>
        <v>0</v>
      </c>
      <c r="F12288" t="str">
        <f>"007010"</f>
        <v>0</v>
      </c>
      <c r="G12288" t="s">
        <v>21</v>
      </c>
    </row>
    <row r="12289" spans="1:7">
      <c r="A12289">
        <v>12288</v>
      </c>
      <c r="B12289" t="str">
        <f>"014736"</f>
        <v>0</v>
      </c>
      <c r="C12289" t="s">
        <v>514</v>
      </c>
      <c r="D12289" t="s">
        <v>18031</v>
      </c>
      <c r="E12289" t="str">
        <f>"5540200004804"</f>
        <v>0</v>
      </c>
      <c r="F12289" t="str">
        <f>"007010"</f>
        <v>0</v>
      </c>
      <c r="G12289" t="s">
        <v>21</v>
      </c>
    </row>
    <row r="12290" spans="1:7">
      <c r="A12290">
        <v>12289</v>
      </c>
      <c r="B12290" t="str">
        <f>"014737"</f>
        <v>0</v>
      </c>
      <c r="C12290" t="s">
        <v>7211</v>
      </c>
      <c r="D12290" t="s">
        <v>2280</v>
      </c>
      <c r="E12290" t="str">
        <f>"3540200640895"</f>
        <v>0</v>
      </c>
      <c r="F12290" t="str">
        <f>"007010"</f>
        <v>0</v>
      </c>
      <c r="G12290" t="s">
        <v>21</v>
      </c>
    </row>
    <row r="12291" spans="1:7">
      <c r="A12291">
        <v>12290</v>
      </c>
      <c r="B12291" t="str">
        <f>"014738"</f>
        <v>0</v>
      </c>
      <c r="C12291" t="s">
        <v>18032</v>
      </c>
      <c r="D12291" t="s">
        <v>18033</v>
      </c>
      <c r="E12291" t="str">
        <f>"3540600162184"</f>
        <v>0</v>
      </c>
      <c r="F12291" t="str">
        <f>"007010"</f>
        <v>0</v>
      </c>
      <c r="G12291" t="s">
        <v>21</v>
      </c>
    </row>
    <row r="12292" spans="1:7">
      <c r="A12292">
        <v>12291</v>
      </c>
      <c r="B12292" t="str">
        <f>"014739"</f>
        <v>0</v>
      </c>
      <c r="C12292" t="s">
        <v>12247</v>
      </c>
      <c r="D12292" t="s">
        <v>18034</v>
      </c>
      <c r="E12292" t="str">
        <f>"3540100649611"</f>
        <v>0</v>
      </c>
      <c r="F12292" t="str">
        <f>"007010"</f>
        <v>0</v>
      </c>
      <c r="G12292" t="s">
        <v>21</v>
      </c>
    </row>
    <row r="12293" spans="1:7">
      <c r="A12293">
        <v>12292</v>
      </c>
      <c r="B12293" t="str">
        <f>"016334"</f>
        <v>0</v>
      </c>
      <c r="C12293" t="s">
        <v>5125</v>
      </c>
      <c r="D12293" t="s">
        <v>18035</v>
      </c>
      <c r="E12293" t="str">
        <f>"3540200500848"</f>
        <v>0</v>
      </c>
      <c r="F12293" t="str">
        <f>"007010"</f>
        <v>0</v>
      </c>
      <c r="G12293" t="s">
        <v>21</v>
      </c>
    </row>
    <row r="12294" spans="1:7">
      <c r="A12294">
        <v>12293</v>
      </c>
      <c r="B12294" t="str">
        <f>"016359"</f>
        <v>0</v>
      </c>
      <c r="C12294" t="s">
        <v>6686</v>
      </c>
      <c r="D12294" t="s">
        <v>7175</v>
      </c>
      <c r="E12294" t="str">
        <f>"3640600307301"</f>
        <v>0</v>
      </c>
      <c r="F12294" t="str">
        <f>"007010"</f>
        <v>0</v>
      </c>
      <c r="G12294" t="s">
        <v>21</v>
      </c>
    </row>
    <row r="12295" spans="1:7">
      <c r="A12295">
        <v>12294</v>
      </c>
      <c r="B12295" t="str">
        <f>"019125"</f>
        <v>0</v>
      </c>
      <c r="C12295" t="s">
        <v>18036</v>
      </c>
      <c r="D12295" t="s">
        <v>18037</v>
      </c>
      <c r="E12295" t="str">
        <f>"3540200049810"</f>
        <v>0</v>
      </c>
      <c r="F12295" t="str">
        <f>"007010"</f>
        <v>0</v>
      </c>
      <c r="G12295" t="s">
        <v>21</v>
      </c>
    </row>
    <row r="12296" spans="1:7">
      <c r="A12296">
        <v>12295</v>
      </c>
      <c r="B12296" t="str">
        <f>"019544"</f>
        <v>0</v>
      </c>
      <c r="C12296" t="s">
        <v>18038</v>
      </c>
      <c r="D12296" t="s">
        <v>18039</v>
      </c>
      <c r="E12296" t="str">
        <f>"3520600093387"</f>
        <v>0</v>
      </c>
      <c r="F12296" t="str">
        <f>"007010"</f>
        <v>0</v>
      </c>
      <c r="G12296" t="s">
        <v>21</v>
      </c>
    </row>
    <row r="12297" spans="1:7">
      <c r="A12297">
        <v>12296</v>
      </c>
      <c r="B12297" t="str">
        <f>"020059"</f>
        <v>0</v>
      </c>
      <c r="C12297" t="s">
        <v>239</v>
      </c>
      <c r="D12297" t="s">
        <v>18040</v>
      </c>
      <c r="E12297" t="str">
        <f>"3540200499289"</f>
        <v>0</v>
      </c>
      <c r="F12297" t="str">
        <f>"007010"</f>
        <v>0</v>
      </c>
      <c r="G12297" t="s">
        <v>21</v>
      </c>
    </row>
    <row r="12298" spans="1:7">
      <c r="A12298">
        <v>12297</v>
      </c>
      <c r="B12298" t="str">
        <f>"022772"</f>
        <v>0</v>
      </c>
      <c r="C12298" t="s">
        <v>7858</v>
      </c>
      <c r="D12298" t="s">
        <v>18041</v>
      </c>
      <c r="E12298" t="str">
        <f>"1549900004799"</f>
        <v>0</v>
      </c>
      <c r="F12298" t="str">
        <f>"007010"</f>
        <v>0</v>
      </c>
      <c r="G12298" t="s">
        <v>21</v>
      </c>
    </row>
    <row r="12299" spans="1:7">
      <c r="A12299">
        <v>12298</v>
      </c>
      <c r="B12299" t="str">
        <f>"021557"</f>
        <v>0</v>
      </c>
      <c r="C12299" t="s">
        <v>6503</v>
      </c>
      <c r="D12299" t="s">
        <v>18042</v>
      </c>
      <c r="E12299" t="str">
        <f>"1579900044901"</f>
        <v>0</v>
      </c>
      <c r="F12299" t="str">
        <f>"007010"</f>
        <v>0</v>
      </c>
      <c r="G12299" t="s">
        <v>21</v>
      </c>
    </row>
    <row r="12300" spans="1:7">
      <c r="A12300">
        <v>12299</v>
      </c>
      <c r="B12300" t="str">
        <f>"014749"</f>
        <v>0</v>
      </c>
      <c r="C12300" t="s">
        <v>14256</v>
      </c>
      <c r="D12300" t="s">
        <v>18043</v>
      </c>
      <c r="E12300" t="str">
        <f>"3650800716441"</f>
        <v>0</v>
      </c>
      <c r="F12300" t="str">
        <f>"007010"</f>
        <v>0</v>
      </c>
      <c r="G12300" t="s">
        <v>21</v>
      </c>
    </row>
    <row r="12301" spans="1:7">
      <c r="A12301">
        <v>12300</v>
      </c>
      <c r="B12301" t="str">
        <f>"014936"</f>
        <v>0</v>
      </c>
      <c r="C12301" t="s">
        <v>18044</v>
      </c>
      <c r="D12301" t="s">
        <v>18045</v>
      </c>
      <c r="E12301" t="str">
        <f>"3180200114097"</f>
        <v>0</v>
      </c>
      <c r="F12301" t="str">
        <f>"007010"</f>
        <v>0</v>
      </c>
      <c r="G12301" t="s">
        <v>21</v>
      </c>
    </row>
    <row r="12302" spans="1:7">
      <c r="A12302">
        <v>12301</v>
      </c>
      <c r="B12302" t="str">
        <f>"016687"</f>
        <v>0</v>
      </c>
      <c r="C12302" t="s">
        <v>18046</v>
      </c>
      <c r="D12302" t="s">
        <v>14952</v>
      </c>
      <c r="E12302" t="str">
        <f>"3180400368343"</f>
        <v>0</v>
      </c>
      <c r="F12302" t="str">
        <f>"007010"</f>
        <v>0</v>
      </c>
      <c r="G12302" t="s">
        <v>21</v>
      </c>
    </row>
    <row r="12303" spans="1:7">
      <c r="A12303">
        <v>12302</v>
      </c>
      <c r="B12303" t="str">
        <f>"020397"</f>
        <v>0</v>
      </c>
      <c r="C12303" t="s">
        <v>18047</v>
      </c>
      <c r="D12303" t="s">
        <v>15040</v>
      </c>
      <c r="E12303" t="str">
        <f>"3509900414543"</f>
        <v>0</v>
      </c>
      <c r="F12303" t="str">
        <f>"007010"</f>
        <v>0</v>
      </c>
      <c r="G12303" t="s">
        <v>21</v>
      </c>
    </row>
    <row r="12304" spans="1:7">
      <c r="A12304">
        <v>12303</v>
      </c>
      <c r="B12304" t="str">
        <f>"025022"</f>
        <v>0</v>
      </c>
      <c r="C12304" t="s">
        <v>18048</v>
      </c>
      <c r="D12304" t="s">
        <v>18049</v>
      </c>
      <c r="E12304" t="str">
        <f>"3501400403651"</f>
        <v>0</v>
      </c>
      <c r="F12304" t="str">
        <f>"007010"</f>
        <v>0</v>
      </c>
      <c r="G12304" t="s">
        <v>21</v>
      </c>
    </row>
    <row r="12305" spans="1:7">
      <c r="A12305">
        <v>12304</v>
      </c>
      <c r="B12305" t="str">
        <f>"024345"</f>
        <v>0</v>
      </c>
      <c r="C12305" t="s">
        <v>5757</v>
      </c>
      <c r="D12305" t="s">
        <v>18050</v>
      </c>
      <c r="E12305" t="str">
        <f>"3540200083848"</f>
        <v>0</v>
      </c>
      <c r="F12305" t="str">
        <f>"007010"</f>
        <v>0</v>
      </c>
      <c r="G12305" t="s">
        <v>21</v>
      </c>
    </row>
    <row r="12306" spans="1:7">
      <c r="A12306">
        <v>12305</v>
      </c>
      <c r="B12306" t="str">
        <f>"014931"</f>
        <v>0</v>
      </c>
      <c r="C12306" t="s">
        <v>993</v>
      </c>
      <c r="D12306" t="s">
        <v>18051</v>
      </c>
      <c r="E12306" t="str">
        <f>"3550100649653"</f>
        <v>0</v>
      </c>
      <c r="F12306" t="str">
        <f>"007010"</f>
        <v>0</v>
      </c>
      <c r="G12306" t="s">
        <v>21</v>
      </c>
    </row>
    <row r="12307" spans="1:7">
      <c r="A12307">
        <v>12306</v>
      </c>
      <c r="B12307" t="str">
        <f>"014933"</f>
        <v>0</v>
      </c>
      <c r="C12307" t="s">
        <v>4041</v>
      </c>
      <c r="D12307" t="s">
        <v>6094</v>
      </c>
      <c r="E12307" t="str">
        <f>"3600100028879"</f>
        <v>0</v>
      </c>
      <c r="F12307" t="str">
        <f>"007010"</f>
        <v>0</v>
      </c>
      <c r="G12307" t="s">
        <v>21</v>
      </c>
    </row>
    <row r="12308" spans="1:7">
      <c r="A12308">
        <v>12307</v>
      </c>
      <c r="B12308" t="str">
        <f>"015069"</f>
        <v>0</v>
      </c>
      <c r="C12308" t="s">
        <v>5091</v>
      </c>
      <c r="D12308" t="s">
        <v>17823</v>
      </c>
      <c r="E12308" t="str">
        <f>"3610100326675"</f>
        <v>0</v>
      </c>
      <c r="F12308" t="str">
        <f>"007010"</f>
        <v>0</v>
      </c>
      <c r="G12308" t="s">
        <v>21</v>
      </c>
    </row>
    <row r="12309" spans="1:7">
      <c r="A12309">
        <v>12308</v>
      </c>
      <c r="B12309" t="str">
        <f>"015070"</f>
        <v>0</v>
      </c>
      <c r="C12309" t="s">
        <v>11727</v>
      </c>
      <c r="D12309" t="s">
        <v>18052</v>
      </c>
      <c r="E12309" t="str">
        <f>"3600100132935"</f>
        <v>0</v>
      </c>
      <c r="F12309" t="str">
        <f>"007010"</f>
        <v>0</v>
      </c>
      <c r="G12309" t="s">
        <v>21</v>
      </c>
    </row>
    <row r="12310" spans="1:7">
      <c r="A12310">
        <v>12309</v>
      </c>
      <c r="B12310" t="str">
        <f>"018472"</f>
        <v>0</v>
      </c>
      <c r="C12310" t="s">
        <v>1597</v>
      </c>
      <c r="D12310" t="s">
        <v>18053</v>
      </c>
      <c r="E12310" t="str">
        <f>"3609900151401"</f>
        <v>0</v>
      </c>
      <c r="F12310" t="str">
        <f>"007010"</f>
        <v>0</v>
      </c>
      <c r="G12310" t="s">
        <v>21</v>
      </c>
    </row>
    <row r="12311" spans="1:7">
      <c r="A12311">
        <v>12310</v>
      </c>
      <c r="B12311" t="str">
        <f>"018541"</f>
        <v>0</v>
      </c>
      <c r="C12311" t="s">
        <v>18054</v>
      </c>
      <c r="D12311" t="s">
        <v>17608</v>
      </c>
      <c r="E12311" t="str">
        <f>"3600100131017"</f>
        <v>0</v>
      </c>
      <c r="F12311" t="str">
        <f>"007010"</f>
        <v>0</v>
      </c>
      <c r="G12311" t="s">
        <v>21</v>
      </c>
    </row>
    <row r="12312" spans="1:7">
      <c r="A12312">
        <v>12311</v>
      </c>
      <c r="B12312" t="str">
        <f>"023134"</f>
        <v>0</v>
      </c>
      <c r="C12312" t="s">
        <v>17331</v>
      </c>
      <c r="D12312" t="s">
        <v>18055</v>
      </c>
      <c r="E12312" t="str">
        <f>"3600300257006"</f>
        <v>0</v>
      </c>
      <c r="F12312" t="str">
        <f>"007010"</f>
        <v>0</v>
      </c>
      <c r="G12312" t="s">
        <v>21</v>
      </c>
    </row>
    <row r="12313" spans="1:7">
      <c r="A12313">
        <v>12312</v>
      </c>
      <c r="B12313" t="str">
        <f>"023985"</f>
        <v>0</v>
      </c>
      <c r="C12313" t="s">
        <v>18056</v>
      </c>
      <c r="D12313" t="s">
        <v>18057</v>
      </c>
      <c r="E12313" t="str">
        <f>"1600100058861"</f>
        <v>0</v>
      </c>
      <c r="F12313" t="str">
        <f>"007010"</f>
        <v>0</v>
      </c>
      <c r="G12313" t="s">
        <v>21</v>
      </c>
    </row>
    <row r="12314" spans="1:7">
      <c r="A12314">
        <v>12313</v>
      </c>
      <c r="B12314" t="str">
        <f>"014934"</f>
        <v>0</v>
      </c>
      <c r="C12314" t="s">
        <v>4341</v>
      </c>
      <c r="D12314" t="s">
        <v>2344</v>
      </c>
      <c r="E12314" t="str">
        <f>"3610100008908"</f>
        <v>0</v>
      </c>
      <c r="F12314" t="str">
        <f>"007010"</f>
        <v>0</v>
      </c>
      <c r="G12314" t="s">
        <v>21</v>
      </c>
    </row>
    <row r="12315" spans="1:7">
      <c r="A12315">
        <v>12314</v>
      </c>
      <c r="B12315" t="str">
        <f>"018504"</f>
        <v>0</v>
      </c>
      <c r="C12315" t="s">
        <v>1216</v>
      </c>
      <c r="D12315" t="s">
        <v>5703</v>
      </c>
      <c r="E12315" t="str">
        <f>"3660100445747"</f>
        <v>0</v>
      </c>
      <c r="F12315" t="str">
        <f>"007010"</f>
        <v>0</v>
      </c>
      <c r="G12315" t="s">
        <v>21</v>
      </c>
    </row>
    <row r="12316" spans="1:7">
      <c r="A12316">
        <v>12315</v>
      </c>
      <c r="B12316" t="str">
        <f>"025369"</f>
        <v>0</v>
      </c>
      <c r="C12316" t="s">
        <v>18058</v>
      </c>
      <c r="D12316" t="s">
        <v>18059</v>
      </c>
      <c r="E12316" t="str">
        <f>"1719900195291"</f>
        <v>0</v>
      </c>
      <c r="F12316" t="str">
        <f>"007010"</f>
        <v>0</v>
      </c>
      <c r="G12316" t="s">
        <v>21</v>
      </c>
    </row>
    <row r="12317" spans="1:7">
      <c r="A12317">
        <v>12316</v>
      </c>
      <c r="B12317" t="str">
        <f>"024297"</f>
        <v>0</v>
      </c>
      <c r="C12317" t="s">
        <v>15227</v>
      </c>
      <c r="D12317" t="s">
        <v>18060</v>
      </c>
      <c r="E12317" t="str">
        <f>"3310700882261"</f>
        <v>0</v>
      </c>
      <c r="F12317" t="str">
        <f>"007010"</f>
        <v>0</v>
      </c>
      <c r="G12317" t="s">
        <v>21</v>
      </c>
    </row>
    <row r="12318" spans="1:7">
      <c r="A12318">
        <v>12317</v>
      </c>
      <c r="B12318" t="str">
        <f>"023523"</f>
        <v>0</v>
      </c>
      <c r="C12318" t="s">
        <v>18061</v>
      </c>
      <c r="D12318" t="s">
        <v>18062</v>
      </c>
      <c r="E12318" t="str">
        <f>"3310101714043"</f>
        <v>0</v>
      </c>
      <c r="F12318" t="str">
        <f>"007010"</f>
        <v>0</v>
      </c>
      <c r="G12318" t="s">
        <v>21</v>
      </c>
    </row>
    <row r="12319" spans="1:7">
      <c r="A12319">
        <v>12318</v>
      </c>
      <c r="B12319" t="str">
        <f>"014591"</f>
        <v>0</v>
      </c>
      <c r="C12319" t="s">
        <v>18063</v>
      </c>
      <c r="D12319" t="s">
        <v>18064</v>
      </c>
      <c r="E12319" t="str">
        <f>"3310100007955"</f>
        <v>0</v>
      </c>
      <c r="F12319" t="str">
        <f>"007010"</f>
        <v>0</v>
      </c>
      <c r="G12319" t="s">
        <v>21</v>
      </c>
    </row>
    <row r="12320" spans="1:7">
      <c r="A12320">
        <v>12319</v>
      </c>
      <c r="B12320" t="str">
        <f>"014605"</f>
        <v>0</v>
      </c>
      <c r="C12320" t="s">
        <v>18065</v>
      </c>
      <c r="D12320" t="s">
        <v>18066</v>
      </c>
      <c r="E12320" t="str">
        <f>"3320500183785"</f>
        <v>0</v>
      </c>
      <c r="F12320" t="str">
        <f>"007010"</f>
        <v>0</v>
      </c>
      <c r="G12320" t="s">
        <v>21</v>
      </c>
    </row>
    <row r="12321" spans="1:7">
      <c r="A12321">
        <v>12320</v>
      </c>
      <c r="B12321" t="str">
        <f>"014611"</f>
        <v>0</v>
      </c>
      <c r="C12321" t="s">
        <v>2014</v>
      </c>
      <c r="D12321" t="s">
        <v>18067</v>
      </c>
      <c r="E12321" t="str">
        <f>"3320500018261"</f>
        <v>0</v>
      </c>
      <c r="F12321" t="str">
        <f>"007010"</f>
        <v>0</v>
      </c>
      <c r="G12321" t="s">
        <v>21</v>
      </c>
    </row>
    <row r="12322" spans="1:7">
      <c r="A12322">
        <v>12321</v>
      </c>
      <c r="B12322" t="str">
        <f>"014617"</f>
        <v>0</v>
      </c>
      <c r="C12322" t="s">
        <v>1021</v>
      </c>
      <c r="D12322" t="s">
        <v>18068</v>
      </c>
      <c r="E12322" t="str">
        <f>"5320100077356"</f>
        <v>0</v>
      </c>
      <c r="F12322" t="str">
        <f>"007010"</f>
        <v>0</v>
      </c>
      <c r="G12322" t="s">
        <v>21</v>
      </c>
    </row>
    <row r="12323" spans="1:7">
      <c r="A12323">
        <v>12322</v>
      </c>
      <c r="B12323" t="str">
        <f>"014618"</f>
        <v>0</v>
      </c>
      <c r="C12323" t="s">
        <v>1003</v>
      </c>
      <c r="D12323" t="s">
        <v>18069</v>
      </c>
      <c r="E12323" t="str">
        <f>"3320101488957"</f>
        <v>0</v>
      </c>
      <c r="F12323" t="str">
        <f>"007010"</f>
        <v>0</v>
      </c>
      <c r="G12323" t="s">
        <v>21</v>
      </c>
    </row>
    <row r="12324" spans="1:7">
      <c r="A12324">
        <v>12323</v>
      </c>
      <c r="B12324" t="str">
        <f>"014619"</f>
        <v>0</v>
      </c>
      <c r="C12324" t="s">
        <v>7633</v>
      </c>
      <c r="D12324" t="s">
        <v>18070</v>
      </c>
      <c r="E12324" t="str">
        <f>"3320101068991"</f>
        <v>0</v>
      </c>
      <c r="F12324" t="str">
        <f>"007010"</f>
        <v>0</v>
      </c>
      <c r="G12324" t="s">
        <v>21</v>
      </c>
    </row>
    <row r="12325" spans="1:7">
      <c r="A12325">
        <v>12324</v>
      </c>
      <c r="B12325" t="str">
        <f>"014620"</f>
        <v>0</v>
      </c>
      <c r="C12325" t="s">
        <v>18071</v>
      </c>
      <c r="D12325" t="s">
        <v>18072</v>
      </c>
      <c r="E12325" t="str">
        <f>"3320101114348"</f>
        <v>0</v>
      </c>
      <c r="F12325" t="str">
        <f>"007010"</f>
        <v>0</v>
      </c>
      <c r="G12325" t="s">
        <v>21</v>
      </c>
    </row>
    <row r="12326" spans="1:7">
      <c r="A12326">
        <v>12325</v>
      </c>
      <c r="B12326" t="str">
        <f>"014752"</f>
        <v>0</v>
      </c>
      <c r="C12326" t="s">
        <v>2551</v>
      </c>
      <c r="D12326" t="s">
        <v>18073</v>
      </c>
      <c r="E12326" t="str">
        <f>"3320900137187"</f>
        <v>0</v>
      </c>
      <c r="F12326" t="str">
        <f>"007010"</f>
        <v>0</v>
      </c>
      <c r="G12326" t="s">
        <v>21</v>
      </c>
    </row>
    <row r="12327" spans="1:7">
      <c r="A12327">
        <v>12326</v>
      </c>
      <c r="B12327" t="str">
        <f>"014860"</f>
        <v>0</v>
      </c>
      <c r="C12327" t="s">
        <v>18074</v>
      </c>
      <c r="D12327" t="s">
        <v>18075</v>
      </c>
      <c r="E12327" t="str">
        <f>"3320501250176"</f>
        <v>0</v>
      </c>
      <c r="F12327" t="str">
        <f>"007010"</f>
        <v>0</v>
      </c>
      <c r="G12327" t="s">
        <v>21</v>
      </c>
    </row>
    <row r="12328" spans="1:7">
      <c r="A12328">
        <v>12327</v>
      </c>
      <c r="B12328" t="str">
        <f>"015582"</f>
        <v>0</v>
      </c>
      <c r="C12328" t="s">
        <v>3620</v>
      </c>
      <c r="D12328" t="s">
        <v>10922</v>
      </c>
      <c r="E12328" t="str">
        <f>"3320500513645"</f>
        <v>0</v>
      </c>
      <c r="F12328" t="str">
        <f>"007010"</f>
        <v>0</v>
      </c>
      <c r="G12328" t="s">
        <v>21</v>
      </c>
    </row>
    <row r="12329" spans="1:7">
      <c r="A12329">
        <v>12328</v>
      </c>
      <c r="B12329" t="str">
        <f>"016720"</f>
        <v>0</v>
      </c>
      <c r="C12329" t="s">
        <v>12870</v>
      </c>
      <c r="D12329" t="s">
        <v>18076</v>
      </c>
      <c r="E12329" t="str">
        <f>"3320101550547"</f>
        <v>0</v>
      </c>
      <c r="F12329" t="str">
        <f>"007010"</f>
        <v>0</v>
      </c>
      <c r="G12329" t="s">
        <v>21</v>
      </c>
    </row>
    <row r="12330" spans="1:7">
      <c r="A12330">
        <v>12329</v>
      </c>
      <c r="B12330" t="str">
        <f>"016721"</f>
        <v>0</v>
      </c>
      <c r="C12330" t="s">
        <v>18077</v>
      </c>
      <c r="D12330" t="s">
        <v>18078</v>
      </c>
      <c r="E12330" t="str">
        <f>"3320101071720"</f>
        <v>0</v>
      </c>
      <c r="F12330" t="str">
        <f>"007010"</f>
        <v>0</v>
      </c>
      <c r="G12330" t="s">
        <v>21</v>
      </c>
    </row>
    <row r="12331" spans="1:7">
      <c r="A12331">
        <v>12330</v>
      </c>
      <c r="B12331" t="str">
        <f>"017792"</f>
        <v>0</v>
      </c>
      <c r="C12331" t="s">
        <v>18079</v>
      </c>
      <c r="D12331" t="s">
        <v>18066</v>
      </c>
      <c r="E12331" t="str">
        <f>"3320500183793"</f>
        <v>0</v>
      </c>
      <c r="F12331" t="str">
        <f>"007010"</f>
        <v>0</v>
      </c>
      <c r="G12331" t="s">
        <v>21</v>
      </c>
    </row>
    <row r="12332" spans="1:7">
      <c r="A12332">
        <v>12331</v>
      </c>
      <c r="B12332" t="str">
        <f>"018132"</f>
        <v>0</v>
      </c>
      <c r="C12332" t="s">
        <v>3638</v>
      </c>
      <c r="D12332" t="s">
        <v>18080</v>
      </c>
      <c r="E12332" t="str">
        <f>"3320500020428"</f>
        <v>0</v>
      </c>
      <c r="F12332" t="str">
        <f>"007010"</f>
        <v>0</v>
      </c>
      <c r="G12332" t="s">
        <v>21</v>
      </c>
    </row>
    <row r="12333" spans="1:7">
      <c r="A12333">
        <v>12332</v>
      </c>
      <c r="B12333" t="str">
        <f>"018232"</f>
        <v>0</v>
      </c>
      <c r="C12333" t="s">
        <v>10836</v>
      </c>
      <c r="D12333" t="s">
        <v>18081</v>
      </c>
      <c r="E12333" t="str">
        <f>"3740200228011"</f>
        <v>0</v>
      </c>
      <c r="F12333" t="str">
        <f>"007010"</f>
        <v>0</v>
      </c>
      <c r="G12333" t="s">
        <v>21</v>
      </c>
    </row>
    <row r="12334" spans="1:7">
      <c r="A12334">
        <v>12333</v>
      </c>
      <c r="B12334" t="str">
        <f>"018663"</f>
        <v>0</v>
      </c>
      <c r="C12334" t="s">
        <v>18082</v>
      </c>
      <c r="D12334" t="s">
        <v>18066</v>
      </c>
      <c r="E12334" t="str">
        <f>"3320500185681"</f>
        <v>0</v>
      </c>
      <c r="F12334" t="str">
        <f>"007010"</f>
        <v>0</v>
      </c>
      <c r="G12334" t="s">
        <v>21</v>
      </c>
    </row>
    <row r="12335" spans="1:7">
      <c r="A12335">
        <v>12334</v>
      </c>
      <c r="B12335" t="str">
        <f>"018664"</f>
        <v>0</v>
      </c>
      <c r="C12335" t="s">
        <v>2579</v>
      </c>
      <c r="D12335" t="s">
        <v>18083</v>
      </c>
      <c r="E12335" t="str">
        <f>"3440500124460"</f>
        <v>0</v>
      </c>
      <c r="F12335" t="str">
        <f>"007010"</f>
        <v>0</v>
      </c>
      <c r="G12335" t="s">
        <v>21</v>
      </c>
    </row>
    <row r="12336" spans="1:7">
      <c r="A12336">
        <v>12335</v>
      </c>
      <c r="B12336" t="str">
        <f>"020176"</f>
        <v>0</v>
      </c>
      <c r="C12336" t="s">
        <v>5116</v>
      </c>
      <c r="D12336" t="s">
        <v>7958</v>
      </c>
      <c r="E12336" t="str">
        <f>"3329900064536"</f>
        <v>0</v>
      </c>
      <c r="F12336" t="str">
        <f>"007010"</f>
        <v>0</v>
      </c>
      <c r="G12336" t="s">
        <v>21</v>
      </c>
    </row>
    <row r="12337" spans="1:7">
      <c r="A12337">
        <v>12336</v>
      </c>
      <c r="B12337" t="str">
        <f>"020335"</f>
        <v>0</v>
      </c>
      <c r="C12337" t="s">
        <v>18084</v>
      </c>
      <c r="D12337" t="s">
        <v>15757</v>
      </c>
      <c r="E12337" t="str">
        <f>"3320100840738"</f>
        <v>0</v>
      </c>
      <c r="F12337" t="str">
        <f>"007010"</f>
        <v>0</v>
      </c>
      <c r="G12337" t="s">
        <v>21</v>
      </c>
    </row>
    <row r="12338" spans="1:7">
      <c r="A12338">
        <v>12337</v>
      </c>
      <c r="B12338" t="str">
        <f>"020460"</f>
        <v>0</v>
      </c>
      <c r="C12338" t="s">
        <v>4771</v>
      </c>
      <c r="D12338" t="s">
        <v>18085</v>
      </c>
      <c r="E12338" t="str">
        <f>"3320400053316"</f>
        <v>0</v>
      </c>
      <c r="F12338" t="str">
        <f>"007010"</f>
        <v>0</v>
      </c>
      <c r="G12338" t="s">
        <v>21</v>
      </c>
    </row>
    <row r="12339" spans="1:7">
      <c r="A12339">
        <v>12338</v>
      </c>
      <c r="B12339" t="str">
        <f>"021541"</f>
        <v>0</v>
      </c>
      <c r="C12339" t="s">
        <v>18086</v>
      </c>
      <c r="D12339" t="s">
        <v>18087</v>
      </c>
      <c r="E12339" t="str">
        <f>"3320400111596"</f>
        <v>0</v>
      </c>
      <c r="F12339" t="str">
        <f>"007010"</f>
        <v>0</v>
      </c>
      <c r="G12339" t="s">
        <v>21</v>
      </c>
    </row>
    <row r="12340" spans="1:7">
      <c r="A12340">
        <v>12339</v>
      </c>
      <c r="B12340" t="str">
        <f>"023228"</f>
        <v>0</v>
      </c>
      <c r="C12340" t="s">
        <v>18088</v>
      </c>
      <c r="D12340" t="s">
        <v>18089</v>
      </c>
      <c r="E12340" t="str">
        <f>"3320500874681"</f>
        <v>0</v>
      </c>
      <c r="F12340" t="str">
        <f>"007010"</f>
        <v>0</v>
      </c>
      <c r="G12340" t="s">
        <v>21</v>
      </c>
    </row>
    <row r="12341" spans="1:7">
      <c r="A12341">
        <v>12340</v>
      </c>
      <c r="B12341" t="str">
        <f>"025731"</f>
        <v>0</v>
      </c>
      <c r="C12341" t="s">
        <v>11926</v>
      </c>
      <c r="D12341" t="s">
        <v>18090</v>
      </c>
      <c r="E12341" t="str">
        <f>"1329900140945"</f>
        <v>0</v>
      </c>
      <c r="F12341" t="str">
        <f>"007010"</f>
        <v>0</v>
      </c>
      <c r="G12341" t="s">
        <v>21</v>
      </c>
    </row>
    <row r="12342" spans="1:7">
      <c r="A12342">
        <v>12341</v>
      </c>
      <c r="B12342" t="str">
        <f>"022540"</f>
        <v>0</v>
      </c>
      <c r="C12342" t="s">
        <v>18091</v>
      </c>
      <c r="D12342" t="s">
        <v>18092</v>
      </c>
      <c r="E12342" t="str">
        <f>"2330800020425"</f>
        <v>0</v>
      </c>
      <c r="F12342" t="str">
        <f>"007010"</f>
        <v>0</v>
      </c>
      <c r="G12342" t="s">
        <v>21</v>
      </c>
    </row>
    <row r="12343" spans="1:7">
      <c r="A12343">
        <v>12342</v>
      </c>
      <c r="B12343" t="str">
        <f>"013956"</f>
        <v>0</v>
      </c>
      <c r="C12343" t="s">
        <v>9801</v>
      </c>
      <c r="D12343" t="s">
        <v>18093</v>
      </c>
      <c r="E12343" t="str">
        <f>"3340701457700"</f>
        <v>0</v>
      </c>
      <c r="F12343" t="str">
        <f>"007010"</f>
        <v>0</v>
      </c>
      <c r="G12343" t="s">
        <v>21</v>
      </c>
    </row>
    <row r="12344" spans="1:7">
      <c r="A12344">
        <v>12343</v>
      </c>
      <c r="B12344" t="str">
        <f>"022226"</f>
        <v>0</v>
      </c>
      <c r="C12344" t="s">
        <v>13768</v>
      </c>
      <c r="D12344" t="s">
        <v>18094</v>
      </c>
      <c r="E12344" t="str">
        <f>"1349900132225"</f>
        <v>0</v>
      </c>
      <c r="F12344" t="str">
        <f>"007010"</f>
        <v>0</v>
      </c>
      <c r="G12344" t="s">
        <v>21</v>
      </c>
    </row>
    <row r="12345" spans="1:7">
      <c r="A12345">
        <v>12344</v>
      </c>
      <c r="B12345" t="str">
        <f>"014630"</f>
        <v>0</v>
      </c>
      <c r="C12345" t="s">
        <v>4595</v>
      </c>
      <c r="D12345" t="s">
        <v>18095</v>
      </c>
      <c r="E12345" t="str">
        <f>"3400700057383"</f>
        <v>0</v>
      </c>
      <c r="F12345" t="str">
        <f>"007010"</f>
        <v>0</v>
      </c>
      <c r="G12345" t="s">
        <v>21</v>
      </c>
    </row>
    <row r="12346" spans="1:7">
      <c r="A12346">
        <v>12345</v>
      </c>
      <c r="B12346" t="str">
        <f>"014861"</f>
        <v>0</v>
      </c>
      <c r="C12346" t="s">
        <v>18096</v>
      </c>
      <c r="D12346" t="s">
        <v>18097</v>
      </c>
      <c r="E12346" t="str">
        <f>"3401400318018"</f>
        <v>0</v>
      </c>
      <c r="F12346" t="str">
        <f>"007010"</f>
        <v>0</v>
      </c>
      <c r="G12346" t="s">
        <v>21</v>
      </c>
    </row>
    <row r="12347" spans="1:7">
      <c r="A12347">
        <v>12346</v>
      </c>
      <c r="B12347" t="str">
        <f>"014864"</f>
        <v>0</v>
      </c>
      <c r="C12347" t="s">
        <v>336</v>
      </c>
      <c r="D12347" t="s">
        <v>18098</v>
      </c>
      <c r="E12347" t="str">
        <f>"3400100780157"</f>
        <v>0</v>
      </c>
      <c r="F12347" t="str">
        <f>"007010"</f>
        <v>0</v>
      </c>
      <c r="G12347" t="s">
        <v>21</v>
      </c>
    </row>
    <row r="12348" spans="1:7">
      <c r="A12348">
        <v>12347</v>
      </c>
      <c r="B12348" t="str">
        <f>"014981"</f>
        <v>0</v>
      </c>
      <c r="C12348" t="s">
        <v>18099</v>
      </c>
      <c r="D12348" t="s">
        <v>2924</v>
      </c>
      <c r="E12348" t="str">
        <f>"3400100911502"</f>
        <v>0</v>
      </c>
      <c r="F12348" t="str">
        <f>"007010"</f>
        <v>0</v>
      </c>
      <c r="G12348" t="s">
        <v>21</v>
      </c>
    </row>
    <row r="12349" spans="1:7">
      <c r="A12349">
        <v>12348</v>
      </c>
      <c r="B12349" t="str">
        <f>"015415"</f>
        <v>0</v>
      </c>
      <c r="C12349" t="s">
        <v>18100</v>
      </c>
      <c r="D12349" t="s">
        <v>18101</v>
      </c>
      <c r="E12349" t="str">
        <f>"3400100779744"</f>
        <v>0</v>
      </c>
      <c r="F12349" t="str">
        <f>"007010"</f>
        <v>0</v>
      </c>
      <c r="G12349" t="s">
        <v>21</v>
      </c>
    </row>
    <row r="12350" spans="1:7">
      <c r="A12350">
        <v>12349</v>
      </c>
      <c r="B12350" t="str">
        <f>"015483"</f>
        <v>0</v>
      </c>
      <c r="C12350" t="s">
        <v>18102</v>
      </c>
      <c r="D12350" t="s">
        <v>18103</v>
      </c>
      <c r="E12350" t="str">
        <f>"3400100778926"</f>
        <v>0</v>
      </c>
      <c r="F12350" t="str">
        <f>"007010"</f>
        <v>0</v>
      </c>
      <c r="G12350" t="s">
        <v>21</v>
      </c>
    </row>
    <row r="12351" spans="1:7">
      <c r="A12351">
        <v>12350</v>
      </c>
      <c r="B12351" t="str">
        <f>"015649"</f>
        <v>0</v>
      </c>
      <c r="C12351" t="s">
        <v>18104</v>
      </c>
      <c r="D12351" t="s">
        <v>18105</v>
      </c>
      <c r="E12351" t="str">
        <f>"3400100521089"</f>
        <v>0</v>
      </c>
      <c r="F12351" t="str">
        <f>"007010"</f>
        <v>0</v>
      </c>
      <c r="G12351" t="s">
        <v>21</v>
      </c>
    </row>
    <row r="12352" spans="1:7">
      <c r="A12352">
        <v>12351</v>
      </c>
      <c r="B12352" t="str">
        <f>"015654"</f>
        <v>0</v>
      </c>
      <c r="C12352" t="s">
        <v>5340</v>
      </c>
      <c r="D12352" t="s">
        <v>18106</v>
      </c>
      <c r="E12352" t="str">
        <f>"3409900565780"</f>
        <v>0</v>
      </c>
      <c r="F12352" t="str">
        <f>"007010"</f>
        <v>0</v>
      </c>
      <c r="G12352" t="s">
        <v>21</v>
      </c>
    </row>
    <row r="12353" spans="1:7">
      <c r="A12353">
        <v>12352</v>
      </c>
      <c r="B12353" t="str">
        <f>"016376"</f>
        <v>0</v>
      </c>
      <c r="C12353" t="s">
        <v>18107</v>
      </c>
      <c r="D12353" t="s">
        <v>18108</v>
      </c>
      <c r="E12353" t="str">
        <f>"3400100996125"</f>
        <v>0</v>
      </c>
      <c r="F12353" t="str">
        <f>"007010"</f>
        <v>0</v>
      </c>
      <c r="G12353" t="s">
        <v>21</v>
      </c>
    </row>
    <row r="12354" spans="1:7">
      <c r="A12354">
        <v>12353</v>
      </c>
      <c r="B12354" t="str">
        <f>"016500"</f>
        <v>0</v>
      </c>
      <c r="C12354" t="s">
        <v>1960</v>
      </c>
      <c r="D12354" t="s">
        <v>18109</v>
      </c>
      <c r="E12354" t="str">
        <f>"3400100943579"</f>
        <v>0</v>
      </c>
      <c r="F12354" t="str">
        <f>"007010"</f>
        <v>0</v>
      </c>
      <c r="G12354" t="s">
        <v>21</v>
      </c>
    </row>
    <row r="12355" spans="1:7">
      <c r="A12355">
        <v>12354</v>
      </c>
      <c r="B12355" t="str">
        <f>"017117"</f>
        <v>0</v>
      </c>
      <c r="C12355" t="s">
        <v>10831</v>
      </c>
      <c r="D12355" t="s">
        <v>18110</v>
      </c>
      <c r="E12355" t="str">
        <f>"3100500126759"</f>
        <v>0</v>
      </c>
      <c r="F12355" t="str">
        <f>"007010"</f>
        <v>0</v>
      </c>
      <c r="G12355" t="s">
        <v>21</v>
      </c>
    </row>
    <row r="12356" spans="1:7">
      <c r="A12356">
        <v>12355</v>
      </c>
      <c r="B12356" t="str">
        <f>"018002"</f>
        <v>0</v>
      </c>
      <c r="C12356" t="s">
        <v>18111</v>
      </c>
      <c r="D12356" t="s">
        <v>18112</v>
      </c>
      <c r="E12356" t="str">
        <f>"3409901102228"</f>
        <v>0</v>
      </c>
      <c r="F12356" t="str">
        <f>"007010"</f>
        <v>0</v>
      </c>
      <c r="G12356" t="s">
        <v>21</v>
      </c>
    </row>
    <row r="12357" spans="1:7">
      <c r="A12357">
        <v>12356</v>
      </c>
      <c r="B12357" t="str">
        <f>"018147"</f>
        <v>0</v>
      </c>
      <c r="C12357" t="s">
        <v>707</v>
      </c>
      <c r="D12357" t="s">
        <v>18113</v>
      </c>
      <c r="E12357" t="str">
        <f>"3409900018797"</f>
        <v>0</v>
      </c>
      <c r="F12357" t="str">
        <f>"007010"</f>
        <v>0</v>
      </c>
      <c r="G12357" t="s">
        <v>21</v>
      </c>
    </row>
    <row r="12358" spans="1:7">
      <c r="A12358">
        <v>12357</v>
      </c>
      <c r="B12358" t="str">
        <f>"019565"</f>
        <v>0</v>
      </c>
      <c r="C12358" t="s">
        <v>2749</v>
      </c>
      <c r="D12358" t="s">
        <v>18114</v>
      </c>
      <c r="E12358" t="str">
        <f>"3401700183011"</f>
        <v>0</v>
      </c>
      <c r="F12358" t="str">
        <f>"007010"</f>
        <v>0</v>
      </c>
      <c r="G12358" t="s">
        <v>21</v>
      </c>
    </row>
    <row r="12359" spans="1:7">
      <c r="A12359">
        <v>12358</v>
      </c>
      <c r="B12359" t="str">
        <f>"019954"</f>
        <v>0</v>
      </c>
      <c r="C12359" t="s">
        <v>3765</v>
      </c>
      <c r="D12359" t="s">
        <v>18115</v>
      </c>
      <c r="E12359" t="str">
        <f>"3400101602163"</f>
        <v>0</v>
      </c>
      <c r="F12359" t="str">
        <f>"007010"</f>
        <v>0</v>
      </c>
      <c r="G12359" t="s">
        <v>21</v>
      </c>
    </row>
    <row r="12360" spans="1:7">
      <c r="A12360">
        <v>12359</v>
      </c>
      <c r="B12360" t="str">
        <f>"023525"</f>
        <v>0</v>
      </c>
      <c r="C12360" t="s">
        <v>8239</v>
      </c>
      <c r="D12360" t="s">
        <v>18116</v>
      </c>
      <c r="E12360" t="str">
        <f>"1410900003442"</f>
        <v>0</v>
      </c>
      <c r="F12360" t="str">
        <f>"007010"</f>
        <v>0</v>
      </c>
      <c r="G12360" t="s">
        <v>21</v>
      </c>
    </row>
    <row r="12361" spans="1:7">
      <c r="A12361">
        <v>12360</v>
      </c>
      <c r="B12361" t="str">
        <f>"022227"</f>
        <v>0</v>
      </c>
      <c r="C12361" t="s">
        <v>18117</v>
      </c>
      <c r="D12361" t="s">
        <v>18118</v>
      </c>
      <c r="E12361" t="str">
        <f>"3440500421723"</f>
        <v>0</v>
      </c>
      <c r="F12361" t="str">
        <f>"007010"</f>
        <v>0</v>
      </c>
      <c r="G12361" t="s">
        <v>21</v>
      </c>
    </row>
    <row r="12362" spans="1:7">
      <c r="A12362">
        <v>12361</v>
      </c>
      <c r="B12362" t="str">
        <f>"023526"</f>
        <v>0</v>
      </c>
      <c r="C12362" t="s">
        <v>18119</v>
      </c>
      <c r="D12362" t="s">
        <v>18120</v>
      </c>
      <c r="E12362" t="str">
        <f>"3450200301927"</f>
        <v>0</v>
      </c>
      <c r="F12362" t="str">
        <f>"007010"</f>
        <v>0</v>
      </c>
      <c r="G12362" t="s">
        <v>21</v>
      </c>
    </row>
    <row r="12363" spans="1:7">
      <c r="A12363">
        <v>12362</v>
      </c>
      <c r="B12363" t="str">
        <f>"023524"</f>
        <v>0</v>
      </c>
      <c r="C12363" t="s">
        <v>12927</v>
      </c>
      <c r="D12363" t="s">
        <v>18121</v>
      </c>
      <c r="E12363" t="str">
        <f>"3460900004330"</f>
        <v>0</v>
      </c>
      <c r="F12363" t="str">
        <f>"007010"</f>
        <v>0</v>
      </c>
      <c r="G12363" t="s">
        <v>21</v>
      </c>
    </row>
    <row r="12364" spans="1:7">
      <c r="A12364">
        <v>12363</v>
      </c>
      <c r="B12364" t="str">
        <f>"024272"</f>
        <v>0</v>
      </c>
      <c r="C12364" t="s">
        <v>18122</v>
      </c>
      <c r="D12364" t="s">
        <v>18123</v>
      </c>
      <c r="E12364" t="str">
        <f>"1480690001422"</f>
        <v>0</v>
      </c>
      <c r="F12364" t="str">
        <f>"007010"</f>
        <v>0</v>
      </c>
      <c r="G12364" t="s">
        <v>21</v>
      </c>
    </row>
    <row r="12365" spans="1:7">
      <c r="A12365">
        <v>12364</v>
      </c>
      <c r="B12365" t="str">
        <f>"014002"</f>
        <v>0</v>
      </c>
      <c r="C12365" t="s">
        <v>3419</v>
      </c>
      <c r="D12365" t="s">
        <v>18124</v>
      </c>
      <c r="E12365" t="str">
        <f>"3301300772443"</f>
        <v>0</v>
      </c>
      <c r="F12365" t="str">
        <f>"007010"</f>
        <v>0</v>
      </c>
      <c r="G12365" t="s">
        <v>21</v>
      </c>
    </row>
    <row r="12366" spans="1:7">
      <c r="A12366">
        <v>12365</v>
      </c>
      <c r="B12366" t="str">
        <f>"026461"</f>
        <v>0</v>
      </c>
      <c r="C12366" t="s">
        <v>18125</v>
      </c>
      <c r="D12366" t="s">
        <v>18126</v>
      </c>
      <c r="E12366" t="str">
        <f>"3411900744199"</f>
        <v>0</v>
      </c>
      <c r="F12366" t="str">
        <f>"007010"</f>
        <v>0</v>
      </c>
      <c r="G12366" t="s">
        <v>21</v>
      </c>
    </row>
    <row r="12367" spans="1:7">
      <c r="A12367">
        <v>12366</v>
      </c>
      <c r="B12367" t="str">
        <f>"008523"</f>
        <v>0</v>
      </c>
      <c r="C12367" t="s">
        <v>2298</v>
      </c>
      <c r="D12367" t="s">
        <v>18127</v>
      </c>
      <c r="E12367" t="str">
        <f>"3209600305687"</f>
        <v>0</v>
      </c>
      <c r="F12367" t="str">
        <f>"007010"</f>
        <v>0</v>
      </c>
      <c r="G12367" t="s">
        <v>21</v>
      </c>
    </row>
    <row r="12368" spans="1:7">
      <c r="A12368">
        <v>12367</v>
      </c>
      <c r="B12368" t="str">
        <f>"014622"</f>
        <v>0</v>
      </c>
      <c r="C12368" t="s">
        <v>14773</v>
      </c>
      <c r="D12368" t="s">
        <v>14044</v>
      </c>
      <c r="E12368" t="str">
        <f>"3470101424958"</f>
        <v>0</v>
      </c>
      <c r="F12368" t="str">
        <f>"007010"</f>
        <v>0</v>
      </c>
      <c r="G12368" t="s">
        <v>21</v>
      </c>
    </row>
    <row r="12369" spans="1:7">
      <c r="A12369">
        <v>12368</v>
      </c>
      <c r="B12369" t="str">
        <f>"014625"</f>
        <v>0</v>
      </c>
      <c r="C12369" t="s">
        <v>3354</v>
      </c>
      <c r="D12369" t="s">
        <v>18128</v>
      </c>
      <c r="E12369" t="str">
        <f>"3470500094978"</f>
        <v>0</v>
      </c>
      <c r="F12369" t="str">
        <f>"007010"</f>
        <v>0</v>
      </c>
      <c r="G12369" t="s">
        <v>21</v>
      </c>
    </row>
    <row r="12370" spans="1:7">
      <c r="A12370">
        <v>12369</v>
      </c>
      <c r="B12370" t="str">
        <f>"014626"</f>
        <v>0</v>
      </c>
      <c r="C12370" t="s">
        <v>755</v>
      </c>
      <c r="D12370" t="s">
        <v>18129</v>
      </c>
      <c r="E12370" t="str">
        <f>"3470500073237"</f>
        <v>0</v>
      </c>
      <c r="F12370" t="str">
        <f>"007010"</f>
        <v>0</v>
      </c>
      <c r="G12370" t="s">
        <v>21</v>
      </c>
    </row>
    <row r="12371" spans="1:7">
      <c r="A12371">
        <v>12370</v>
      </c>
      <c r="B12371" t="str">
        <f>"014627"</f>
        <v>0</v>
      </c>
      <c r="C12371" t="s">
        <v>2270</v>
      </c>
      <c r="D12371" t="s">
        <v>359</v>
      </c>
      <c r="E12371" t="str">
        <f>"3470500126233"</f>
        <v>0</v>
      </c>
      <c r="F12371" t="str">
        <f>"007010"</f>
        <v>0</v>
      </c>
      <c r="G12371" t="s">
        <v>21</v>
      </c>
    </row>
    <row r="12372" spans="1:7">
      <c r="A12372">
        <v>12371</v>
      </c>
      <c r="B12372" t="str">
        <f>"014629"</f>
        <v>0</v>
      </c>
      <c r="C12372" t="s">
        <v>18130</v>
      </c>
      <c r="D12372" t="s">
        <v>18131</v>
      </c>
      <c r="E12372" t="str">
        <f>"3470100105000"</f>
        <v>0</v>
      </c>
      <c r="F12372" t="str">
        <f>"007010"</f>
        <v>0</v>
      </c>
      <c r="G12372" t="s">
        <v>21</v>
      </c>
    </row>
    <row r="12373" spans="1:7">
      <c r="A12373">
        <v>12372</v>
      </c>
      <c r="B12373" t="str">
        <f>"014631"</f>
        <v>0</v>
      </c>
      <c r="C12373" t="s">
        <v>4779</v>
      </c>
      <c r="D12373" t="s">
        <v>18132</v>
      </c>
      <c r="E12373" t="str">
        <f>"5470590006425"</f>
        <v>0</v>
      </c>
      <c r="F12373" t="str">
        <f>"007010"</f>
        <v>0</v>
      </c>
      <c r="G12373" t="s">
        <v>21</v>
      </c>
    </row>
    <row r="12374" spans="1:7">
      <c r="A12374">
        <v>12373</v>
      </c>
      <c r="B12374" t="str">
        <f>"014633"</f>
        <v>0</v>
      </c>
      <c r="C12374" t="s">
        <v>411</v>
      </c>
      <c r="D12374" t="s">
        <v>18133</v>
      </c>
      <c r="E12374" t="str">
        <f>"3470800477350"</f>
        <v>0</v>
      </c>
      <c r="F12374" t="str">
        <f>"007010"</f>
        <v>0</v>
      </c>
      <c r="G12374" t="s">
        <v>21</v>
      </c>
    </row>
    <row r="12375" spans="1:7">
      <c r="A12375">
        <v>12374</v>
      </c>
      <c r="B12375" t="str">
        <f>"014636"</f>
        <v>0</v>
      </c>
      <c r="C12375" t="s">
        <v>3812</v>
      </c>
      <c r="D12375" t="s">
        <v>18134</v>
      </c>
      <c r="E12375" t="str">
        <f>"3470500376027"</f>
        <v>0</v>
      </c>
      <c r="F12375" t="str">
        <f>"007010"</f>
        <v>0</v>
      </c>
      <c r="G12375" t="s">
        <v>21</v>
      </c>
    </row>
    <row r="12376" spans="1:7">
      <c r="A12376">
        <v>12375</v>
      </c>
      <c r="B12376" t="str">
        <f>"015315"</f>
        <v>0</v>
      </c>
      <c r="C12376" t="s">
        <v>878</v>
      </c>
      <c r="D12376" t="s">
        <v>18135</v>
      </c>
      <c r="E12376" t="str">
        <f>"3470800965443"</f>
        <v>0</v>
      </c>
      <c r="F12376" t="str">
        <f>"007010"</f>
        <v>0</v>
      </c>
      <c r="G12376" t="s">
        <v>21</v>
      </c>
    </row>
    <row r="12377" spans="1:7">
      <c r="A12377">
        <v>12376</v>
      </c>
      <c r="B12377" t="str">
        <f>"015317"</f>
        <v>0</v>
      </c>
      <c r="C12377" t="s">
        <v>18136</v>
      </c>
      <c r="D12377" t="s">
        <v>18137</v>
      </c>
      <c r="E12377" t="str">
        <f>"3470600028195"</f>
        <v>0</v>
      </c>
      <c r="F12377" t="str">
        <f>"007010"</f>
        <v>0</v>
      </c>
      <c r="G12377" t="s">
        <v>21</v>
      </c>
    </row>
    <row r="12378" spans="1:7">
      <c r="A12378">
        <v>12377</v>
      </c>
      <c r="B12378" t="str">
        <f>"015318"</f>
        <v>0</v>
      </c>
      <c r="C12378" t="s">
        <v>18138</v>
      </c>
      <c r="D12378" t="s">
        <v>18139</v>
      </c>
      <c r="E12378" t="str">
        <f>"3470500079545"</f>
        <v>0</v>
      </c>
      <c r="F12378" t="str">
        <f>"007010"</f>
        <v>0</v>
      </c>
      <c r="G12378" t="s">
        <v>21</v>
      </c>
    </row>
    <row r="12379" spans="1:7">
      <c r="A12379">
        <v>12378</v>
      </c>
      <c r="B12379" t="str">
        <f>"015385"</f>
        <v>0</v>
      </c>
      <c r="C12379" t="s">
        <v>18140</v>
      </c>
      <c r="D12379" t="s">
        <v>18141</v>
      </c>
      <c r="E12379" t="str">
        <f>"3460300578092"</f>
        <v>0</v>
      </c>
      <c r="F12379" t="str">
        <f>"007010"</f>
        <v>0</v>
      </c>
      <c r="G12379" t="s">
        <v>21</v>
      </c>
    </row>
    <row r="12380" spans="1:7">
      <c r="A12380">
        <v>12379</v>
      </c>
      <c r="B12380" t="str">
        <f>"015386"</f>
        <v>0</v>
      </c>
      <c r="C12380" t="s">
        <v>18142</v>
      </c>
      <c r="D12380" t="s">
        <v>14020</v>
      </c>
      <c r="E12380" t="str">
        <f>"3470600012825"</f>
        <v>0</v>
      </c>
      <c r="F12380" t="str">
        <f>"007010"</f>
        <v>0</v>
      </c>
      <c r="G12380" t="s">
        <v>21</v>
      </c>
    </row>
    <row r="12381" spans="1:7">
      <c r="A12381">
        <v>12380</v>
      </c>
      <c r="B12381" t="str">
        <f>"015827"</f>
        <v>0</v>
      </c>
      <c r="C12381" t="s">
        <v>18143</v>
      </c>
      <c r="D12381" t="s">
        <v>18132</v>
      </c>
      <c r="E12381" t="str">
        <f>"3470500106119"</f>
        <v>0</v>
      </c>
      <c r="F12381" t="str">
        <f>"007010"</f>
        <v>0</v>
      </c>
      <c r="G12381" t="s">
        <v>21</v>
      </c>
    </row>
    <row r="12382" spans="1:7">
      <c r="A12382">
        <v>12381</v>
      </c>
      <c r="B12382" t="str">
        <f>"016186"</f>
        <v>0</v>
      </c>
      <c r="C12382" t="s">
        <v>18144</v>
      </c>
      <c r="D12382" t="s">
        <v>18145</v>
      </c>
      <c r="E12382" t="str">
        <f>"3310800448709"</f>
        <v>0</v>
      </c>
      <c r="F12382" t="str">
        <f>"007010"</f>
        <v>0</v>
      </c>
      <c r="G12382" t="s">
        <v>21</v>
      </c>
    </row>
    <row r="12383" spans="1:7">
      <c r="A12383">
        <v>12382</v>
      </c>
      <c r="B12383" t="str">
        <f>"016745"</f>
        <v>0</v>
      </c>
      <c r="C12383" t="s">
        <v>18146</v>
      </c>
      <c r="D12383" t="s">
        <v>18147</v>
      </c>
      <c r="E12383" t="str">
        <f>"3430600109195"</f>
        <v>0</v>
      </c>
      <c r="F12383" t="str">
        <f>"007010"</f>
        <v>0</v>
      </c>
      <c r="G12383" t="s">
        <v>21</v>
      </c>
    </row>
    <row r="12384" spans="1:7">
      <c r="A12384">
        <v>12383</v>
      </c>
      <c r="B12384" t="str">
        <f>"017003"</f>
        <v>0</v>
      </c>
      <c r="C12384" t="s">
        <v>18148</v>
      </c>
      <c r="D12384" t="s">
        <v>18149</v>
      </c>
      <c r="E12384" t="str">
        <f>"3409900357133"</f>
        <v>0</v>
      </c>
      <c r="F12384" t="str">
        <f>"007010"</f>
        <v>0</v>
      </c>
      <c r="G12384" t="s">
        <v>21</v>
      </c>
    </row>
    <row r="12385" spans="1:7">
      <c r="A12385">
        <v>12384</v>
      </c>
      <c r="B12385" t="str">
        <f>"017005"</f>
        <v>0</v>
      </c>
      <c r="C12385" t="s">
        <v>1820</v>
      </c>
      <c r="D12385" t="s">
        <v>18147</v>
      </c>
      <c r="E12385" t="str">
        <f>"3660800404695"</f>
        <v>0</v>
      </c>
      <c r="F12385" t="str">
        <f>"007010"</f>
        <v>0</v>
      </c>
      <c r="G12385" t="s">
        <v>21</v>
      </c>
    </row>
    <row r="12386" spans="1:7">
      <c r="A12386">
        <v>12385</v>
      </c>
      <c r="B12386" t="str">
        <f>"017364"</f>
        <v>0</v>
      </c>
      <c r="C12386" t="s">
        <v>15259</v>
      </c>
      <c r="D12386" t="s">
        <v>18150</v>
      </c>
      <c r="E12386" t="str">
        <f>"3410101896086"</f>
        <v>0</v>
      </c>
      <c r="F12386" t="str">
        <f>"007010"</f>
        <v>0</v>
      </c>
      <c r="G12386" t="s">
        <v>21</v>
      </c>
    </row>
    <row r="12387" spans="1:7">
      <c r="A12387">
        <v>12386</v>
      </c>
      <c r="B12387" t="str">
        <f>"019545"</f>
        <v>0</v>
      </c>
      <c r="C12387" t="s">
        <v>18151</v>
      </c>
      <c r="D12387" t="s">
        <v>18152</v>
      </c>
      <c r="E12387" t="str">
        <f>"3470100175636"</f>
        <v>0</v>
      </c>
      <c r="F12387" t="str">
        <f>"007010"</f>
        <v>0</v>
      </c>
      <c r="G12387" t="s">
        <v>21</v>
      </c>
    </row>
    <row r="12388" spans="1:7">
      <c r="A12388">
        <v>12387</v>
      </c>
      <c r="B12388" t="str">
        <f>"019912"</f>
        <v>0</v>
      </c>
      <c r="C12388" t="s">
        <v>12934</v>
      </c>
      <c r="D12388" t="s">
        <v>18153</v>
      </c>
      <c r="E12388" t="str">
        <f>"3470600095721"</f>
        <v>0</v>
      </c>
      <c r="F12388" t="str">
        <f>"007010"</f>
        <v>0</v>
      </c>
      <c r="G12388" t="s">
        <v>21</v>
      </c>
    </row>
    <row r="12389" spans="1:7">
      <c r="A12389">
        <v>12388</v>
      </c>
      <c r="B12389" t="str">
        <f>"023056"</f>
        <v>0</v>
      </c>
      <c r="C12389" t="s">
        <v>9235</v>
      </c>
      <c r="D12389" t="s">
        <v>18154</v>
      </c>
      <c r="E12389" t="str">
        <f>"3470300242159"</f>
        <v>0</v>
      </c>
      <c r="F12389" t="str">
        <f>"007010"</f>
        <v>0</v>
      </c>
      <c r="G12389" t="s">
        <v>21</v>
      </c>
    </row>
    <row r="12390" spans="1:7">
      <c r="A12390">
        <v>12389</v>
      </c>
      <c r="B12390" t="str">
        <f>"026454"</f>
        <v>0</v>
      </c>
      <c r="C12390" t="s">
        <v>1001</v>
      </c>
      <c r="D12390" t="s">
        <v>18155</v>
      </c>
      <c r="E12390" t="str">
        <f>"3101400130861"</f>
        <v>0</v>
      </c>
      <c r="F12390" t="str">
        <f>"007010"</f>
        <v>0</v>
      </c>
      <c r="G12390" t="s">
        <v>21</v>
      </c>
    </row>
    <row r="12391" spans="1:7">
      <c r="A12391">
        <v>12390</v>
      </c>
      <c r="B12391" t="str">
        <f>"027015"</f>
        <v>0</v>
      </c>
      <c r="C12391" t="s">
        <v>18156</v>
      </c>
      <c r="D12391" t="s">
        <v>18157</v>
      </c>
      <c r="E12391" t="str">
        <f>"3300600740473"</f>
        <v>0</v>
      </c>
      <c r="F12391" t="str">
        <f>"007010"</f>
        <v>0</v>
      </c>
      <c r="G12391" t="s">
        <v>21</v>
      </c>
    </row>
    <row r="12392" spans="1:7">
      <c r="A12392">
        <v>12391</v>
      </c>
      <c r="B12392" t="str">
        <f>"024745"</f>
        <v>0</v>
      </c>
      <c r="C12392" t="s">
        <v>3171</v>
      </c>
      <c r="D12392" t="s">
        <v>18158</v>
      </c>
      <c r="E12392" t="str">
        <f>"3570500445231"</f>
        <v>0</v>
      </c>
      <c r="F12392" t="str">
        <f>"007010"</f>
        <v>0</v>
      </c>
      <c r="G12392" t="s">
        <v>21</v>
      </c>
    </row>
    <row r="12393" spans="1:7">
      <c r="A12393">
        <v>12392</v>
      </c>
      <c r="B12393" t="str">
        <f>"015826"</f>
        <v>0</v>
      </c>
      <c r="C12393" t="s">
        <v>18159</v>
      </c>
      <c r="D12393" t="s">
        <v>18160</v>
      </c>
      <c r="E12393" t="str">
        <f>"3760600415099"</f>
        <v>0</v>
      </c>
      <c r="F12393" t="str">
        <f>"007010"</f>
        <v>0</v>
      </c>
      <c r="G12393" t="s">
        <v>21</v>
      </c>
    </row>
    <row r="12394" spans="1:7">
      <c r="A12394">
        <v>12393</v>
      </c>
      <c r="B12394" t="str">
        <f>"025953"</f>
        <v>0</v>
      </c>
      <c r="C12394" t="s">
        <v>18161</v>
      </c>
      <c r="D12394" t="s">
        <v>18162</v>
      </c>
      <c r="E12394" t="str">
        <f>"3670500970750"</f>
        <v>0</v>
      </c>
      <c r="F12394" t="str">
        <f>"007010"</f>
        <v>0</v>
      </c>
      <c r="G12394" t="s">
        <v>21</v>
      </c>
    </row>
    <row r="12395" spans="1:7">
      <c r="A12395">
        <v>12394</v>
      </c>
      <c r="B12395" t="str">
        <f>"014640"</f>
        <v>0</v>
      </c>
      <c r="C12395" t="s">
        <v>10070</v>
      </c>
      <c r="D12395" t="s">
        <v>18163</v>
      </c>
      <c r="E12395" t="str">
        <f>"3200600556771"</f>
        <v>0</v>
      </c>
      <c r="F12395" t="str">
        <f>"007010"</f>
        <v>0</v>
      </c>
      <c r="G12395" t="s">
        <v>21</v>
      </c>
    </row>
    <row r="12396" spans="1:7">
      <c r="A12396">
        <v>12395</v>
      </c>
      <c r="B12396" t="str">
        <f>"014985"</f>
        <v>0</v>
      </c>
      <c r="C12396" t="s">
        <v>18164</v>
      </c>
      <c r="D12396" t="s">
        <v>18165</v>
      </c>
      <c r="E12396" t="str">
        <f>"3200600349236"</f>
        <v>0</v>
      </c>
      <c r="F12396" t="str">
        <f>"007010"</f>
        <v>0</v>
      </c>
      <c r="G12396" t="s">
        <v>21</v>
      </c>
    </row>
    <row r="12397" spans="1:7">
      <c r="A12397">
        <v>12396</v>
      </c>
      <c r="B12397" t="str">
        <f>"016201"</f>
        <v>0</v>
      </c>
      <c r="C12397" t="s">
        <v>2815</v>
      </c>
      <c r="D12397" t="s">
        <v>18166</v>
      </c>
      <c r="E12397" t="str">
        <f>"3200600553038"</f>
        <v>0</v>
      </c>
      <c r="F12397" t="str">
        <f>"007010"</f>
        <v>0</v>
      </c>
      <c r="G12397" t="s">
        <v>21</v>
      </c>
    </row>
    <row r="12398" spans="1:7">
      <c r="A12398">
        <v>12397</v>
      </c>
      <c r="B12398" t="str">
        <f>"016504"</f>
        <v>0</v>
      </c>
      <c r="C12398" t="s">
        <v>311</v>
      </c>
      <c r="D12398" t="s">
        <v>18167</v>
      </c>
      <c r="E12398" t="str">
        <f>"3200600163612"</f>
        <v>0</v>
      </c>
      <c r="F12398" t="str">
        <f>"007010"</f>
        <v>0</v>
      </c>
      <c r="G12398" t="s">
        <v>21</v>
      </c>
    </row>
    <row r="12399" spans="1:7">
      <c r="A12399">
        <v>12398</v>
      </c>
      <c r="B12399" t="str">
        <f>"016636"</f>
        <v>0</v>
      </c>
      <c r="C12399" t="s">
        <v>3552</v>
      </c>
      <c r="D12399" t="s">
        <v>18168</v>
      </c>
      <c r="E12399" t="str">
        <f>"3200600763199"</f>
        <v>0</v>
      </c>
      <c r="F12399" t="str">
        <f>"007010"</f>
        <v>0</v>
      </c>
      <c r="G12399" t="s">
        <v>21</v>
      </c>
    </row>
    <row r="12400" spans="1:7">
      <c r="A12400">
        <v>12399</v>
      </c>
      <c r="B12400" t="str">
        <f>"017194"</f>
        <v>0</v>
      </c>
      <c r="C12400" t="s">
        <v>16118</v>
      </c>
      <c r="D12400" t="s">
        <v>18169</v>
      </c>
      <c r="E12400" t="str">
        <f>"3200600893157"</f>
        <v>0</v>
      </c>
      <c r="F12400" t="str">
        <f>"007010"</f>
        <v>0</v>
      </c>
      <c r="G12400" t="s">
        <v>21</v>
      </c>
    </row>
    <row r="12401" spans="1:7">
      <c r="A12401">
        <v>12400</v>
      </c>
      <c r="B12401" t="str">
        <f>"017195"</f>
        <v>0</v>
      </c>
      <c r="C12401" t="s">
        <v>1617</v>
      </c>
      <c r="D12401" t="s">
        <v>18170</v>
      </c>
      <c r="E12401" t="str">
        <f>"3200600744089"</f>
        <v>0</v>
      </c>
      <c r="F12401" t="str">
        <f>"007010"</f>
        <v>0</v>
      </c>
      <c r="G12401" t="s">
        <v>21</v>
      </c>
    </row>
    <row r="12402" spans="1:7">
      <c r="A12402">
        <v>12401</v>
      </c>
      <c r="B12402" t="str">
        <f>"017196"</f>
        <v>0</v>
      </c>
      <c r="C12402" t="s">
        <v>878</v>
      </c>
      <c r="D12402" t="s">
        <v>18171</v>
      </c>
      <c r="E12402" t="str">
        <f>"3200600744640"</f>
        <v>0</v>
      </c>
      <c r="F12402" t="str">
        <f>"007010"</f>
        <v>0</v>
      </c>
      <c r="G12402" t="s">
        <v>21</v>
      </c>
    </row>
    <row r="12403" spans="1:7">
      <c r="A12403">
        <v>12402</v>
      </c>
      <c r="B12403" t="str">
        <f>"017299"</f>
        <v>0</v>
      </c>
      <c r="C12403" t="s">
        <v>4088</v>
      </c>
      <c r="D12403" t="s">
        <v>18172</v>
      </c>
      <c r="E12403" t="str">
        <f>"3150600277058"</f>
        <v>0</v>
      </c>
      <c r="F12403" t="str">
        <f>"007010"</f>
        <v>0</v>
      </c>
      <c r="G12403" t="s">
        <v>21</v>
      </c>
    </row>
    <row r="12404" spans="1:7">
      <c r="A12404">
        <v>12403</v>
      </c>
      <c r="B12404" t="str">
        <f>"017369"</f>
        <v>0</v>
      </c>
      <c r="C12404" t="s">
        <v>18173</v>
      </c>
      <c r="D12404" t="s">
        <v>18174</v>
      </c>
      <c r="E12404" t="str">
        <f>"3200601152878"</f>
        <v>0</v>
      </c>
      <c r="F12404" t="str">
        <f>"007010"</f>
        <v>0</v>
      </c>
      <c r="G12404" t="s">
        <v>21</v>
      </c>
    </row>
    <row r="12405" spans="1:7">
      <c r="A12405">
        <v>12404</v>
      </c>
      <c r="B12405" t="str">
        <f>"017494"</f>
        <v>0</v>
      </c>
      <c r="C12405" t="s">
        <v>2331</v>
      </c>
      <c r="D12405" t="s">
        <v>18175</v>
      </c>
      <c r="E12405" t="str">
        <f>"3200600354701"</f>
        <v>0</v>
      </c>
      <c r="F12405" t="str">
        <f>"007010"</f>
        <v>0</v>
      </c>
      <c r="G12405" t="s">
        <v>21</v>
      </c>
    </row>
    <row r="12406" spans="1:7">
      <c r="A12406">
        <v>12405</v>
      </c>
      <c r="B12406" t="str">
        <f>"018060"</f>
        <v>0</v>
      </c>
      <c r="C12406" t="s">
        <v>2292</v>
      </c>
      <c r="D12406" t="s">
        <v>18176</v>
      </c>
      <c r="E12406" t="str">
        <f>"3200601152789"</f>
        <v>0</v>
      </c>
      <c r="F12406" t="str">
        <f>"007010"</f>
        <v>0</v>
      </c>
      <c r="G12406" t="s">
        <v>21</v>
      </c>
    </row>
    <row r="12407" spans="1:7">
      <c r="A12407">
        <v>12406</v>
      </c>
      <c r="B12407" t="str">
        <f>"018186"</f>
        <v>0</v>
      </c>
      <c r="C12407" t="s">
        <v>4022</v>
      </c>
      <c r="D12407" t="s">
        <v>16846</v>
      </c>
      <c r="E12407" t="str">
        <f>"3141400031978"</f>
        <v>0</v>
      </c>
      <c r="F12407" t="str">
        <f>"007010"</f>
        <v>0</v>
      </c>
      <c r="G12407" t="s">
        <v>21</v>
      </c>
    </row>
    <row r="12408" spans="1:7">
      <c r="A12408">
        <v>12407</v>
      </c>
      <c r="B12408" t="str">
        <f>"018424"</f>
        <v>0</v>
      </c>
      <c r="C12408" t="s">
        <v>458</v>
      </c>
      <c r="D12408" t="s">
        <v>17533</v>
      </c>
      <c r="E12408" t="str">
        <f>"3200600564315"</f>
        <v>0</v>
      </c>
      <c r="F12408" t="str">
        <f>"007010"</f>
        <v>0</v>
      </c>
      <c r="G12408" t="s">
        <v>21</v>
      </c>
    </row>
    <row r="12409" spans="1:7">
      <c r="A12409">
        <v>12408</v>
      </c>
      <c r="B12409" t="str">
        <f>"019339"</f>
        <v>0</v>
      </c>
      <c r="C12409" t="s">
        <v>6948</v>
      </c>
      <c r="D12409" t="s">
        <v>18177</v>
      </c>
      <c r="E12409" t="str">
        <f>"3400700012851"</f>
        <v>0</v>
      </c>
      <c r="F12409" t="str">
        <f>"007010"</f>
        <v>0</v>
      </c>
      <c r="G12409" t="s">
        <v>21</v>
      </c>
    </row>
    <row r="12410" spans="1:7">
      <c r="A12410">
        <v>12409</v>
      </c>
      <c r="B12410" t="str">
        <f>"019712"</f>
        <v>0</v>
      </c>
      <c r="C12410" t="s">
        <v>106</v>
      </c>
      <c r="D12410" t="s">
        <v>18178</v>
      </c>
      <c r="E12410" t="str">
        <f>"3200600209558"</f>
        <v>0</v>
      </c>
      <c r="F12410" t="str">
        <f>"007010"</f>
        <v>0</v>
      </c>
      <c r="G12410" t="s">
        <v>21</v>
      </c>
    </row>
    <row r="12411" spans="1:7">
      <c r="A12411">
        <v>12410</v>
      </c>
      <c r="B12411" t="str">
        <f>"020365"</f>
        <v>0</v>
      </c>
      <c r="C12411" t="s">
        <v>18179</v>
      </c>
      <c r="D12411" t="s">
        <v>18180</v>
      </c>
      <c r="E12411" t="str">
        <f>"3940100305004"</f>
        <v>0</v>
      </c>
      <c r="F12411" t="str">
        <f>"007010"</f>
        <v>0</v>
      </c>
      <c r="G12411" t="s">
        <v>21</v>
      </c>
    </row>
    <row r="12412" spans="1:7">
      <c r="A12412">
        <v>12411</v>
      </c>
      <c r="B12412" t="str">
        <f>"021218"</f>
        <v>0</v>
      </c>
      <c r="C12412" t="s">
        <v>3192</v>
      </c>
      <c r="D12412" t="s">
        <v>18181</v>
      </c>
      <c r="E12412" t="str">
        <f>"3909800448710"</f>
        <v>0</v>
      </c>
      <c r="F12412" t="str">
        <f>"007010"</f>
        <v>0</v>
      </c>
      <c r="G12412" t="s">
        <v>21</v>
      </c>
    </row>
    <row r="12413" spans="1:7">
      <c r="A12413">
        <v>12412</v>
      </c>
      <c r="B12413" t="str">
        <f>"022037"</f>
        <v>0</v>
      </c>
      <c r="C12413" t="s">
        <v>3638</v>
      </c>
      <c r="D12413" t="s">
        <v>18182</v>
      </c>
      <c r="E12413" t="str">
        <f>"4420800001931"</f>
        <v>0</v>
      </c>
      <c r="F12413" t="str">
        <f>"007010"</f>
        <v>0</v>
      </c>
      <c r="G12413" t="s">
        <v>21</v>
      </c>
    </row>
    <row r="12414" spans="1:7">
      <c r="A12414">
        <v>12413</v>
      </c>
      <c r="B12414" t="str">
        <f>"023496"</f>
        <v>0</v>
      </c>
      <c r="C12414" t="s">
        <v>18183</v>
      </c>
      <c r="D12414" t="s">
        <v>18184</v>
      </c>
      <c r="E12414" t="str">
        <f>"3200200245301"</f>
        <v>0</v>
      </c>
      <c r="F12414" t="str">
        <f>"007010"</f>
        <v>0</v>
      </c>
      <c r="G12414" t="s">
        <v>21</v>
      </c>
    </row>
    <row r="12415" spans="1:7">
      <c r="A12415">
        <v>12414</v>
      </c>
      <c r="B12415" t="str">
        <f>"025495"</f>
        <v>0</v>
      </c>
      <c r="C12415" t="s">
        <v>18185</v>
      </c>
      <c r="D12415" t="s">
        <v>18186</v>
      </c>
      <c r="E12415" t="str">
        <f>"5901299002571"</f>
        <v>0</v>
      </c>
      <c r="F12415" t="str">
        <f>"007010"</f>
        <v>0</v>
      </c>
      <c r="G12415" t="s">
        <v>21</v>
      </c>
    </row>
    <row r="12416" spans="1:7">
      <c r="A12416">
        <v>12415</v>
      </c>
      <c r="B12416" t="str">
        <f>"025662"</f>
        <v>0</v>
      </c>
      <c r="C12416" t="s">
        <v>18187</v>
      </c>
      <c r="D12416" t="s">
        <v>18188</v>
      </c>
      <c r="E12416" t="str">
        <f>"3101400899960"</f>
        <v>0</v>
      </c>
      <c r="F12416" t="str">
        <f>"007010"</f>
        <v>0</v>
      </c>
      <c r="G12416" t="s">
        <v>21</v>
      </c>
    </row>
    <row r="12417" spans="1:7">
      <c r="A12417">
        <v>12416</v>
      </c>
      <c r="B12417" t="str">
        <f>"027453"</f>
        <v>0</v>
      </c>
      <c r="C12417" t="s">
        <v>8078</v>
      </c>
      <c r="D12417" t="s">
        <v>18189</v>
      </c>
      <c r="E12417" t="str">
        <f>"2580700024800"</f>
        <v>0</v>
      </c>
      <c r="F12417" t="str">
        <f>"007010"</f>
        <v>0</v>
      </c>
      <c r="G12417" t="s">
        <v>21</v>
      </c>
    </row>
    <row r="12418" spans="1:7">
      <c r="A12418">
        <v>12417</v>
      </c>
      <c r="B12418" t="str">
        <f>"023261"</f>
        <v>0</v>
      </c>
      <c r="C12418" t="s">
        <v>18190</v>
      </c>
      <c r="D12418" t="s">
        <v>18191</v>
      </c>
      <c r="E12418" t="str">
        <f>"3210500521967"</f>
        <v>0</v>
      </c>
      <c r="F12418" t="str">
        <f>"007010"</f>
        <v>0</v>
      </c>
      <c r="G12418" t="s">
        <v>21</v>
      </c>
    </row>
    <row r="12419" spans="1:7">
      <c r="A12419">
        <v>12418</v>
      </c>
      <c r="B12419" t="str">
        <f>"025821"</f>
        <v>0</v>
      </c>
      <c r="C12419" t="s">
        <v>18192</v>
      </c>
      <c r="D12419" t="s">
        <v>8331</v>
      </c>
      <c r="E12419" t="str">
        <f>"1259700014505"</f>
        <v>0</v>
      </c>
      <c r="F12419" t="str">
        <f>"007010"</f>
        <v>0</v>
      </c>
      <c r="G12419" t="s">
        <v>21</v>
      </c>
    </row>
    <row r="12420" spans="1:7">
      <c r="A12420">
        <v>12419</v>
      </c>
      <c r="B12420" t="str">
        <f>"024469"</f>
        <v>0</v>
      </c>
      <c r="C12420" t="s">
        <v>18193</v>
      </c>
      <c r="D12420" t="s">
        <v>18194</v>
      </c>
      <c r="E12420" t="str">
        <f>"1469900062196"</f>
        <v>0</v>
      </c>
      <c r="F12420" t="str">
        <f>"007010"</f>
        <v>0</v>
      </c>
      <c r="G12420" t="s">
        <v>21</v>
      </c>
    </row>
    <row r="12421" spans="1:7">
      <c r="A12421">
        <v>12420</v>
      </c>
      <c r="B12421" t="str">
        <f>"022633"</f>
        <v>0</v>
      </c>
      <c r="C12421" t="s">
        <v>18195</v>
      </c>
      <c r="D12421" t="s">
        <v>18196</v>
      </c>
      <c r="E12421" t="str">
        <f>"3720900855914"</f>
        <v>0</v>
      </c>
      <c r="F12421" t="str">
        <f>"007010"</f>
        <v>0</v>
      </c>
      <c r="G12421" t="s">
        <v>21</v>
      </c>
    </row>
    <row r="12422" spans="1:7">
      <c r="A12422">
        <v>12421</v>
      </c>
      <c r="B12422" t="str">
        <f>"023540"</f>
        <v>0</v>
      </c>
      <c r="C12422" t="s">
        <v>18197</v>
      </c>
      <c r="D12422" t="s">
        <v>18198</v>
      </c>
      <c r="E12422" t="str">
        <f>"1101400049366"</f>
        <v>0</v>
      </c>
      <c r="F12422" t="str">
        <f>"007010"</f>
        <v>0</v>
      </c>
      <c r="G12422" t="s">
        <v>21</v>
      </c>
    </row>
    <row r="12423" spans="1:7">
      <c r="A12423">
        <v>12422</v>
      </c>
      <c r="B12423" t="str">
        <f>"017149"</f>
        <v>0</v>
      </c>
      <c r="C12423" t="s">
        <v>56</v>
      </c>
      <c r="D12423" t="s">
        <v>17489</v>
      </c>
      <c r="E12423" t="str">
        <f>"3210100378008"</f>
        <v>0</v>
      </c>
      <c r="F12423" t="str">
        <f>"007010"</f>
        <v>0</v>
      </c>
      <c r="G12423" t="s">
        <v>21</v>
      </c>
    </row>
    <row r="12424" spans="1:7">
      <c r="A12424">
        <v>12423</v>
      </c>
      <c r="B12424" t="str">
        <f>"024271"</f>
        <v>0</v>
      </c>
      <c r="C12424" t="s">
        <v>11555</v>
      </c>
      <c r="D12424" t="s">
        <v>18199</v>
      </c>
      <c r="E12424" t="str">
        <f>"3570501018239"</f>
        <v>0</v>
      </c>
      <c r="F12424" t="str">
        <f>"007010"</f>
        <v>0</v>
      </c>
      <c r="G12424" t="s">
        <v>21</v>
      </c>
    </row>
    <row r="12425" spans="1:7">
      <c r="A12425">
        <v>12424</v>
      </c>
      <c r="B12425" t="str">
        <f>"014756"</f>
        <v>0</v>
      </c>
      <c r="C12425" t="s">
        <v>18200</v>
      </c>
      <c r="D12425" t="s">
        <v>18201</v>
      </c>
      <c r="E12425" t="str">
        <f>"3700100304280"</f>
        <v>0</v>
      </c>
      <c r="F12425" t="str">
        <f>"007010"</f>
        <v>0</v>
      </c>
      <c r="G12425" t="s">
        <v>21</v>
      </c>
    </row>
    <row r="12426" spans="1:7">
      <c r="A12426">
        <v>12425</v>
      </c>
      <c r="B12426" t="str">
        <f>"014759"</f>
        <v>0</v>
      </c>
      <c r="C12426" t="s">
        <v>2441</v>
      </c>
      <c r="D12426" t="s">
        <v>18202</v>
      </c>
      <c r="E12426" t="str">
        <f>"3700100520322"</f>
        <v>0</v>
      </c>
      <c r="F12426" t="str">
        <f>"007010"</f>
        <v>0</v>
      </c>
      <c r="G12426" t="s">
        <v>21</v>
      </c>
    </row>
    <row r="12427" spans="1:7">
      <c r="A12427">
        <v>12426</v>
      </c>
      <c r="B12427" t="str">
        <f>"014760"</f>
        <v>0</v>
      </c>
      <c r="C12427" t="s">
        <v>18203</v>
      </c>
      <c r="D12427" t="s">
        <v>18204</v>
      </c>
      <c r="E12427" t="str">
        <f>"3311100217888"</f>
        <v>0</v>
      </c>
      <c r="F12427" t="str">
        <f>"007010"</f>
        <v>0</v>
      </c>
      <c r="G12427" t="s">
        <v>21</v>
      </c>
    </row>
    <row r="12428" spans="1:7">
      <c r="A12428">
        <v>12427</v>
      </c>
      <c r="B12428" t="str">
        <f>"014764"</f>
        <v>0</v>
      </c>
      <c r="C12428" t="s">
        <v>837</v>
      </c>
      <c r="D12428" t="s">
        <v>18205</v>
      </c>
      <c r="E12428" t="str">
        <f>"3700101008986"</f>
        <v>0</v>
      </c>
      <c r="F12428" t="str">
        <f>"007010"</f>
        <v>0</v>
      </c>
      <c r="G12428" t="s">
        <v>21</v>
      </c>
    </row>
    <row r="12429" spans="1:7">
      <c r="A12429">
        <v>12428</v>
      </c>
      <c r="B12429" t="str">
        <f>"014769"</f>
        <v>0</v>
      </c>
      <c r="C12429" t="s">
        <v>2349</v>
      </c>
      <c r="D12429" t="s">
        <v>9549</v>
      </c>
      <c r="E12429" t="str">
        <f>"3700101175815"</f>
        <v>0</v>
      </c>
      <c r="F12429" t="str">
        <f>"007010"</f>
        <v>0</v>
      </c>
      <c r="G12429" t="s">
        <v>21</v>
      </c>
    </row>
    <row r="12430" spans="1:7">
      <c r="A12430">
        <v>12429</v>
      </c>
      <c r="B12430" t="str">
        <f>"017147"</f>
        <v>0</v>
      </c>
      <c r="C12430" t="s">
        <v>782</v>
      </c>
      <c r="D12430" t="s">
        <v>18206</v>
      </c>
      <c r="E12430" t="str">
        <f>"3700100305146"</f>
        <v>0</v>
      </c>
      <c r="F12430" t="str">
        <f>"007010"</f>
        <v>0</v>
      </c>
      <c r="G12430" t="s">
        <v>21</v>
      </c>
    </row>
    <row r="12431" spans="1:7">
      <c r="A12431">
        <v>12430</v>
      </c>
      <c r="B12431" t="str">
        <f>"017260"</f>
        <v>0</v>
      </c>
      <c r="C12431" t="s">
        <v>6675</v>
      </c>
      <c r="D12431" t="s">
        <v>17624</v>
      </c>
      <c r="E12431" t="str">
        <f>"3700100392383"</f>
        <v>0</v>
      </c>
      <c r="F12431" t="str">
        <f>"007010"</f>
        <v>0</v>
      </c>
      <c r="G12431" t="s">
        <v>21</v>
      </c>
    </row>
    <row r="12432" spans="1:7">
      <c r="A12432">
        <v>12431</v>
      </c>
      <c r="B12432" t="str">
        <f>"017383"</f>
        <v>0</v>
      </c>
      <c r="C12432" t="s">
        <v>18207</v>
      </c>
      <c r="D12432" t="s">
        <v>18208</v>
      </c>
      <c r="E12432" t="str">
        <f>"3700101072471"</f>
        <v>0</v>
      </c>
      <c r="F12432" t="str">
        <f>"007010"</f>
        <v>0</v>
      </c>
      <c r="G12432" t="s">
        <v>21</v>
      </c>
    </row>
    <row r="12433" spans="1:7">
      <c r="A12433">
        <v>12432</v>
      </c>
      <c r="B12433" t="str">
        <f>"017384"</f>
        <v>0</v>
      </c>
      <c r="C12433" t="s">
        <v>60</v>
      </c>
      <c r="D12433" t="s">
        <v>17623</v>
      </c>
      <c r="E12433" t="str">
        <f>"3700101085557"</f>
        <v>0</v>
      </c>
      <c r="F12433" t="str">
        <f>"007010"</f>
        <v>0</v>
      </c>
      <c r="G12433" t="s">
        <v>21</v>
      </c>
    </row>
    <row r="12434" spans="1:7">
      <c r="A12434">
        <v>12433</v>
      </c>
      <c r="B12434" t="str">
        <f>"017575"</f>
        <v>0</v>
      </c>
      <c r="C12434" t="s">
        <v>7740</v>
      </c>
      <c r="D12434" t="s">
        <v>18209</v>
      </c>
      <c r="E12434" t="str">
        <f>"3700101074181"</f>
        <v>0</v>
      </c>
      <c r="F12434" t="str">
        <f>"007010"</f>
        <v>0</v>
      </c>
      <c r="G12434" t="s">
        <v>21</v>
      </c>
    </row>
    <row r="12435" spans="1:7">
      <c r="A12435">
        <v>12434</v>
      </c>
      <c r="B12435" t="str">
        <f>"017959"</f>
        <v>0</v>
      </c>
      <c r="C12435" t="s">
        <v>18210</v>
      </c>
      <c r="D12435" t="s">
        <v>18211</v>
      </c>
      <c r="E12435" t="str">
        <f>"3220500273891"</f>
        <v>0</v>
      </c>
      <c r="F12435" t="str">
        <f>"007010"</f>
        <v>0</v>
      </c>
      <c r="G12435" t="s">
        <v>21</v>
      </c>
    </row>
    <row r="12436" spans="1:7">
      <c r="A12436">
        <v>12435</v>
      </c>
      <c r="B12436" t="str">
        <f>"018331"</f>
        <v>0</v>
      </c>
      <c r="C12436" t="s">
        <v>6279</v>
      </c>
      <c r="D12436" t="s">
        <v>18212</v>
      </c>
      <c r="E12436" t="str">
        <f>"5700190005178"</f>
        <v>0</v>
      </c>
      <c r="F12436" t="str">
        <f>"007010"</f>
        <v>0</v>
      </c>
      <c r="G12436" t="s">
        <v>21</v>
      </c>
    </row>
    <row r="12437" spans="1:7">
      <c r="A12437">
        <v>12436</v>
      </c>
      <c r="B12437" t="str">
        <f>"019370"</f>
        <v>0</v>
      </c>
      <c r="C12437" t="s">
        <v>18213</v>
      </c>
      <c r="D12437" t="s">
        <v>18214</v>
      </c>
      <c r="E12437" t="str">
        <f>"3140100550243"</f>
        <v>0</v>
      </c>
      <c r="F12437" t="str">
        <f>"007010"</f>
        <v>0</v>
      </c>
      <c r="G12437" t="s">
        <v>21</v>
      </c>
    </row>
    <row r="12438" spans="1:7">
      <c r="A12438">
        <v>12437</v>
      </c>
      <c r="B12438" t="str">
        <f>"019479"</f>
        <v>0</v>
      </c>
      <c r="C12438" t="s">
        <v>18215</v>
      </c>
      <c r="D12438" t="s">
        <v>18208</v>
      </c>
      <c r="E12438" t="str">
        <f>"3700101072498"</f>
        <v>0</v>
      </c>
      <c r="F12438" t="str">
        <f>"007010"</f>
        <v>0</v>
      </c>
      <c r="G12438" t="s">
        <v>21</v>
      </c>
    </row>
    <row r="12439" spans="1:7">
      <c r="A12439">
        <v>12438</v>
      </c>
      <c r="B12439" t="str">
        <f>"020933"</f>
        <v>0</v>
      </c>
      <c r="C12439" t="s">
        <v>5073</v>
      </c>
      <c r="D12439" t="s">
        <v>222</v>
      </c>
      <c r="E12439" t="str">
        <f>"3700200192483"</f>
        <v>0</v>
      </c>
      <c r="F12439" t="str">
        <f>"007010"</f>
        <v>0</v>
      </c>
      <c r="G12439" t="s">
        <v>21</v>
      </c>
    </row>
    <row r="12440" spans="1:7">
      <c r="A12440">
        <v>12439</v>
      </c>
      <c r="B12440" t="str">
        <f>"022888"</f>
        <v>0</v>
      </c>
      <c r="C12440" t="s">
        <v>18216</v>
      </c>
      <c r="D12440" t="s">
        <v>18217</v>
      </c>
      <c r="E12440" t="str">
        <f>"1709900013061"</f>
        <v>0</v>
      </c>
      <c r="F12440" t="str">
        <f>"007010"</f>
        <v>0</v>
      </c>
      <c r="G12440" t="s">
        <v>21</v>
      </c>
    </row>
    <row r="12441" spans="1:7">
      <c r="A12441">
        <v>12440</v>
      </c>
      <c r="B12441" t="str">
        <f>"024435"</f>
        <v>0</v>
      </c>
      <c r="C12441" t="s">
        <v>18218</v>
      </c>
      <c r="D12441" t="s">
        <v>18219</v>
      </c>
      <c r="E12441" t="str">
        <f>"3700100208183"</f>
        <v>0</v>
      </c>
      <c r="F12441" t="str">
        <f>"007010"</f>
        <v>0</v>
      </c>
      <c r="G12441" t="s">
        <v>21</v>
      </c>
    </row>
    <row r="12442" spans="1:7">
      <c r="A12442">
        <v>12441</v>
      </c>
      <c r="B12442" t="str">
        <f>"024148"</f>
        <v>0</v>
      </c>
      <c r="C12442" t="s">
        <v>1315</v>
      </c>
      <c r="D12442" t="s">
        <v>18220</v>
      </c>
      <c r="E12442" t="str">
        <f>"1720400100993"</f>
        <v>0</v>
      </c>
      <c r="F12442" t="str">
        <f>"007010"</f>
        <v>0</v>
      </c>
      <c r="G12442" t="s">
        <v>21</v>
      </c>
    </row>
    <row r="12443" spans="1:7">
      <c r="A12443">
        <v>12442</v>
      </c>
      <c r="B12443" t="str">
        <f>"020215"</f>
        <v>0</v>
      </c>
      <c r="C12443" t="s">
        <v>5473</v>
      </c>
      <c r="D12443" t="s">
        <v>18221</v>
      </c>
      <c r="E12443" t="str">
        <f>"3730300892312"</f>
        <v>0</v>
      </c>
      <c r="F12443" t="str">
        <f>"007010"</f>
        <v>0</v>
      </c>
      <c r="G12443" t="s">
        <v>21</v>
      </c>
    </row>
    <row r="12444" spans="1:7">
      <c r="A12444">
        <v>12443</v>
      </c>
      <c r="B12444" t="str">
        <f>"023580"</f>
        <v>0</v>
      </c>
      <c r="C12444" t="s">
        <v>18222</v>
      </c>
      <c r="D12444" t="s">
        <v>14194</v>
      </c>
      <c r="E12444" t="str">
        <f>"3730600205680"</f>
        <v>0</v>
      </c>
      <c r="F12444" t="str">
        <f>"007010"</f>
        <v>0</v>
      </c>
      <c r="G12444" t="s">
        <v>21</v>
      </c>
    </row>
    <row r="12445" spans="1:7">
      <c r="A12445">
        <v>12444</v>
      </c>
      <c r="B12445" t="str">
        <f>"022499"</f>
        <v>0</v>
      </c>
      <c r="C12445" t="s">
        <v>18223</v>
      </c>
      <c r="D12445" t="s">
        <v>18224</v>
      </c>
      <c r="E12445" t="str">
        <f>"3770400496982"</f>
        <v>0</v>
      </c>
      <c r="F12445" t="str">
        <f>"007010"</f>
        <v>0</v>
      </c>
      <c r="G12445" t="s">
        <v>21</v>
      </c>
    </row>
    <row r="12446" spans="1:7">
      <c r="A12446">
        <v>12445</v>
      </c>
      <c r="B12446" t="str">
        <f>"023542"</f>
        <v>0</v>
      </c>
      <c r="C12446" t="s">
        <v>8019</v>
      </c>
      <c r="D12446" t="s">
        <v>13256</v>
      </c>
      <c r="E12446" t="str">
        <f>"3510100717560"</f>
        <v>0</v>
      </c>
      <c r="F12446" t="str">
        <f>"007010"</f>
        <v>0</v>
      </c>
      <c r="G12446" t="s">
        <v>21</v>
      </c>
    </row>
    <row r="12447" spans="1:7">
      <c r="A12447">
        <v>12446</v>
      </c>
      <c r="B12447" t="str">
        <f>"024702"</f>
        <v>0</v>
      </c>
      <c r="C12447" t="s">
        <v>18225</v>
      </c>
      <c r="D12447" t="s">
        <v>18226</v>
      </c>
      <c r="E12447" t="str">
        <f>"1509900395739"</f>
        <v>0</v>
      </c>
      <c r="F12447" t="str">
        <f>"007010"</f>
        <v>0</v>
      </c>
      <c r="G12447" t="s">
        <v>21</v>
      </c>
    </row>
    <row r="12448" spans="1:7">
      <c r="A12448">
        <v>12447</v>
      </c>
      <c r="B12448" t="str">
        <f>"027027"</f>
        <v>0</v>
      </c>
      <c r="C12448" t="s">
        <v>2208</v>
      </c>
      <c r="D12448" t="s">
        <v>18227</v>
      </c>
      <c r="E12448" t="str">
        <f>"1530100007230"</f>
        <v>0</v>
      </c>
      <c r="F12448" t="str">
        <f>"007010"</f>
        <v>0</v>
      </c>
      <c r="G12448" t="s">
        <v>21</v>
      </c>
    </row>
    <row r="12449" spans="1:7">
      <c r="A12449">
        <v>12448</v>
      </c>
      <c r="B12449" t="str">
        <f>"021730"</f>
        <v>0</v>
      </c>
      <c r="C12449" t="s">
        <v>18228</v>
      </c>
      <c r="D12449" t="s">
        <v>18229</v>
      </c>
      <c r="E12449" t="str">
        <f>"3620600451878"</f>
        <v>0</v>
      </c>
      <c r="F12449" t="str">
        <f>"007010"</f>
        <v>0</v>
      </c>
      <c r="G12449" t="s">
        <v>21</v>
      </c>
    </row>
    <row r="12450" spans="1:7">
      <c r="A12450">
        <v>12449</v>
      </c>
      <c r="B12450" t="str">
        <f>"010314"</f>
        <v>0</v>
      </c>
      <c r="C12450" t="s">
        <v>5823</v>
      </c>
      <c r="D12450" t="s">
        <v>17617</v>
      </c>
      <c r="E12450" t="str">
        <f>"3640100601218"</f>
        <v>0</v>
      </c>
      <c r="F12450" t="str">
        <f>"007010"</f>
        <v>0</v>
      </c>
      <c r="G12450" t="s">
        <v>21</v>
      </c>
    </row>
    <row r="12451" spans="1:7">
      <c r="A12451">
        <v>12450</v>
      </c>
      <c r="B12451" t="str">
        <f>"013964"</f>
        <v>0</v>
      </c>
      <c r="C12451" t="s">
        <v>1735</v>
      </c>
      <c r="D12451" t="s">
        <v>18230</v>
      </c>
      <c r="E12451" t="str">
        <f>"3529900274920"</f>
        <v>0</v>
      </c>
      <c r="F12451" t="str">
        <f>"007010"</f>
        <v>0</v>
      </c>
      <c r="G12451" t="s">
        <v>21</v>
      </c>
    </row>
    <row r="12452" spans="1:7">
      <c r="A12452">
        <v>12451</v>
      </c>
      <c r="B12452" t="str">
        <f>"016360"</f>
        <v>0</v>
      </c>
      <c r="C12452" t="s">
        <v>12605</v>
      </c>
      <c r="D12452" t="s">
        <v>2414</v>
      </c>
      <c r="E12452" t="str">
        <f>"3100501151196"</f>
        <v>0</v>
      </c>
      <c r="F12452" t="str">
        <f>"007010"</f>
        <v>0</v>
      </c>
      <c r="G12452" t="s">
        <v>21</v>
      </c>
    </row>
    <row r="12453" spans="1:7">
      <c r="A12453">
        <v>12452</v>
      </c>
      <c r="B12453" t="str">
        <f>"016788"</f>
        <v>0</v>
      </c>
      <c r="C12453" t="s">
        <v>797</v>
      </c>
      <c r="D12453" t="s">
        <v>17617</v>
      </c>
      <c r="E12453" t="str">
        <f>"3640100601188"</f>
        <v>0</v>
      </c>
      <c r="F12453" t="str">
        <f>"007010"</f>
        <v>0</v>
      </c>
      <c r="G12453" t="s">
        <v>21</v>
      </c>
    </row>
    <row r="12454" spans="1:7">
      <c r="A12454">
        <v>12453</v>
      </c>
      <c r="B12454" t="str">
        <f>"016792"</f>
        <v>0</v>
      </c>
      <c r="C12454" t="s">
        <v>18231</v>
      </c>
      <c r="D12454" t="s">
        <v>18232</v>
      </c>
      <c r="E12454" t="str">
        <f>"3650500405742"</f>
        <v>0</v>
      </c>
      <c r="F12454" t="str">
        <f>"007010"</f>
        <v>0</v>
      </c>
      <c r="G12454" t="s">
        <v>21</v>
      </c>
    </row>
    <row r="12455" spans="1:7">
      <c r="A12455">
        <v>12454</v>
      </c>
      <c r="B12455" t="str">
        <f>"017449"</f>
        <v>0</v>
      </c>
      <c r="C12455" t="s">
        <v>130</v>
      </c>
      <c r="D12455" t="s">
        <v>14235</v>
      </c>
      <c r="E12455" t="str">
        <f>"3640700594271"</f>
        <v>0</v>
      </c>
      <c r="F12455" t="str">
        <f>"007010"</f>
        <v>0</v>
      </c>
      <c r="G12455" t="s">
        <v>21</v>
      </c>
    </row>
    <row r="12456" spans="1:7">
      <c r="A12456">
        <v>12455</v>
      </c>
      <c r="B12456" t="str">
        <f>"017487"</f>
        <v>0</v>
      </c>
      <c r="C12456" t="s">
        <v>16789</v>
      </c>
      <c r="D12456" t="s">
        <v>18233</v>
      </c>
      <c r="E12456" t="str">
        <f>"3650801042827"</f>
        <v>0</v>
      </c>
      <c r="F12456" t="str">
        <f>"007010"</f>
        <v>0</v>
      </c>
      <c r="G12456" t="s">
        <v>21</v>
      </c>
    </row>
    <row r="12457" spans="1:7">
      <c r="A12457">
        <v>12456</v>
      </c>
      <c r="B12457" t="str">
        <f>"018059"</f>
        <v>0</v>
      </c>
      <c r="C12457" t="s">
        <v>18234</v>
      </c>
      <c r="D12457" t="s">
        <v>18235</v>
      </c>
      <c r="E12457" t="str">
        <f>"3640700594751"</f>
        <v>0</v>
      </c>
      <c r="F12457" t="str">
        <f>"007010"</f>
        <v>0</v>
      </c>
      <c r="G12457" t="s">
        <v>21</v>
      </c>
    </row>
    <row r="12458" spans="1:7">
      <c r="A12458">
        <v>12457</v>
      </c>
      <c r="B12458" t="str">
        <f>"018129"</f>
        <v>0</v>
      </c>
      <c r="C12458" t="s">
        <v>18236</v>
      </c>
      <c r="D12458" t="s">
        <v>18232</v>
      </c>
      <c r="E12458" t="str">
        <f>"3640700179649"</f>
        <v>0</v>
      </c>
      <c r="F12458" t="str">
        <f>"007010"</f>
        <v>0</v>
      </c>
      <c r="G12458" t="s">
        <v>21</v>
      </c>
    </row>
    <row r="12459" spans="1:7">
      <c r="A12459">
        <v>12458</v>
      </c>
      <c r="B12459" t="str">
        <f>"019129"</f>
        <v>0</v>
      </c>
      <c r="C12459" t="s">
        <v>311</v>
      </c>
      <c r="D12459" t="s">
        <v>3222</v>
      </c>
      <c r="E12459" t="str">
        <f>"3640900438338"</f>
        <v>0</v>
      </c>
      <c r="F12459" t="str">
        <f>"007010"</f>
        <v>0</v>
      </c>
      <c r="G12459" t="s">
        <v>21</v>
      </c>
    </row>
    <row r="12460" spans="1:7">
      <c r="A12460">
        <v>12459</v>
      </c>
      <c r="B12460" t="str">
        <f>"019353"</f>
        <v>0</v>
      </c>
      <c r="C12460" t="s">
        <v>5475</v>
      </c>
      <c r="D12460" t="s">
        <v>18237</v>
      </c>
      <c r="E12460" t="str">
        <f>"3640900152043"</f>
        <v>0</v>
      </c>
      <c r="F12460" t="str">
        <f>"007010"</f>
        <v>0</v>
      </c>
      <c r="G12460" t="s">
        <v>21</v>
      </c>
    </row>
    <row r="12461" spans="1:7">
      <c r="A12461">
        <v>12460</v>
      </c>
      <c r="B12461" t="str">
        <f>"020459"</f>
        <v>0</v>
      </c>
      <c r="C12461" t="s">
        <v>18238</v>
      </c>
      <c r="D12461" t="s">
        <v>18230</v>
      </c>
      <c r="E12461" t="str">
        <f>"3649900099434"</f>
        <v>0</v>
      </c>
      <c r="F12461" t="str">
        <f>"007010"</f>
        <v>0</v>
      </c>
      <c r="G12461" t="s">
        <v>21</v>
      </c>
    </row>
    <row r="12462" spans="1:7">
      <c r="A12462">
        <v>12461</v>
      </c>
      <c r="B12462" t="str">
        <f>"023667"</f>
        <v>0</v>
      </c>
      <c r="C12462" t="s">
        <v>4342</v>
      </c>
      <c r="D12462" t="s">
        <v>5516</v>
      </c>
      <c r="E12462" t="str">
        <f>"1640600025520"</f>
        <v>0</v>
      </c>
      <c r="F12462" t="str">
        <f>"007010"</f>
        <v>0</v>
      </c>
      <c r="G12462" t="s">
        <v>21</v>
      </c>
    </row>
    <row r="12463" spans="1:7">
      <c r="A12463">
        <v>12462</v>
      </c>
      <c r="B12463" t="str">
        <f>"023893"</f>
        <v>0</v>
      </c>
      <c r="C12463" t="s">
        <v>703</v>
      </c>
      <c r="D12463" t="s">
        <v>18239</v>
      </c>
      <c r="E12463" t="str">
        <f>"5640690001806"</f>
        <v>0</v>
      </c>
      <c r="F12463" t="str">
        <f>"007010"</f>
        <v>0</v>
      </c>
      <c r="G12463" t="s">
        <v>21</v>
      </c>
    </row>
    <row r="12464" spans="1:7">
      <c r="A12464">
        <v>12463</v>
      </c>
      <c r="B12464" t="str">
        <f>"024703"</f>
        <v>0</v>
      </c>
      <c r="C12464" t="s">
        <v>18240</v>
      </c>
      <c r="D12464" t="s">
        <v>18241</v>
      </c>
      <c r="E12464" t="str">
        <f>"3640800238094"</f>
        <v>0</v>
      </c>
      <c r="F12464" t="str">
        <f>"007010"</f>
        <v>0</v>
      </c>
      <c r="G12464" t="s">
        <v>21</v>
      </c>
    </row>
    <row r="12465" spans="1:7">
      <c r="A12465">
        <v>12464</v>
      </c>
      <c r="B12465" t="str">
        <f>"024704"</f>
        <v>0</v>
      </c>
      <c r="C12465" t="s">
        <v>18242</v>
      </c>
      <c r="D12465" t="s">
        <v>18243</v>
      </c>
      <c r="E12465" t="str">
        <f>"3640700587623"</f>
        <v>0</v>
      </c>
      <c r="F12465" t="str">
        <f>"007010"</f>
        <v>0</v>
      </c>
      <c r="G12465" t="s">
        <v>21</v>
      </c>
    </row>
    <row r="12466" spans="1:7">
      <c r="A12466">
        <v>12465</v>
      </c>
      <c r="B12466" t="str">
        <f>"025563"</f>
        <v>0</v>
      </c>
      <c r="C12466" t="s">
        <v>18244</v>
      </c>
      <c r="D12466" t="s">
        <v>18245</v>
      </c>
      <c r="E12466" t="str">
        <f>"3640700063764"</f>
        <v>0</v>
      </c>
      <c r="F12466" t="str">
        <f>"007010"</f>
        <v>0</v>
      </c>
      <c r="G12466" t="s">
        <v>21</v>
      </c>
    </row>
    <row r="12467" spans="1:7">
      <c r="A12467">
        <v>12466</v>
      </c>
      <c r="B12467" t="str">
        <f>"027026"</f>
        <v>0</v>
      </c>
      <c r="C12467" t="s">
        <v>1216</v>
      </c>
      <c r="D12467" t="s">
        <v>18246</v>
      </c>
      <c r="E12467" t="str">
        <f>"1640500062849"</f>
        <v>0</v>
      </c>
      <c r="F12467" t="str">
        <f>"007010"</f>
        <v>0</v>
      </c>
      <c r="G12467" t="s">
        <v>21</v>
      </c>
    </row>
    <row r="12468" spans="1:7">
      <c r="A12468">
        <v>12467</v>
      </c>
      <c r="B12468" t="str">
        <f>"017894"</f>
        <v>0</v>
      </c>
      <c r="C12468" t="s">
        <v>18247</v>
      </c>
      <c r="D12468" t="s">
        <v>5182</v>
      </c>
      <c r="E12468" t="str">
        <f>"3500600258173"</f>
        <v>0</v>
      </c>
      <c r="F12468" t="str">
        <f>"007010"</f>
        <v>0</v>
      </c>
      <c r="G12468" t="s">
        <v>21</v>
      </c>
    </row>
    <row r="12469" spans="1:7">
      <c r="A12469">
        <v>12468</v>
      </c>
      <c r="B12469" t="str">
        <f>"022881"</f>
        <v>0</v>
      </c>
      <c r="C12469" t="s">
        <v>12927</v>
      </c>
      <c r="D12469" t="s">
        <v>18248</v>
      </c>
      <c r="E12469" t="str">
        <f>"3650300074441"</f>
        <v>0</v>
      </c>
      <c r="F12469" t="str">
        <f>"007010"</f>
        <v>0</v>
      </c>
      <c r="G12469" t="s">
        <v>21</v>
      </c>
    </row>
    <row r="12470" spans="1:7">
      <c r="A12470">
        <v>12469</v>
      </c>
      <c r="B12470" t="str">
        <f>"026601"</f>
        <v>0</v>
      </c>
      <c r="C12470" t="s">
        <v>18249</v>
      </c>
      <c r="D12470" t="s">
        <v>18250</v>
      </c>
      <c r="E12470" t="str">
        <f>"1860600048714"</f>
        <v>0</v>
      </c>
      <c r="F12470" t="str">
        <f>"007010"</f>
        <v>0</v>
      </c>
      <c r="G12470" t="s">
        <v>21</v>
      </c>
    </row>
    <row r="12471" spans="1:7">
      <c r="A12471">
        <v>12470</v>
      </c>
      <c r="B12471" t="str">
        <f>"021799"</f>
        <v>0</v>
      </c>
      <c r="C12471" t="s">
        <v>18251</v>
      </c>
      <c r="D12471" t="s">
        <v>18252</v>
      </c>
      <c r="E12471" t="str">
        <f>"3349900173751"</f>
        <v>0</v>
      </c>
      <c r="F12471" t="str">
        <f>"007010"</f>
        <v>0</v>
      </c>
      <c r="G12471" t="s">
        <v>21</v>
      </c>
    </row>
    <row r="12472" spans="1:7">
      <c r="A12472">
        <v>12471</v>
      </c>
      <c r="B12472" t="str">
        <f>"014120"</f>
        <v>0</v>
      </c>
      <c r="C12472" t="s">
        <v>878</v>
      </c>
      <c r="D12472" t="s">
        <v>18253</v>
      </c>
      <c r="E12472" t="str">
        <f>"3100602820174"</f>
        <v>0</v>
      </c>
      <c r="F12472" t="str">
        <f>"007010"</f>
        <v>0</v>
      </c>
      <c r="G12472" t="s">
        <v>21</v>
      </c>
    </row>
    <row r="12473" spans="1:7">
      <c r="A12473">
        <v>12472</v>
      </c>
      <c r="B12473" t="str">
        <f>"015142"</f>
        <v>0</v>
      </c>
      <c r="C12473" t="s">
        <v>18254</v>
      </c>
      <c r="D12473" t="s">
        <v>1320</v>
      </c>
      <c r="E12473" t="str">
        <f>"3840100303223"</f>
        <v>0</v>
      </c>
      <c r="F12473" t="str">
        <f>"007010"</f>
        <v>0</v>
      </c>
      <c r="G12473" t="s">
        <v>21</v>
      </c>
    </row>
    <row r="12474" spans="1:7">
      <c r="A12474">
        <v>12473</v>
      </c>
      <c r="B12474" t="str">
        <f>"018429"</f>
        <v>0</v>
      </c>
      <c r="C12474" t="s">
        <v>18255</v>
      </c>
      <c r="D12474" t="s">
        <v>18256</v>
      </c>
      <c r="E12474" t="str">
        <f>"3801301119960"</f>
        <v>0</v>
      </c>
      <c r="F12474" t="str">
        <f>"007010"</f>
        <v>0</v>
      </c>
      <c r="G12474" t="s">
        <v>21</v>
      </c>
    </row>
    <row r="12475" spans="1:7">
      <c r="A12475">
        <v>12474</v>
      </c>
      <c r="B12475" t="str">
        <f>"019293"</f>
        <v>0</v>
      </c>
      <c r="C12475" t="s">
        <v>18257</v>
      </c>
      <c r="D12475" t="s">
        <v>18258</v>
      </c>
      <c r="E12475" t="str">
        <f>"3800600664730"</f>
        <v>0</v>
      </c>
      <c r="F12475" t="str">
        <f>"007010"</f>
        <v>0</v>
      </c>
      <c r="G12475" t="s">
        <v>21</v>
      </c>
    </row>
    <row r="12476" spans="1:7">
      <c r="A12476">
        <v>12475</v>
      </c>
      <c r="B12476" t="str">
        <f>"019354"</f>
        <v>0</v>
      </c>
      <c r="C12476" t="s">
        <v>18259</v>
      </c>
      <c r="D12476" t="s">
        <v>18260</v>
      </c>
      <c r="E12476" t="str">
        <f>"3840200534537"</f>
        <v>0</v>
      </c>
      <c r="F12476" t="str">
        <f>"007010"</f>
        <v>0</v>
      </c>
      <c r="G12476" t="s">
        <v>21</v>
      </c>
    </row>
    <row r="12477" spans="1:7">
      <c r="A12477">
        <v>12476</v>
      </c>
      <c r="B12477" t="str">
        <f>"019620"</f>
        <v>0</v>
      </c>
      <c r="C12477" t="s">
        <v>4799</v>
      </c>
      <c r="D12477" t="s">
        <v>18261</v>
      </c>
      <c r="E12477" t="str">
        <f>"3840300239227"</f>
        <v>0</v>
      </c>
      <c r="F12477" t="str">
        <f>"007010"</f>
        <v>0</v>
      </c>
      <c r="G12477" t="s">
        <v>21</v>
      </c>
    </row>
    <row r="12478" spans="1:7">
      <c r="A12478">
        <v>12477</v>
      </c>
      <c r="B12478" t="str">
        <f>"019624"</f>
        <v>0</v>
      </c>
      <c r="C12478" t="s">
        <v>13933</v>
      </c>
      <c r="D12478" t="s">
        <v>18262</v>
      </c>
      <c r="E12478" t="str">
        <f>"3801100050539"</f>
        <v>0</v>
      </c>
      <c r="F12478" t="str">
        <f>"007010"</f>
        <v>0</v>
      </c>
      <c r="G12478" t="s">
        <v>21</v>
      </c>
    </row>
    <row r="12479" spans="1:7">
      <c r="A12479">
        <v>12478</v>
      </c>
      <c r="B12479" t="str">
        <f>"019799"</f>
        <v>0</v>
      </c>
      <c r="C12479" t="s">
        <v>6743</v>
      </c>
      <c r="D12479" t="s">
        <v>18263</v>
      </c>
      <c r="E12479" t="str">
        <f>"3800600030391"</f>
        <v>0</v>
      </c>
      <c r="F12479" t="str">
        <f>"007010"</f>
        <v>0</v>
      </c>
      <c r="G12479" t="s">
        <v>21</v>
      </c>
    </row>
    <row r="12480" spans="1:7">
      <c r="A12480">
        <v>12479</v>
      </c>
      <c r="B12480" t="str">
        <f>"022228"</f>
        <v>0</v>
      </c>
      <c r="C12480" t="s">
        <v>18264</v>
      </c>
      <c r="D12480" t="s">
        <v>18265</v>
      </c>
      <c r="E12480" t="str">
        <f>"3840600115957"</f>
        <v>0</v>
      </c>
      <c r="F12480" t="str">
        <f>"007010"</f>
        <v>0</v>
      </c>
      <c r="G12480" t="s">
        <v>21</v>
      </c>
    </row>
    <row r="12481" spans="1:7">
      <c r="A12481">
        <v>12480</v>
      </c>
      <c r="B12481" t="str">
        <f>"025521"</f>
        <v>0</v>
      </c>
      <c r="C12481" t="s">
        <v>18266</v>
      </c>
      <c r="D12481" t="s">
        <v>3123</v>
      </c>
      <c r="E12481" t="str">
        <f>"3849900241310"</f>
        <v>0</v>
      </c>
      <c r="F12481" t="str">
        <f>"007010"</f>
        <v>0</v>
      </c>
      <c r="G12481" t="s">
        <v>21</v>
      </c>
    </row>
    <row r="12482" spans="1:7">
      <c r="A12482">
        <v>12481</v>
      </c>
      <c r="B12482" t="str">
        <f>"020519"</f>
        <v>0</v>
      </c>
      <c r="C12482" t="s">
        <v>18267</v>
      </c>
      <c r="D12482" t="s">
        <v>716</v>
      </c>
      <c r="E12482" t="str">
        <f>"3950100413877"</f>
        <v>0</v>
      </c>
      <c r="F12482" t="str">
        <f>"007010"</f>
        <v>0</v>
      </c>
      <c r="G12482" t="s">
        <v>21</v>
      </c>
    </row>
    <row r="12483" spans="1:7">
      <c r="A12483">
        <v>12482</v>
      </c>
      <c r="B12483" t="str">
        <f>"019114"</f>
        <v>0</v>
      </c>
      <c r="C12483" t="s">
        <v>13032</v>
      </c>
      <c r="D12483" t="s">
        <v>18268</v>
      </c>
      <c r="E12483" t="str">
        <f>"3930500950403"</f>
        <v>0</v>
      </c>
      <c r="F12483" t="str">
        <f>"007010"</f>
        <v>0</v>
      </c>
      <c r="G12483" t="s">
        <v>21</v>
      </c>
    </row>
    <row r="12484" spans="1:7">
      <c r="A12484">
        <v>12483</v>
      </c>
      <c r="B12484" t="str">
        <f>"014914"</f>
        <v>0</v>
      </c>
      <c r="C12484" t="s">
        <v>12071</v>
      </c>
      <c r="D12484" t="s">
        <v>18269</v>
      </c>
      <c r="E12484" t="str">
        <f>"3900300462812"</f>
        <v>0</v>
      </c>
      <c r="F12484" t="str">
        <f>"007010"</f>
        <v>0</v>
      </c>
      <c r="G12484" t="s">
        <v>21</v>
      </c>
    </row>
    <row r="12485" spans="1:7">
      <c r="A12485">
        <v>12484</v>
      </c>
      <c r="B12485" t="str">
        <f>"024030"</f>
        <v>0</v>
      </c>
      <c r="C12485" t="s">
        <v>18270</v>
      </c>
      <c r="D12485" t="s">
        <v>6448</v>
      </c>
      <c r="E12485" t="str">
        <f>"1949900079264"</f>
        <v>0</v>
      </c>
      <c r="F12485" t="str">
        <f>"007010"</f>
        <v>0</v>
      </c>
      <c r="G12485" t="s">
        <v>21</v>
      </c>
    </row>
    <row r="12486" spans="1:7">
      <c r="A12486">
        <v>12485</v>
      </c>
      <c r="B12486" t="str">
        <f>"025218"</f>
        <v>0</v>
      </c>
      <c r="C12486" t="s">
        <v>18271</v>
      </c>
      <c r="D12486" t="s">
        <v>18272</v>
      </c>
      <c r="E12486" t="str">
        <f>"1969900016947"</f>
        <v>0</v>
      </c>
      <c r="F12486" t="str">
        <f>"007010"</f>
        <v>0</v>
      </c>
      <c r="G12486" t="s">
        <v>21</v>
      </c>
    </row>
    <row r="12487" spans="1:7">
      <c r="A12487">
        <v>12486</v>
      </c>
      <c r="B12487" t="str">
        <f>"015843"</f>
        <v>0</v>
      </c>
      <c r="C12487" t="s">
        <v>2360</v>
      </c>
      <c r="D12487" t="s">
        <v>18273</v>
      </c>
      <c r="E12487" t="str">
        <f>"3900200217808"</f>
        <v>0</v>
      </c>
      <c r="F12487" t="str">
        <f>"007010"</f>
        <v>0</v>
      </c>
      <c r="G12487" t="s">
        <v>21</v>
      </c>
    </row>
    <row r="12488" spans="1:7">
      <c r="A12488">
        <v>12487</v>
      </c>
      <c r="B12488" t="str">
        <f>"019065"</f>
        <v>0</v>
      </c>
      <c r="C12488" t="s">
        <v>5962</v>
      </c>
      <c r="D12488" t="s">
        <v>18274</v>
      </c>
      <c r="E12488" t="str">
        <f>"3940400242377"</f>
        <v>0</v>
      </c>
      <c r="F12488" t="str">
        <f>"007010"</f>
        <v>0</v>
      </c>
      <c r="G12488" t="s">
        <v>21</v>
      </c>
    </row>
    <row r="12489" spans="1:7">
      <c r="A12489">
        <v>12488</v>
      </c>
      <c r="B12489" t="str">
        <f>"019075"</f>
        <v>0</v>
      </c>
      <c r="C12489" t="s">
        <v>18275</v>
      </c>
      <c r="D12489" t="s">
        <v>18276</v>
      </c>
      <c r="E12489" t="str">
        <f>"3940300029442"</f>
        <v>0</v>
      </c>
      <c r="F12489" t="str">
        <f>"007010"</f>
        <v>0</v>
      </c>
      <c r="G12489" t="s">
        <v>21</v>
      </c>
    </row>
    <row r="12490" spans="1:7">
      <c r="A12490">
        <v>12489</v>
      </c>
      <c r="B12490" t="str">
        <f>"019076"</f>
        <v>0</v>
      </c>
      <c r="C12490" t="s">
        <v>18277</v>
      </c>
      <c r="D12490" t="s">
        <v>1533</v>
      </c>
      <c r="E12490" t="str">
        <f>"3940300047971"</f>
        <v>0</v>
      </c>
      <c r="F12490" t="str">
        <f>"007010"</f>
        <v>0</v>
      </c>
      <c r="G12490" t="s">
        <v>21</v>
      </c>
    </row>
    <row r="12491" spans="1:7">
      <c r="A12491">
        <v>12490</v>
      </c>
      <c r="B12491" t="str">
        <f>"019077"</f>
        <v>0</v>
      </c>
      <c r="C12491" t="s">
        <v>104</v>
      </c>
      <c r="D12491" t="s">
        <v>18278</v>
      </c>
      <c r="E12491" t="str">
        <f>"3940200426369"</f>
        <v>0</v>
      </c>
      <c r="F12491" t="str">
        <f>"007010"</f>
        <v>0</v>
      </c>
      <c r="G12491" t="s">
        <v>21</v>
      </c>
    </row>
    <row r="12492" spans="1:7">
      <c r="A12492">
        <v>12491</v>
      </c>
      <c r="B12492" t="str">
        <f>"019605"</f>
        <v>0</v>
      </c>
      <c r="C12492" t="s">
        <v>3746</v>
      </c>
      <c r="D12492" t="s">
        <v>18279</v>
      </c>
      <c r="E12492" t="str">
        <f>"3940200405213"</f>
        <v>0</v>
      </c>
      <c r="F12492" t="str">
        <f>"007010"</f>
        <v>0</v>
      </c>
      <c r="G12492" t="s">
        <v>21</v>
      </c>
    </row>
    <row r="12493" spans="1:7">
      <c r="A12493">
        <v>12492</v>
      </c>
      <c r="B12493" t="str">
        <f>"019833"</f>
        <v>0</v>
      </c>
      <c r="C12493" t="s">
        <v>4757</v>
      </c>
      <c r="D12493" t="s">
        <v>3526</v>
      </c>
      <c r="E12493" t="str">
        <f>"3800700593702"</f>
        <v>0</v>
      </c>
      <c r="F12493" t="str">
        <f>"007010"</f>
        <v>0</v>
      </c>
      <c r="G12493" t="s">
        <v>21</v>
      </c>
    </row>
    <row r="12494" spans="1:7">
      <c r="A12494">
        <v>12493</v>
      </c>
      <c r="B12494" t="str">
        <f>"021232"</f>
        <v>0</v>
      </c>
      <c r="C12494" t="s">
        <v>18280</v>
      </c>
      <c r="D12494" t="s">
        <v>18281</v>
      </c>
      <c r="E12494" t="str">
        <f>"1959900045912"</f>
        <v>0</v>
      </c>
      <c r="F12494" t="str">
        <f>"007010"</f>
        <v>0</v>
      </c>
      <c r="G12494" t="s">
        <v>21</v>
      </c>
    </row>
    <row r="12495" spans="1:7">
      <c r="A12495">
        <v>12494</v>
      </c>
      <c r="B12495" t="str">
        <f>"022561"</f>
        <v>0</v>
      </c>
      <c r="C12495" t="s">
        <v>18282</v>
      </c>
      <c r="D12495" t="s">
        <v>18272</v>
      </c>
      <c r="E12495" t="str">
        <f>"1940200002651"</f>
        <v>0</v>
      </c>
      <c r="F12495" t="str">
        <f>"007010"</f>
        <v>0</v>
      </c>
      <c r="G12495" t="s">
        <v>21</v>
      </c>
    </row>
    <row r="12496" spans="1:7">
      <c r="A12496">
        <v>12495</v>
      </c>
      <c r="B12496" t="str">
        <f>"022914"</f>
        <v>0</v>
      </c>
      <c r="C12496" t="s">
        <v>4727</v>
      </c>
      <c r="D12496" t="s">
        <v>9307</v>
      </c>
      <c r="E12496" t="str">
        <f>"3940200407259"</f>
        <v>0</v>
      </c>
      <c r="F12496" t="str">
        <f>"007010"</f>
        <v>0</v>
      </c>
      <c r="G12496" t="s">
        <v>21</v>
      </c>
    </row>
    <row r="12497" spans="1:7">
      <c r="A12497">
        <v>12496</v>
      </c>
      <c r="B12497" t="str">
        <f>"023262"</f>
        <v>0</v>
      </c>
      <c r="C12497" t="s">
        <v>18283</v>
      </c>
      <c r="D12497" t="s">
        <v>18284</v>
      </c>
      <c r="E12497" t="str">
        <f>"3500700046615"</f>
        <v>0</v>
      </c>
      <c r="F12497" t="str">
        <f>"007010"</f>
        <v>0</v>
      </c>
      <c r="G12497" t="s">
        <v>21</v>
      </c>
    </row>
    <row r="12498" spans="1:7">
      <c r="A12498">
        <v>12497</v>
      </c>
      <c r="B12498" t="str">
        <f>"024492"</f>
        <v>0</v>
      </c>
      <c r="C12498" t="s">
        <v>18285</v>
      </c>
      <c r="D12498" t="s">
        <v>18286</v>
      </c>
      <c r="E12498" t="str">
        <f>"1949900025865"</f>
        <v>0</v>
      </c>
      <c r="F12498" t="str">
        <f>"007010"</f>
        <v>0</v>
      </c>
      <c r="G12498" t="s">
        <v>21</v>
      </c>
    </row>
    <row r="12499" spans="1:7">
      <c r="A12499">
        <v>12498</v>
      </c>
      <c r="B12499" t="str">
        <f>"018526"</f>
        <v>0</v>
      </c>
      <c r="C12499" t="s">
        <v>18287</v>
      </c>
      <c r="D12499" t="s">
        <v>18288</v>
      </c>
      <c r="E12499" t="str">
        <f>"3950100324882"</f>
        <v>0</v>
      </c>
      <c r="F12499" t="str">
        <f>"007010"</f>
        <v>0</v>
      </c>
      <c r="G12499" t="s">
        <v>21</v>
      </c>
    </row>
    <row r="12500" spans="1:7">
      <c r="A12500">
        <v>12499</v>
      </c>
      <c r="B12500" t="str">
        <f>"024582"</f>
        <v>0</v>
      </c>
      <c r="C12500" t="s">
        <v>18289</v>
      </c>
      <c r="D12500" t="s">
        <v>18290</v>
      </c>
      <c r="E12500" t="str">
        <f>"3470300309580"</f>
        <v>0</v>
      </c>
      <c r="F12500" t="str">
        <f>"007010"</f>
        <v>0</v>
      </c>
      <c r="G12500" t="s">
        <v>21</v>
      </c>
    </row>
    <row r="12501" spans="1:7">
      <c r="A12501">
        <v>12500</v>
      </c>
      <c r="B12501" t="str">
        <f>"019122"</f>
        <v>0</v>
      </c>
      <c r="C12501" t="s">
        <v>6203</v>
      </c>
      <c r="D12501" t="s">
        <v>18291</v>
      </c>
      <c r="E12501" t="str">
        <f>"3430200027361"</f>
        <v>0</v>
      </c>
      <c r="F12501" t="str">
        <f>"007010"</f>
        <v>0</v>
      </c>
      <c r="G12501" t="s">
        <v>21</v>
      </c>
    </row>
    <row r="12502" spans="1:7">
      <c r="A12502">
        <v>12501</v>
      </c>
      <c r="B12502" t="str">
        <f>"023270"</f>
        <v>0</v>
      </c>
      <c r="C12502" t="s">
        <v>1080</v>
      </c>
      <c r="D12502" t="s">
        <v>18292</v>
      </c>
      <c r="E12502" t="str">
        <f>"3479900194030"</f>
        <v>0</v>
      </c>
      <c r="F12502" t="str">
        <f>"007010"</f>
        <v>0</v>
      </c>
      <c r="G12502" t="s">
        <v>21</v>
      </c>
    </row>
    <row r="12503" spans="1:7">
      <c r="A12503">
        <v>12502</v>
      </c>
      <c r="B12503" t="str">
        <f>"026553"</f>
        <v>0</v>
      </c>
      <c r="C12503" t="s">
        <v>18293</v>
      </c>
      <c r="D12503" t="s">
        <v>18294</v>
      </c>
      <c r="E12503" t="str">
        <f>"3490500215180"</f>
        <v>0</v>
      </c>
      <c r="F12503" t="str">
        <f>"007010"</f>
        <v>0</v>
      </c>
      <c r="G12503" t="s">
        <v>21</v>
      </c>
    </row>
    <row r="12504" spans="1:7">
      <c r="A12504">
        <v>12503</v>
      </c>
      <c r="B12504" t="str">
        <f>"022916"</f>
        <v>0</v>
      </c>
      <c r="C12504" t="s">
        <v>18295</v>
      </c>
      <c r="D12504" t="s">
        <v>6054</v>
      </c>
      <c r="E12504" t="str">
        <f>"5330100011053"</f>
        <v>0</v>
      </c>
      <c r="F12504" t="str">
        <f>"007010"</f>
        <v>0</v>
      </c>
      <c r="G12504" t="s">
        <v>21</v>
      </c>
    </row>
    <row r="12505" spans="1:7">
      <c r="A12505">
        <v>12504</v>
      </c>
      <c r="B12505" t="str">
        <f>"022381"</f>
        <v>0</v>
      </c>
      <c r="C12505" t="s">
        <v>18296</v>
      </c>
      <c r="D12505" t="s">
        <v>18297</v>
      </c>
      <c r="E12505" t="str">
        <f>"3340701529701"</f>
        <v>0</v>
      </c>
      <c r="F12505" t="str">
        <f>"007010"</f>
        <v>0</v>
      </c>
      <c r="G12505" t="s">
        <v>21</v>
      </c>
    </row>
    <row r="12506" spans="1:7">
      <c r="A12506">
        <v>12505</v>
      </c>
      <c r="B12506" t="str">
        <f>"024298"</f>
        <v>0</v>
      </c>
      <c r="C12506" t="s">
        <v>18298</v>
      </c>
      <c r="D12506" t="s">
        <v>15246</v>
      </c>
      <c r="E12506" t="str">
        <f>"3341900639345"</f>
        <v>0</v>
      </c>
      <c r="F12506" t="str">
        <f>"007010"</f>
        <v>0</v>
      </c>
      <c r="G12506" t="s">
        <v>21</v>
      </c>
    </row>
    <row r="12507" spans="1:7">
      <c r="A12507">
        <v>12506</v>
      </c>
      <c r="B12507" t="str">
        <f>"026965"</f>
        <v>0</v>
      </c>
      <c r="C12507" t="s">
        <v>18299</v>
      </c>
      <c r="D12507" t="s">
        <v>18300</v>
      </c>
      <c r="E12507" t="str">
        <f>"1869900105151"</f>
        <v>0</v>
      </c>
      <c r="F12507" t="str">
        <f>"007010"</f>
        <v>0</v>
      </c>
      <c r="G12507" t="s">
        <v>21</v>
      </c>
    </row>
    <row r="12508" spans="1:7">
      <c r="A12508">
        <v>12507</v>
      </c>
      <c r="B12508" t="str">
        <f>"023873"</f>
        <v>0</v>
      </c>
      <c r="C12508" t="s">
        <v>17396</v>
      </c>
      <c r="D12508" t="s">
        <v>17700</v>
      </c>
      <c r="E12508" t="str">
        <f>"2610600017215"</f>
        <v>0</v>
      </c>
      <c r="F12508" t="str">
        <f>"007010"</f>
        <v>0</v>
      </c>
      <c r="G12508" t="s">
        <v>21</v>
      </c>
    </row>
    <row r="12509" spans="1:7">
      <c r="A12509">
        <v>12508</v>
      </c>
      <c r="B12509" t="str">
        <f>"020181"</f>
        <v>0</v>
      </c>
      <c r="C12509" t="s">
        <v>18301</v>
      </c>
      <c r="D12509" t="s">
        <v>18302</v>
      </c>
      <c r="E12509" t="str">
        <f>"3579900015703"</f>
        <v>0</v>
      </c>
      <c r="F12509" t="str">
        <f>"007010"</f>
        <v>0</v>
      </c>
      <c r="G12509" t="s">
        <v>21</v>
      </c>
    </row>
    <row r="12510" spans="1:7">
      <c r="A12510">
        <v>12509</v>
      </c>
      <c r="B12510" t="str">
        <f>"026848"</f>
        <v>0</v>
      </c>
      <c r="C12510" t="s">
        <v>12689</v>
      </c>
      <c r="D12510" t="s">
        <v>18303</v>
      </c>
      <c r="E12510" t="str">
        <f>"1769900028807"</f>
        <v>0</v>
      </c>
      <c r="F12510" t="str">
        <f>"007010"</f>
        <v>0</v>
      </c>
      <c r="G12510" t="s">
        <v>21</v>
      </c>
    </row>
    <row r="12511" spans="1:7">
      <c r="A12511">
        <v>12510</v>
      </c>
      <c r="B12511" t="str">
        <f>"021351"</f>
        <v>0</v>
      </c>
      <c r="C12511" t="s">
        <v>18304</v>
      </c>
      <c r="D12511" t="s">
        <v>18305</v>
      </c>
      <c r="E12511" t="str">
        <f>"3500800027655"</f>
        <v>0</v>
      </c>
      <c r="F12511" t="str">
        <f>"007010"</f>
        <v>0</v>
      </c>
      <c r="G12511" t="s">
        <v>21</v>
      </c>
    </row>
    <row r="12512" spans="1:7">
      <c r="A12512">
        <v>12511</v>
      </c>
      <c r="B12512" t="str">
        <f>"023519"</f>
        <v>0</v>
      </c>
      <c r="C12512" t="s">
        <v>18306</v>
      </c>
      <c r="D12512" t="s">
        <v>18307</v>
      </c>
      <c r="E12512" t="str">
        <f>"3501800010133"</f>
        <v>0</v>
      </c>
      <c r="F12512" t="str">
        <f>"007010"</f>
        <v>0</v>
      </c>
      <c r="G12512" t="s">
        <v>21</v>
      </c>
    </row>
    <row r="12513" spans="1:7">
      <c r="A12513">
        <v>12512</v>
      </c>
      <c r="B12513" t="str">
        <f>"024218"</f>
        <v>0</v>
      </c>
      <c r="C12513" t="s">
        <v>18308</v>
      </c>
      <c r="D12513" t="s">
        <v>18309</v>
      </c>
      <c r="E12513" t="str">
        <f>"5579900028879"</f>
        <v>0</v>
      </c>
      <c r="F12513" t="str">
        <f>"007010"</f>
        <v>0</v>
      </c>
      <c r="G12513" t="s">
        <v>21</v>
      </c>
    </row>
    <row r="12514" spans="1:7">
      <c r="A12514">
        <v>12513</v>
      </c>
      <c r="B12514" t="str">
        <f>"021041"</f>
        <v>0</v>
      </c>
      <c r="C12514" t="s">
        <v>909</v>
      </c>
      <c r="D12514" t="s">
        <v>18310</v>
      </c>
      <c r="E12514" t="str">
        <f>"1639900008262"</f>
        <v>0</v>
      </c>
      <c r="F12514" t="str">
        <f>"007010"</f>
        <v>0</v>
      </c>
      <c r="G12514" t="s">
        <v>21</v>
      </c>
    </row>
    <row r="12515" spans="1:7">
      <c r="A12515">
        <v>12514</v>
      </c>
      <c r="B12515" t="str">
        <f>"024339"</f>
        <v>0</v>
      </c>
      <c r="C12515" t="s">
        <v>18311</v>
      </c>
      <c r="D12515" t="s">
        <v>18312</v>
      </c>
      <c r="E12515" t="str">
        <f>"1540200012502"</f>
        <v>0</v>
      </c>
      <c r="F12515" t="str">
        <f>"007010"</f>
        <v>0</v>
      </c>
      <c r="G12515" t="s">
        <v>21</v>
      </c>
    </row>
    <row r="12516" spans="1:7">
      <c r="A12516">
        <v>12515</v>
      </c>
      <c r="B12516" t="str">
        <f>"021462"</f>
        <v>0</v>
      </c>
      <c r="C12516" t="s">
        <v>18313</v>
      </c>
      <c r="D12516" t="s">
        <v>8811</v>
      </c>
      <c r="E12516" t="str">
        <f>"3360101038579"</f>
        <v>0</v>
      </c>
      <c r="F12516" t="str">
        <f>"007010"</f>
        <v>0</v>
      </c>
      <c r="G12516" t="s">
        <v>21</v>
      </c>
    </row>
    <row r="12517" spans="1:7">
      <c r="A12517">
        <v>12516</v>
      </c>
      <c r="B12517" t="str">
        <f>"025204"</f>
        <v>0</v>
      </c>
      <c r="C12517" t="s">
        <v>2638</v>
      </c>
      <c r="D12517" t="s">
        <v>18314</v>
      </c>
      <c r="E12517" t="str">
        <f>"1100200043819"</f>
        <v>0</v>
      </c>
      <c r="F12517" t="str">
        <f>"007010"</f>
        <v>0</v>
      </c>
      <c r="G12517" t="s">
        <v>21</v>
      </c>
    </row>
    <row r="12518" spans="1:7">
      <c r="A12518">
        <v>12517</v>
      </c>
      <c r="B12518" t="str">
        <f>"023781"</f>
        <v>0</v>
      </c>
      <c r="C12518" t="s">
        <v>18315</v>
      </c>
      <c r="D12518" t="s">
        <v>18316</v>
      </c>
      <c r="E12518" t="str">
        <f>"1669800010907"</f>
        <v>0</v>
      </c>
      <c r="F12518" t="str">
        <f>"007010"</f>
        <v>0</v>
      </c>
      <c r="G12518" t="s">
        <v>21</v>
      </c>
    </row>
    <row r="12519" spans="1:7">
      <c r="A12519">
        <v>12518</v>
      </c>
      <c r="B12519" t="str">
        <f>"023743"</f>
        <v>0</v>
      </c>
      <c r="C12519" t="s">
        <v>18317</v>
      </c>
      <c r="D12519" t="s">
        <v>18318</v>
      </c>
      <c r="E12519" t="str">
        <f>"1329900038741"</f>
        <v>0</v>
      </c>
      <c r="F12519" t="str">
        <f>"007010"</f>
        <v>0</v>
      </c>
      <c r="G12519" t="s">
        <v>21</v>
      </c>
    </row>
    <row r="12520" spans="1:7">
      <c r="A12520">
        <v>12519</v>
      </c>
      <c r="B12520" t="str">
        <f>"022719"</f>
        <v>0</v>
      </c>
      <c r="C12520" t="s">
        <v>10517</v>
      </c>
      <c r="D12520" t="s">
        <v>18319</v>
      </c>
      <c r="E12520" t="str">
        <f>"3470500264598"</f>
        <v>0</v>
      </c>
      <c r="F12520" t="str">
        <f>"007010"</f>
        <v>0</v>
      </c>
      <c r="G12520" t="s">
        <v>21</v>
      </c>
    </row>
    <row r="12521" spans="1:7">
      <c r="A12521">
        <v>12520</v>
      </c>
      <c r="B12521" t="str">
        <f>"026614"</f>
        <v>0</v>
      </c>
      <c r="C12521" t="s">
        <v>13227</v>
      </c>
      <c r="D12521" t="s">
        <v>18320</v>
      </c>
      <c r="E12521" t="str">
        <f>"1479900129703"</f>
        <v>0</v>
      </c>
      <c r="F12521" t="str">
        <f>"007010"</f>
        <v>0</v>
      </c>
      <c r="G12521" t="s">
        <v>21</v>
      </c>
    </row>
    <row r="12522" spans="1:7">
      <c r="A12522">
        <v>12521</v>
      </c>
      <c r="B12522" t="str">
        <f>"023073"</f>
        <v>0</v>
      </c>
      <c r="C12522" t="s">
        <v>18321</v>
      </c>
      <c r="D12522" t="s">
        <v>18322</v>
      </c>
      <c r="E12522" t="str">
        <f>"3101800234736"</f>
        <v>0</v>
      </c>
      <c r="F12522" t="str">
        <f>"007010"</f>
        <v>0</v>
      </c>
      <c r="G12522" t="s">
        <v>21</v>
      </c>
    </row>
    <row r="12523" spans="1:7">
      <c r="A12523">
        <v>12522</v>
      </c>
      <c r="B12523" t="str">
        <f>"027473"</f>
        <v>0</v>
      </c>
      <c r="C12523" t="s">
        <v>18323</v>
      </c>
      <c r="D12523" t="s">
        <v>6456</v>
      </c>
      <c r="E12523" t="str">
        <f>"3500500416753"</f>
        <v>0</v>
      </c>
      <c r="F12523" t="str">
        <f>"007010"</f>
        <v>0</v>
      </c>
      <c r="G12523" t="s">
        <v>21</v>
      </c>
    </row>
    <row r="12524" spans="1:7">
      <c r="A12524">
        <v>12523</v>
      </c>
      <c r="B12524" t="str">
        <f>"020840"</f>
        <v>0</v>
      </c>
      <c r="C12524" t="s">
        <v>18324</v>
      </c>
      <c r="D12524" t="s">
        <v>18325</v>
      </c>
      <c r="E12524" t="str">
        <f>"3430500111384"</f>
        <v>0</v>
      </c>
      <c r="F12524" t="str">
        <f>"007010"</f>
        <v>0</v>
      </c>
      <c r="G12524" t="s">
        <v>21</v>
      </c>
    </row>
    <row r="12525" spans="1:7">
      <c r="A12525">
        <v>12524</v>
      </c>
      <c r="B12525" t="str">
        <f>"018790"</f>
        <v>0</v>
      </c>
      <c r="C12525" t="s">
        <v>264</v>
      </c>
      <c r="D12525" t="s">
        <v>18326</v>
      </c>
      <c r="E12525" t="str">
        <f>"3410101288329"</f>
        <v>0</v>
      </c>
      <c r="F12525" t="str">
        <f>"007010"</f>
        <v>0</v>
      </c>
      <c r="G12525" t="s">
        <v>21</v>
      </c>
    </row>
    <row r="12526" spans="1:7">
      <c r="A12526">
        <v>12525</v>
      </c>
      <c r="B12526" t="str">
        <f>"010954"</f>
        <v>0</v>
      </c>
      <c r="C12526" t="s">
        <v>590</v>
      </c>
      <c r="D12526" t="s">
        <v>18327</v>
      </c>
      <c r="E12526" t="str">
        <f>"3320900297095"</f>
        <v>0</v>
      </c>
      <c r="F12526" t="str">
        <f>"007010"</f>
        <v>0</v>
      </c>
      <c r="G12526" t="s">
        <v>21</v>
      </c>
    </row>
    <row r="12527" spans="1:7">
      <c r="A12527">
        <v>12526</v>
      </c>
      <c r="B12527" t="str">
        <f>"023624"</f>
        <v>0</v>
      </c>
      <c r="C12527" t="s">
        <v>18328</v>
      </c>
      <c r="D12527" t="s">
        <v>18329</v>
      </c>
      <c r="E12527" t="str">
        <f>"3320300130050"</f>
        <v>0</v>
      </c>
      <c r="F12527" t="str">
        <f>"007010"</f>
        <v>0</v>
      </c>
      <c r="G12527" t="s">
        <v>21</v>
      </c>
    </row>
    <row r="12528" spans="1:7">
      <c r="A12528">
        <v>12527</v>
      </c>
      <c r="B12528" t="str">
        <f>"020376"</f>
        <v>0</v>
      </c>
      <c r="C12528" t="s">
        <v>18330</v>
      </c>
      <c r="D12528" t="s">
        <v>18331</v>
      </c>
      <c r="E12528" t="str">
        <f>"3400700071637"</f>
        <v>0</v>
      </c>
      <c r="F12528" t="str">
        <f>"007010"</f>
        <v>0</v>
      </c>
      <c r="G12528" t="s">
        <v>21</v>
      </c>
    </row>
    <row r="12529" spans="1:7">
      <c r="A12529">
        <v>12528</v>
      </c>
      <c r="B12529" t="str">
        <f>"016719"</f>
        <v>0</v>
      </c>
      <c r="C12529" t="s">
        <v>18332</v>
      </c>
      <c r="D12529" t="s">
        <v>18333</v>
      </c>
      <c r="E12529" t="str">
        <f>"3309900670827"</f>
        <v>0</v>
      </c>
      <c r="F12529" t="str">
        <f>"007010"</f>
        <v>0</v>
      </c>
      <c r="G12529" t="s">
        <v>21</v>
      </c>
    </row>
    <row r="12530" spans="1:7">
      <c r="A12530">
        <v>12529</v>
      </c>
      <c r="B12530" t="str">
        <f>"022152"</f>
        <v>0</v>
      </c>
      <c r="C12530" t="s">
        <v>18334</v>
      </c>
      <c r="D12530" t="s">
        <v>16853</v>
      </c>
      <c r="E12530" t="str">
        <f>"1140600007259"</f>
        <v>0</v>
      </c>
      <c r="F12530" t="str">
        <f>"007010"</f>
        <v>0</v>
      </c>
      <c r="G12530" t="s">
        <v>21</v>
      </c>
    </row>
    <row r="12531" spans="1:7">
      <c r="A12531">
        <v>12530</v>
      </c>
      <c r="B12531" t="str">
        <f>"024692"</f>
        <v>0</v>
      </c>
      <c r="C12531" t="s">
        <v>18335</v>
      </c>
      <c r="D12531" t="s">
        <v>18336</v>
      </c>
      <c r="E12531" t="str">
        <f>"1709900044713"</f>
        <v>0</v>
      </c>
      <c r="F12531" t="str">
        <f>"007010"</f>
        <v>0</v>
      </c>
      <c r="G12531" t="s">
        <v>21</v>
      </c>
    </row>
    <row r="12532" spans="1:7">
      <c r="A12532">
        <v>12531</v>
      </c>
      <c r="B12532" t="str">
        <f>"024811"</f>
        <v>0</v>
      </c>
      <c r="C12532" t="s">
        <v>18337</v>
      </c>
      <c r="D12532" t="s">
        <v>18338</v>
      </c>
      <c r="E12532" t="str">
        <f>"1410100017333"</f>
        <v>0</v>
      </c>
      <c r="F12532" t="str">
        <f>"007010"</f>
        <v>0</v>
      </c>
      <c r="G12532" t="s">
        <v>21</v>
      </c>
    </row>
    <row r="12533" spans="1:7">
      <c r="A12533">
        <v>12532</v>
      </c>
      <c r="B12533" t="str">
        <f>"025370"</f>
        <v>0</v>
      </c>
      <c r="C12533" t="s">
        <v>18339</v>
      </c>
      <c r="D12533" t="s">
        <v>18340</v>
      </c>
      <c r="E12533" t="str">
        <f>"1101499043861"</f>
        <v>0</v>
      </c>
      <c r="F12533" t="str">
        <f>"007010"</f>
        <v>0</v>
      </c>
      <c r="G12533" t="s">
        <v>21</v>
      </c>
    </row>
    <row r="12534" spans="1:7">
      <c r="A12534">
        <v>12533</v>
      </c>
      <c r="B12534" t="str">
        <f>"021216"</f>
        <v>0</v>
      </c>
      <c r="C12534" t="s">
        <v>3105</v>
      </c>
      <c r="D12534" t="s">
        <v>18341</v>
      </c>
      <c r="E12534" t="str">
        <f>"3929900343219"</f>
        <v>0</v>
      </c>
      <c r="F12534" t="str">
        <f>"007010"</f>
        <v>0</v>
      </c>
      <c r="G12534" t="s">
        <v>21</v>
      </c>
    </row>
    <row r="12535" spans="1:7">
      <c r="A12535">
        <v>12534</v>
      </c>
      <c r="B12535" t="str">
        <f>"022229"</f>
        <v>0</v>
      </c>
      <c r="C12535" t="s">
        <v>18342</v>
      </c>
      <c r="D12535" t="s">
        <v>18343</v>
      </c>
      <c r="E12535" t="str">
        <f>"5800700052210"</f>
        <v>0</v>
      </c>
      <c r="F12535" t="str">
        <f>"007010"</f>
        <v>0</v>
      </c>
      <c r="G12535" t="s">
        <v>21</v>
      </c>
    </row>
    <row r="12536" spans="1:7">
      <c r="A12536">
        <v>12535</v>
      </c>
      <c r="B12536" t="str">
        <f>"024713"</f>
        <v>0</v>
      </c>
      <c r="C12536" t="s">
        <v>16856</v>
      </c>
      <c r="D12536" t="s">
        <v>13856</v>
      </c>
      <c r="E12536" t="str">
        <f>"1100700075230"</f>
        <v>0</v>
      </c>
      <c r="F12536" t="str">
        <f>"007010"</f>
        <v>0</v>
      </c>
      <c r="G12536" t="s">
        <v>21</v>
      </c>
    </row>
    <row r="12537" spans="1:7">
      <c r="A12537">
        <v>12536</v>
      </c>
      <c r="B12537" t="str">
        <f>"021781"</f>
        <v>0</v>
      </c>
      <c r="C12537" t="s">
        <v>8067</v>
      </c>
      <c r="D12537" t="s">
        <v>18344</v>
      </c>
      <c r="E12537" t="str">
        <f>"3150400243010"</f>
        <v>0</v>
      </c>
      <c r="F12537" t="str">
        <f>"007010"</f>
        <v>0</v>
      </c>
      <c r="G12537" t="s">
        <v>21</v>
      </c>
    </row>
    <row r="12538" spans="1:7">
      <c r="A12538">
        <v>12537</v>
      </c>
      <c r="B12538" t="str">
        <f>"025496"</f>
        <v>0</v>
      </c>
      <c r="C12538" t="s">
        <v>18345</v>
      </c>
      <c r="D12538" t="s">
        <v>18346</v>
      </c>
      <c r="E12538" t="str">
        <f>"1100800013015"</f>
        <v>0</v>
      </c>
      <c r="F12538" t="str">
        <f>"007010"</f>
        <v>0</v>
      </c>
      <c r="G12538" t="s">
        <v>21</v>
      </c>
    </row>
    <row r="12539" spans="1:7">
      <c r="A12539">
        <v>12538</v>
      </c>
      <c r="B12539" t="str">
        <f>"021482"</f>
        <v>0</v>
      </c>
      <c r="C12539" t="s">
        <v>12247</v>
      </c>
      <c r="D12539" t="s">
        <v>18347</v>
      </c>
      <c r="E12539" t="str">
        <f>"3760600137358"</f>
        <v>0</v>
      </c>
      <c r="F12539" t="str">
        <f>"007010"</f>
        <v>0</v>
      </c>
      <c r="G12539" t="s">
        <v>21</v>
      </c>
    </row>
    <row r="12540" spans="1:7">
      <c r="A12540">
        <v>12539</v>
      </c>
      <c r="B12540" t="str">
        <f>"022466"</f>
        <v>0</v>
      </c>
      <c r="C12540" t="s">
        <v>10123</v>
      </c>
      <c r="D12540" t="s">
        <v>18348</v>
      </c>
      <c r="E12540" t="str">
        <f>"3240600704320"</f>
        <v>0</v>
      </c>
      <c r="F12540" t="str">
        <f>"007010"</f>
        <v>0</v>
      </c>
      <c r="G12540" t="s">
        <v>21</v>
      </c>
    </row>
    <row r="12541" spans="1:7">
      <c r="A12541">
        <v>12540</v>
      </c>
      <c r="B12541" t="str">
        <f>"023374"</f>
        <v>0</v>
      </c>
      <c r="C12541" t="s">
        <v>5676</v>
      </c>
      <c r="D12541" t="s">
        <v>18349</v>
      </c>
      <c r="E12541" t="str">
        <f>"1509900126240"</f>
        <v>0</v>
      </c>
      <c r="F12541" t="str">
        <f>"007010"</f>
        <v>0</v>
      </c>
      <c r="G12541" t="s">
        <v>21</v>
      </c>
    </row>
    <row r="12542" spans="1:7">
      <c r="A12542">
        <v>12541</v>
      </c>
      <c r="B12542" t="str">
        <f>"024202"</f>
        <v>0</v>
      </c>
      <c r="C12542" t="s">
        <v>18350</v>
      </c>
      <c r="D12542" t="s">
        <v>17948</v>
      </c>
      <c r="E12542" t="str">
        <f>"1510500037705"</f>
        <v>0</v>
      </c>
      <c r="F12542" t="str">
        <f>"007010"</f>
        <v>0</v>
      </c>
      <c r="G12542" t="s">
        <v>21</v>
      </c>
    </row>
    <row r="12543" spans="1:7">
      <c r="A12543">
        <v>12542</v>
      </c>
      <c r="B12543" t="str">
        <f>"019206"</f>
        <v>0</v>
      </c>
      <c r="C12543" t="s">
        <v>18351</v>
      </c>
      <c r="D12543" t="s">
        <v>18352</v>
      </c>
      <c r="E12543" t="str">
        <f>"3100500765352"</f>
        <v>0</v>
      </c>
      <c r="F12543" t="str">
        <f>"007010"</f>
        <v>0</v>
      </c>
      <c r="G12543" t="s">
        <v>21</v>
      </c>
    </row>
    <row r="12544" spans="1:7">
      <c r="A12544">
        <v>12543</v>
      </c>
      <c r="B12544" t="str">
        <f>"014144"</f>
        <v>0</v>
      </c>
      <c r="C12544" t="s">
        <v>570</v>
      </c>
      <c r="D12544" t="s">
        <v>3631</v>
      </c>
      <c r="E12544" t="str">
        <f>"3149900263140"</f>
        <v>0</v>
      </c>
      <c r="F12544" t="str">
        <f>"007010"</f>
        <v>0</v>
      </c>
      <c r="G12544" t="s">
        <v>21</v>
      </c>
    </row>
    <row r="12545" spans="1:7">
      <c r="A12545">
        <v>12544</v>
      </c>
      <c r="B12545" t="str">
        <f>"023112"</f>
        <v>0</v>
      </c>
      <c r="C12545" t="s">
        <v>18353</v>
      </c>
      <c r="D12545" t="s">
        <v>18354</v>
      </c>
      <c r="E12545" t="str">
        <f>"5160100086951"</f>
        <v>0</v>
      </c>
      <c r="F12545" t="str">
        <f>"007010"</f>
        <v>0</v>
      </c>
      <c r="G12545" t="s">
        <v>21</v>
      </c>
    </row>
    <row r="12546" spans="1:7">
      <c r="A12546">
        <v>12545</v>
      </c>
      <c r="B12546" t="str">
        <f>"019689"</f>
        <v>0</v>
      </c>
      <c r="C12546" t="s">
        <v>18355</v>
      </c>
      <c r="D12546" t="s">
        <v>4551</v>
      </c>
      <c r="E12546" t="str">
        <f>"3820500168111"</f>
        <v>0</v>
      </c>
      <c r="F12546" t="str">
        <f>"007010"</f>
        <v>0</v>
      </c>
      <c r="G12546" t="s">
        <v>21</v>
      </c>
    </row>
    <row r="12547" spans="1:7">
      <c r="A12547">
        <v>12546</v>
      </c>
      <c r="B12547" t="str">
        <f>"022788"</f>
        <v>0</v>
      </c>
      <c r="C12547" t="s">
        <v>18356</v>
      </c>
      <c r="D12547" t="s">
        <v>18357</v>
      </c>
      <c r="E12547" t="str">
        <f>"1720200001134"</f>
        <v>0</v>
      </c>
      <c r="F12547" t="str">
        <f>"007010"</f>
        <v>0</v>
      </c>
      <c r="G12547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3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7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7">
      <c r="A2">
        <v>1</v>
      </c>
      <c r="B2" t="str">
        <f>"000021"</f>
        <v>0</v>
      </c>
      <c r="C2" t="s">
        <v>8873</v>
      </c>
      <c r="D2" t="s">
        <v>18358</v>
      </c>
      <c r="E2" t="str">
        <f>"3749900351604"</f>
        <v>0</v>
      </c>
      <c r="F2" t="str">
        <f>"000030"</f>
        <v>0</v>
      </c>
      <c r="G2" t="s">
        <v>18359</v>
      </c>
    </row>
    <row r="3" spans="1:7">
      <c r="A3">
        <v>2</v>
      </c>
      <c r="B3" t="str">
        <f>"002041"</f>
        <v>0</v>
      </c>
      <c r="C3" t="s">
        <v>802</v>
      </c>
      <c r="D3" t="s">
        <v>18360</v>
      </c>
      <c r="E3" t="str">
        <f>"3100503796534"</f>
        <v>0</v>
      </c>
      <c r="F3" t="str">
        <f>"000030"</f>
        <v>0</v>
      </c>
      <c r="G3" t="s">
        <v>18359</v>
      </c>
    </row>
    <row r="4" spans="1:7">
      <c r="A4">
        <v>3</v>
      </c>
      <c r="B4" t="str">
        <f>"002044"</f>
        <v>0</v>
      </c>
      <c r="C4" t="s">
        <v>4240</v>
      </c>
      <c r="D4" t="s">
        <v>575</v>
      </c>
      <c r="E4" t="str">
        <f>"3300101293005"</f>
        <v>0</v>
      </c>
      <c r="F4" t="str">
        <f>"000030"</f>
        <v>0</v>
      </c>
      <c r="G4" t="s">
        <v>18359</v>
      </c>
    </row>
    <row r="5" spans="1:7">
      <c r="A5">
        <v>4</v>
      </c>
      <c r="B5" t="str">
        <f>"002048"</f>
        <v>0</v>
      </c>
      <c r="C5" t="s">
        <v>18361</v>
      </c>
      <c r="D5" t="s">
        <v>18362</v>
      </c>
      <c r="E5" t="str">
        <f>"3101900002471"</f>
        <v>0</v>
      </c>
      <c r="F5" t="str">
        <f>"000030"</f>
        <v>0</v>
      </c>
      <c r="G5" t="s">
        <v>18359</v>
      </c>
    </row>
    <row r="6" spans="1:7">
      <c r="A6">
        <v>5</v>
      </c>
      <c r="B6" t="str">
        <f>"002697"</f>
        <v>0</v>
      </c>
      <c r="C6" t="s">
        <v>5091</v>
      </c>
      <c r="D6" t="s">
        <v>18363</v>
      </c>
      <c r="E6" t="str">
        <f>"3102002171932"</f>
        <v>0</v>
      </c>
      <c r="F6" t="str">
        <f>"000030"</f>
        <v>0</v>
      </c>
      <c r="G6" t="s">
        <v>18359</v>
      </c>
    </row>
    <row r="7" spans="1:7">
      <c r="A7">
        <v>6</v>
      </c>
      <c r="B7" t="str">
        <f>"002934"</f>
        <v>0</v>
      </c>
      <c r="C7" t="s">
        <v>878</v>
      </c>
      <c r="D7" t="s">
        <v>18364</v>
      </c>
      <c r="E7" t="str">
        <f>"3930100886091"</f>
        <v>0</v>
      </c>
      <c r="F7" t="str">
        <f>"000030"</f>
        <v>0</v>
      </c>
      <c r="G7" t="s">
        <v>18359</v>
      </c>
    </row>
    <row r="8" spans="1:7">
      <c r="A8">
        <v>7</v>
      </c>
      <c r="B8" t="str">
        <f>"003881"</f>
        <v>0</v>
      </c>
      <c r="C8" t="s">
        <v>18365</v>
      </c>
      <c r="D8" t="s">
        <v>18366</v>
      </c>
      <c r="E8" t="str">
        <f>"3102001771936"</f>
        <v>0</v>
      </c>
      <c r="F8" t="str">
        <f>"000030"</f>
        <v>0</v>
      </c>
      <c r="G8" t="s">
        <v>18359</v>
      </c>
    </row>
    <row r="9" spans="1:7">
      <c r="A9">
        <v>8</v>
      </c>
      <c r="B9" t="str">
        <f>"005038"</f>
        <v>0</v>
      </c>
      <c r="C9" t="s">
        <v>18367</v>
      </c>
      <c r="D9" t="s">
        <v>18368</v>
      </c>
      <c r="E9" t="str">
        <f>"3100600306023"</f>
        <v>0</v>
      </c>
      <c r="F9" t="str">
        <f>"000030"</f>
        <v>0</v>
      </c>
      <c r="G9" t="s">
        <v>18359</v>
      </c>
    </row>
    <row r="10" spans="1:7">
      <c r="A10">
        <v>9</v>
      </c>
      <c r="B10" t="str">
        <f>"005210"</f>
        <v>0</v>
      </c>
      <c r="C10" t="s">
        <v>322</v>
      </c>
      <c r="D10" t="s">
        <v>18369</v>
      </c>
      <c r="E10" t="str">
        <f>"3100900981389"</f>
        <v>0</v>
      </c>
      <c r="F10" t="str">
        <f>"000030"</f>
        <v>0</v>
      </c>
      <c r="G10" t="s">
        <v>18359</v>
      </c>
    </row>
    <row r="11" spans="1:7">
      <c r="A11">
        <v>10</v>
      </c>
      <c r="B11" t="str">
        <f>"005684"</f>
        <v>0</v>
      </c>
      <c r="C11" t="s">
        <v>6386</v>
      </c>
      <c r="D11" t="s">
        <v>18370</v>
      </c>
      <c r="E11" t="str">
        <f>"3100700426713"</f>
        <v>0</v>
      </c>
      <c r="F11" t="str">
        <f>"000030"</f>
        <v>0</v>
      </c>
      <c r="G11" t="s">
        <v>18359</v>
      </c>
    </row>
    <row r="12" spans="1:7">
      <c r="A12">
        <v>11</v>
      </c>
      <c r="B12" t="str">
        <f>"010039"</f>
        <v>0</v>
      </c>
      <c r="C12" t="s">
        <v>32</v>
      </c>
      <c r="D12" t="s">
        <v>18371</v>
      </c>
      <c r="E12" t="str">
        <f>"3510100281419"</f>
        <v>0</v>
      </c>
      <c r="F12" t="str">
        <f>"000030"</f>
        <v>0</v>
      </c>
      <c r="G12" t="s">
        <v>18359</v>
      </c>
    </row>
    <row r="13" spans="1:7">
      <c r="A13">
        <v>12</v>
      </c>
      <c r="B13" t="str">
        <f>"011125"</f>
        <v>0</v>
      </c>
      <c r="C13" t="s">
        <v>18372</v>
      </c>
      <c r="D13" t="s">
        <v>190</v>
      </c>
      <c r="E13" t="str">
        <f>"3120101803102"</f>
        <v>0</v>
      </c>
      <c r="F13" t="str">
        <f>"000030"</f>
        <v>0</v>
      </c>
      <c r="G13" t="s">
        <v>18359</v>
      </c>
    </row>
    <row r="14" spans="1:7">
      <c r="A14">
        <v>13</v>
      </c>
      <c r="B14" t="str">
        <f>"011495"</f>
        <v>0</v>
      </c>
      <c r="C14" t="s">
        <v>3373</v>
      </c>
      <c r="D14" t="s">
        <v>18373</v>
      </c>
      <c r="E14" t="str">
        <f>"3100601999111"</f>
        <v>0</v>
      </c>
      <c r="F14" t="str">
        <f>"000030"</f>
        <v>0</v>
      </c>
      <c r="G14" t="s">
        <v>18359</v>
      </c>
    </row>
    <row r="15" spans="1:7">
      <c r="A15">
        <v>14</v>
      </c>
      <c r="B15" t="str">
        <f>"013598"</f>
        <v>0</v>
      </c>
      <c r="C15" t="s">
        <v>5078</v>
      </c>
      <c r="D15" t="s">
        <v>18374</v>
      </c>
      <c r="E15" t="str">
        <f>"3749900431560"</f>
        <v>0</v>
      </c>
      <c r="F15" t="str">
        <f>"000030"</f>
        <v>0</v>
      </c>
      <c r="G15" t="s">
        <v>18359</v>
      </c>
    </row>
    <row r="16" spans="1:7">
      <c r="A16">
        <v>15</v>
      </c>
      <c r="B16" t="str">
        <f>"013857"</f>
        <v>0</v>
      </c>
      <c r="C16" t="s">
        <v>3812</v>
      </c>
      <c r="D16" t="s">
        <v>18375</v>
      </c>
      <c r="E16" t="str">
        <f>"3101200614872"</f>
        <v>0</v>
      </c>
      <c r="F16" t="str">
        <f>"000030"</f>
        <v>0</v>
      </c>
      <c r="G16" t="s">
        <v>18359</v>
      </c>
    </row>
    <row r="17" spans="1:7">
      <c r="A17">
        <v>16</v>
      </c>
      <c r="B17" t="str">
        <f>"014233"</f>
        <v>0</v>
      </c>
      <c r="C17" t="s">
        <v>18376</v>
      </c>
      <c r="D17" t="s">
        <v>18377</v>
      </c>
      <c r="E17" t="str">
        <f>"3101702180003"</f>
        <v>0</v>
      </c>
      <c r="F17" t="str">
        <f>"000030"</f>
        <v>0</v>
      </c>
      <c r="G17" t="s">
        <v>18359</v>
      </c>
    </row>
    <row r="18" spans="1:7">
      <c r="A18">
        <v>17</v>
      </c>
      <c r="B18" t="str">
        <f>"014325"</f>
        <v>0</v>
      </c>
      <c r="C18" t="s">
        <v>4305</v>
      </c>
      <c r="D18" t="s">
        <v>13686</v>
      </c>
      <c r="E18" t="str">
        <f>"3330800435411"</f>
        <v>0</v>
      </c>
      <c r="F18" t="str">
        <f>"000030"</f>
        <v>0</v>
      </c>
      <c r="G18" t="s">
        <v>18359</v>
      </c>
    </row>
    <row r="19" spans="1:7">
      <c r="A19">
        <v>18</v>
      </c>
      <c r="B19" t="str">
        <f>"015034"</f>
        <v>0</v>
      </c>
      <c r="C19" t="s">
        <v>2262</v>
      </c>
      <c r="D19" t="s">
        <v>18378</v>
      </c>
      <c r="E19" t="str">
        <f>"3100600872061"</f>
        <v>0</v>
      </c>
      <c r="F19" t="str">
        <f>"000030"</f>
        <v>0</v>
      </c>
      <c r="G19" t="s">
        <v>18359</v>
      </c>
    </row>
    <row r="20" spans="1:7">
      <c r="A20">
        <v>19</v>
      </c>
      <c r="B20" t="str">
        <f>"015585"</f>
        <v>0</v>
      </c>
      <c r="C20" t="s">
        <v>8875</v>
      </c>
      <c r="D20" t="s">
        <v>18379</v>
      </c>
      <c r="E20" t="str">
        <f>"3100600105419"</f>
        <v>0</v>
      </c>
      <c r="F20" t="str">
        <f>"000030"</f>
        <v>0</v>
      </c>
      <c r="G20" t="s">
        <v>18359</v>
      </c>
    </row>
    <row r="21" spans="1:7">
      <c r="A21">
        <v>20</v>
      </c>
      <c r="B21" t="str">
        <f>"015613"</f>
        <v>0</v>
      </c>
      <c r="C21" t="s">
        <v>18380</v>
      </c>
      <c r="D21" t="s">
        <v>18381</v>
      </c>
      <c r="E21" t="str">
        <f>"3100603130481"</f>
        <v>0</v>
      </c>
      <c r="F21" t="str">
        <f>"000030"</f>
        <v>0</v>
      </c>
      <c r="G21" t="s">
        <v>18359</v>
      </c>
    </row>
    <row r="22" spans="1:7">
      <c r="A22">
        <v>21</v>
      </c>
      <c r="B22" t="str">
        <f>"015714"</f>
        <v>0</v>
      </c>
      <c r="C22" t="s">
        <v>126</v>
      </c>
      <c r="D22" t="s">
        <v>85</v>
      </c>
      <c r="E22" t="str">
        <f>"3130100129904"</f>
        <v>0</v>
      </c>
      <c r="F22" t="str">
        <f>"000030"</f>
        <v>0</v>
      </c>
      <c r="G22" t="s">
        <v>18359</v>
      </c>
    </row>
    <row r="23" spans="1:7">
      <c r="A23">
        <v>22</v>
      </c>
      <c r="B23" t="str">
        <f>"016300"</f>
        <v>0</v>
      </c>
      <c r="C23" t="s">
        <v>18382</v>
      </c>
      <c r="D23" t="s">
        <v>18383</v>
      </c>
      <c r="E23" t="str">
        <f>"3100500287906"</f>
        <v>0</v>
      </c>
      <c r="F23" t="str">
        <f>"000030"</f>
        <v>0</v>
      </c>
      <c r="G23" t="s">
        <v>18359</v>
      </c>
    </row>
    <row r="24" spans="1:7">
      <c r="A24">
        <v>23</v>
      </c>
      <c r="B24" t="str">
        <f>"016682"</f>
        <v>0</v>
      </c>
      <c r="C24" t="s">
        <v>18384</v>
      </c>
      <c r="D24" t="s">
        <v>18385</v>
      </c>
      <c r="E24" t="str">
        <f>"4100600052810"</f>
        <v>0</v>
      </c>
      <c r="F24" t="str">
        <f>"000030"</f>
        <v>0</v>
      </c>
      <c r="G24" t="s">
        <v>18359</v>
      </c>
    </row>
    <row r="25" spans="1:7">
      <c r="A25">
        <v>24</v>
      </c>
      <c r="B25" t="str">
        <f>"018632"</f>
        <v>0</v>
      </c>
      <c r="C25" t="s">
        <v>18386</v>
      </c>
      <c r="D25" t="s">
        <v>18387</v>
      </c>
      <c r="E25" t="str">
        <f>"3100601768438"</f>
        <v>0</v>
      </c>
      <c r="F25" t="str">
        <f>"000030"</f>
        <v>0</v>
      </c>
      <c r="G25" t="s">
        <v>18359</v>
      </c>
    </row>
    <row r="26" spans="1:7">
      <c r="A26">
        <v>25</v>
      </c>
      <c r="B26" t="str">
        <f>"019259"</f>
        <v>0</v>
      </c>
      <c r="C26" t="s">
        <v>18388</v>
      </c>
      <c r="D26" t="s">
        <v>394</v>
      </c>
      <c r="E26" t="str">
        <f>"3809700167612"</f>
        <v>0</v>
      </c>
      <c r="F26" t="str">
        <f>"000030"</f>
        <v>0</v>
      </c>
      <c r="G26" t="s">
        <v>18359</v>
      </c>
    </row>
    <row r="27" spans="1:7">
      <c r="A27">
        <v>26</v>
      </c>
      <c r="B27" t="str">
        <f>"019722"</f>
        <v>0</v>
      </c>
      <c r="C27" t="s">
        <v>12085</v>
      </c>
      <c r="D27" t="s">
        <v>18389</v>
      </c>
      <c r="E27" t="str">
        <f>"3300100471171"</f>
        <v>0</v>
      </c>
      <c r="F27" t="str">
        <f>"000030"</f>
        <v>0</v>
      </c>
      <c r="G27" t="s">
        <v>18359</v>
      </c>
    </row>
    <row r="28" spans="1:7">
      <c r="A28">
        <v>27</v>
      </c>
      <c r="B28" t="str">
        <f>"019968"</f>
        <v>0</v>
      </c>
      <c r="C28" t="s">
        <v>18390</v>
      </c>
      <c r="D28" t="s">
        <v>569</v>
      </c>
      <c r="E28" t="str">
        <f>"3102401325232"</f>
        <v>0</v>
      </c>
      <c r="F28" t="str">
        <f>"000030"</f>
        <v>0</v>
      </c>
      <c r="G28" t="s">
        <v>18359</v>
      </c>
    </row>
    <row r="29" spans="1:7">
      <c r="A29">
        <v>28</v>
      </c>
      <c r="B29" t="str">
        <f>"020154"</f>
        <v>0</v>
      </c>
      <c r="C29" t="s">
        <v>18391</v>
      </c>
      <c r="D29" t="s">
        <v>340</v>
      </c>
      <c r="E29" t="str">
        <f>"3719900328807"</f>
        <v>0</v>
      </c>
      <c r="F29" t="str">
        <f>"000030"</f>
        <v>0</v>
      </c>
      <c r="G29" t="s">
        <v>18359</v>
      </c>
    </row>
    <row r="30" spans="1:7">
      <c r="A30">
        <v>29</v>
      </c>
      <c r="B30" t="str">
        <f>"020723"</f>
        <v>0</v>
      </c>
      <c r="C30" t="s">
        <v>18392</v>
      </c>
      <c r="D30" t="s">
        <v>18393</v>
      </c>
      <c r="E30" t="str">
        <f>"3102001863369"</f>
        <v>0</v>
      </c>
      <c r="F30" t="str">
        <f>"000030"</f>
        <v>0</v>
      </c>
      <c r="G30" t="s">
        <v>18359</v>
      </c>
    </row>
    <row r="31" spans="1:7">
      <c r="A31">
        <v>30</v>
      </c>
      <c r="B31" t="str">
        <f>"021248"</f>
        <v>0</v>
      </c>
      <c r="C31" t="s">
        <v>344</v>
      </c>
      <c r="D31" t="s">
        <v>18394</v>
      </c>
      <c r="E31" t="str">
        <f>"3101800424811"</f>
        <v>0</v>
      </c>
      <c r="F31" t="str">
        <f>"000030"</f>
        <v>0</v>
      </c>
      <c r="G31" t="s">
        <v>18359</v>
      </c>
    </row>
    <row r="32" spans="1:7">
      <c r="A32">
        <v>31</v>
      </c>
      <c r="B32" t="str">
        <f>"022071"</f>
        <v>0</v>
      </c>
      <c r="C32" t="s">
        <v>18395</v>
      </c>
      <c r="D32" t="s">
        <v>18396</v>
      </c>
      <c r="E32" t="str">
        <f>"3100500522841"</f>
        <v>0</v>
      </c>
      <c r="F32" t="str">
        <f>"000030"</f>
        <v>0</v>
      </c>
      <c r="G32" t="s">
        <v>18359</v>
      </c>
    </row>
    <row r="33" spans="1:7">
      <c r="A33">
        <v>32</v>
      </c>
      <c r="B33" t="str">
        <f>"022389"</f>
        <v>0</v>
      </c>
      <c r="C33" t="s">
        <v>18397</v>
      </c>
      <c r="D33" t="s">
        <v>18398</v>
      </c>
      <c r="E33" t="str">
        <f>"3100202719476"</f>
        <v>0</v>
      </c>
      <c r="F33" t="str">
        <f>"000030"</f>
        <v>0</v>
      </c>
      <c r="G33" t="s">
        <v>18359</v>
      </c>
    </row>
    <row r="34" spans="1:7">
      <c r="A34">
        <v>33</v>
      </c>
      <c r="B34" t="str">
        <f>"022886"</f>
        <v>0</v>
      </c>
      <c r="C34" t="s">
        <v>18399</v>
      </c>
      <c r="D34" t="s">
        <v>18400</v>
      </c>
      <c r="E34" t="str">
        <f>"3100502271560"</f>
        <v>0</v>
      </c>
      <c r="F34" t="str">
        <f>"000030"</f>
        <v>0</v>
      </c>
      <c r="G34" t="s">
        <v>18359</v>
      </c>
    </row>
    <row r="35" spans="1:7">
      <c r="A35">
        <v>34</v>
      </c>
      <c r="B35" t="str">
        <f>"024448"</f>
        <v>0</v>
      </c>
      <c r="C35" t="s">
        <v>12141</v>
      </c>
      <c r="D35" t="s">
        <v>18401</v>
      </c>
      <c r="E35" t="str">
        <f>"3100500456112"</f>
        <v>0</v>
      </c>
      <c r="F35" t="str">
        <f>"000030"</f>
        <v>0</v>
      </c>
      <c r="G35" t="s">
        <v>18359</v>
      </c>
    </row>
    <row r="36" spans="1:7">
      <c r="A36">
        <v>35</v>
      </c>
      <c r="B36" t="str">
        <f>"025219"</f>
        <v>0</v>
      </c>
      <c r="C36" t="s">
        <v>18402</v>
      </c>
      <c r="D36" t="s">
        <v>18403</v>
      </c>
      <c r="E36" t="str">
        <f>"3101400700349"</f>
        <v>0</v>
      </c>
      <c r="F36" t="str">
        <f>"000030"</f>
        <v>0</v>
      </c>
      <c r="G36" t="s">
        <v>18359</v>
      </c>
    </row>
    <row r="37" spans="1:7">
      <c r="A37">
        <v>36</v>
      </c>
      <c r="B37" t="str">
        <f>"027433"</f>
        <v>0</v>
      </c>
      <c r="C37" t="s">
        <v>18404</v>
      </c>
      <c r="D37" t="s">
        <v>18405</v>
      </c>
      <c r="E37" t="str">
        <f>"3100602041809"</f>
        <v>0</v>
      </c>
      <c r="F37" t="str">
        <f>"000030"</f>
        <v>0</v>
      </c>
      <c r="G37" t="s">
        <v>18359</v>
      </c>
    </row>
    <row r="38" spans="1:7">
      <c r="A38">
        <v>37</v>
      </c>
      <c r="B38" t="str">
        <f>"004721"</f>
        <v>0</v>
      </c>
      <c r="C38" t="s">
        <v>5942</v>
      </c>
      <c r="D38" t="s">
        <v>681</v>
      </c>
      <c r="E38" t="str">
        <f>"3110401136349"</f>
        <v>0</v>
      </c>
      <c r="F38" t="str">
        <f>"000030"</f>
        <v>0</v>
      </c>
      <c r="G38" t="s">
        <v>18359</v>
      </c>
    </row>
    <row r="39" spans="1:7">
      <c r="A39">
        <v>38</v>
      </c>
      <c r="B39" t="str">
        <f>"006301"</f>
        <v>0</v>
      </c>
      <c r="C39" t="s">
        <v>2193</v>
      </c>
      <c r="D39" t="s">
        <v>18406</v>
      </c>
      <c r="E39" t="str">
        <f>"3100202804091"</f>
        <v>0</v>
      </c>
      <c r="F39" t="str">
        <f>"000030"</f>
        <v>0</v>
      </c>
      <c r="G39" t="s">
        <v>18359</v>
      </c>
    </row>
    <row r="40" spans="1:7">
      <c r="A40">
        <v>39</v>
      </c>
      <c r="B40" t="str">
        <f>"014991"</f>
        <v>0</v>
      </c>
      <c r="C40" t="s">
        <v>18407</v>
      </c>
      <c r="D40" t="s">
        <v>18408</v>
      </c>
      <c r="E40" t="str">
        <f>"3102300036502"</f>
        <v>0</v>
      </c>
      <c r="F40" t="str">
        <f>"000030"</f>
        <v>0</v>
      </c>
      <c r="G40" t="s">
        <v>18359</v>
      </c>
    </row>
    <row r="41" spans="1:7">
      <c r="A41">
        <v>40</v>
      </c>
      <c r="B41" t="str">
        <f>"015591"</f>
        <v>0</v>
      </c>
      <c r="C41" t="s">
        <v>16227</v>
      </c>
      <c r="D41" t="s">
        <v>17508</v>
      </c>
      <c r="E41" t="str">
        <f>"5740100025972"</f>
        <v>0</v>
      </c>
      <c r="F41" t="str">
        <f>"000030"</f>
        <v>0</v>
      </c>
      <c r="G41" t="s">
        <v>18359</v>
      </c>
    </row>
    <row r="42" spans="1:7">
      <c r="A42">
        <v>41</v>
      </c>
      <c r="B42" t="str">
        <f>"025703"</f>
        <v>0</v>
      </c>
      <c r="C42" t="s">
        <v>18409</v>
      </c>
      <c r="D42" t="s">
        <v>18410</v>
      </c>
      <c r="E42" t="str">
        <f>"3101900737535"</f>
        <v>0</v>
      </c>
      <c r="F42" t="str">
        <f>"000030"</f>
        <v>0</v>
      </c>
      <c r="G42" t="s">
        <v>18359</v>
      </c>
    </row>
    <row r="43" spans="1:7">
      <c r="A43">
        <v>42</v>
      </c>
      <c r="B43" t="str">
        <f>"004728"</f>
        <v>0</v>
      </c>
      <c r="C43" t="s">
        <v>9085</v>
      </c>
      <c r="D43" t="s">
        <v>18411</v>
      </c>
      <c r="E43" t="str">
        <f>"4100700003772"</f>
        <v>0</v>
      </c>
      <c r="F43" t="str">
        <f>"000030"</f>
        <v>0</v>
      </c>
      <c r="G43" t="s">
        <v>18359</v>
      </c>
    </row>
    <row r="44" spans="1:7">
      <c r="A44">
        <v>43</v>
      </c>
      <c r="B44" t="str">
        <f>"000082"</f>
        <v>0</v>
      </c>
      <c r="C44" t="s">
        <v>2024</v>
      </c>
      <c r="D44" t="s">
        <v>18412</v>
      </c>
      <c r="E44" t="str">
        <f>"3102100348985"</f>
        <v>0</v>
      </c>
      <c r="F44" t="str">
        <f>"000030"</f>
        <v>0</v>
      </c>
      <c r="G44" t="s">
        <v>18359</v>
      </c>
    </row>
    <row r="45" spans="1:7">
      <c r="A45">
        <v>44</v>
      </c>
      <c r="B45" t="str">
        <f>"008000"</f>
        <v>0</v>
      </c>
      <c r="C45" t="s">
        <v>12088</v>
      </c>
      <c r="D45" t="s">
        <v>18413</v>
      </c>
      <c r="E45" t="str">
        <f>"3141400313001"</f>
        <v>0</v>
      </c>
      <c r="F45" t="str">
        <f>"000030"</f>
        <v>0</v>
      </c>
      <c r="G45" t="s">
        <v>18359</v>
      </c>
    </row>
    <row r="46" spans="1:7">
      <c r="A46">
        <v>45</v>
      </c>
      <c r="B46" t="str">
        <f>"008549"</f>
        <v>0</v>
      </c>
      <c r="C46" t="s">
        <v>18414</v>
      </c>
      <c r="D46" t="s">
        <v>18415</v>
      </c>
      <c r="E46" t="str">
        <f>"3102201185615"</f>
        <v>0</v>
      </c>
      <c r="F46" t="str">
        <f>"000030"</f>
        <v>0</v>
      </c>
      <c r="G46" t="s">
        <v>18359</v>
      </c>
    </row>
    <row r="47" spans="1:7">
      <c r="A47">
        <v>46</v>
      </c>
      <c r="B47" t="str">
        <f>"017972"</f>
        <v>0</v>
      </c>
      <c r="C47" t="s">
        <v>2360</v>
      </c>
      <c r="D47" t="s">
        <v>18416</v>
      </c>
      <c r="E47" t="str">
        <f>"3841700640639"</f>
        <v>0</v>
      </c>
      <c r="F47" t="str">
        <f>"000030"</f>
        <v>0</v>
      </c>
      <c r="G47" t="s">
        <v>18359</v>
      </c>
    </row>
    <row r="48" spans="1:7">
      <c r="A48">
        <v>47</v>
      </c>
      <c r="B48" t="str">
        <f>"019323"</f>
        <v>0</v>
      </c>
      <c r="C48" t="s">
        <v>18417</v>
      </c>
      <c r="D48" t="s">
        <v>18418</v>
      </c>
      <c r="E48" t="str">
        <f>"3330401632905"</f>
        <v>0</v>
      </c>
      <c r="F48" t="str">
        <f>"000030"</f>
        <v>0</v>
      </c>
      <c r="G48" t="s">
        <v>18359</v>
      </c>
    </row>
    <row r="49" spans="1:7">
      <c r="A49">
        <v>48</v>
      </c>
      <c r="B49" t="str">
        <f>"026558"</f>
        <v>0</v>
      </c>
      <c r="C49" t="s">
        <v>18419</v>
      </c>
      <c r="D49" t="s">
        <v>18420</v>
      </c>
      <c r="E49" t="str">
        <f>"1100701510509"</f>
        <v>0</v>
      </c>
      <c r="F49" t="str">
        <f>"000030"</f>
        <v>0</v>
      </c>
      <c r="G49" t="s">
        <v>18359</v>
      </c>
    </row>
    <row r="50" spans="1:7">
      <c r="A50">
        <v>49</v>
      </c>
      <c r="B50" t="str">
        <f>"018102"</f>
        <v>0</v>
      </c>
      <c r="C50" t="s">
        <v>18421</v>
      </c>
      <c r="D50" t="s">
        <v>18422</v>
      </c>
      <c r="E50" t="str">
        <f>"3120400282716"</f>
        <v>0</v>
      </c>
      <c r="F50" t="str">
        <f>"000030"</f>
        <v>0</v>
      </c>
      <c r="G50" t="s">
        <v>18359</v>
      </c>
    </row>
    <row r="51" spans="1:7">
      <c r="A51">
        <v>50</v>
      </c>
      <c r="B51" t="str">
        <f>"018009"</f>
        <v>0</v>
      </c>
      <c r="C51" t="s">
        <v>18423</v>
      </c>
      <c r="D51" t="s">
        <v>18424</v>
      </c>
      <c r="E51" t="str">
        <f>"3800101820949"</f>
        <v>0</v>
      </c>
      <c r="F51" t="str">
        <f>"000030"</f>
        <v>0</v>
      </c>
      <c r="G51" t="s">
        <v>18359</v>
      </c>
    </row>
    <row r="52" spans="1:7">
      <c r="A52">
        <v>51</v>
      </c>
      <c r="B52" t="str">
        <f>"022230"</f>
        <v>0</v>
      </c>
      <c r="C52" t="s">
        <v>18425</v>
      </c>
      <c r="D52" t="s">
        <v>18426</v>
      </c>
      <c r="E52" t="str">
        <f>"3101200188571"</f>
        <v>0</v>
      </c>
      <c r="F52" t="str">
        <f>"000030"</f>
        <v>0</v>
      </c>
      <c r="G52" t="s">
        <v>18359</v>
      </c>
    </row>
    <row r="53" spans="1:7">
      <c r="A53">
        <v>52</v>
      </c>
      <c r="B53" t="str">
        <f>"020235"</f>
        <v>0</v>
      </c>
      <c r="C53" t="s">
        <v>18427</v>
      </c>
      <c r="D53" t="s">
        <v>18428</v>
      </c>
      <c r="E53" t="str">
        <f>"3160500294856"</f>
        <v>0</v>
      </c>
      <c r="F53" t="str">
        <f>"000030"</f>
        <v>0</v>
      </c>
      <c r="G53" t="s">
        <v>18359</v>
      </c>
    </row>
    <row r="54" spans="1:7">
      <c r="A54">
        <v>53</v>
      </c>
      <c r="B54" t="str">
        <f>"021899"</f>
        <v>0</v>
      </c>
      <c r="C54" t="s">
        <v>6446</v>
      </c>
      <c r="D54" t="s">
        <v>18429</v>
      </c>
      <c r="E54" t="str">
        <f>"3801200565841"</f>
        <v>0</v>
      </c>
      <c r="F54" t="str">
        <f>"000030"</f>
        <v>0</v>
      </c>
      <c r="G54" t="s">
        <v>18359</v>
      </c>
    </row>
    <row r="55" spans="1:7">
      <c r="A55">
        <v>54</v>
      </c>
      <c r="B55" t="str">
        <f>"027317"</f>
        <v>0</v>
      </c>
      <c r="C55" t="s">
        <v>3430</v>
      </c>
      <c r="D55" t="s">
        <v>4837</v>
      </c>
      <c r="E55" t="str">
        <f>"1669900107261"</f>
        <v>0</v>
      </c>
      <c r="F55" t="str">
        <f>"000030"</f>
        <v>0</v>
      </c>
      <c r="G55" t="s">
        <v>18359</v>
      </c>
    </row>
    <row r="56" spans="1:7">
      <c r="A56">
        <v>55</v>
      </c>
      <c r="B56" t="str">
        <f>"025385"</f>
        <v>0</v>
      </c>
      <c r="C56" t="s">
        <v>18430</v>
      </c>
      <c r="D56" t="s">
        <v>18431</v>
      </c>
      <c r="E56" t="str">
        <f>"1610100087569"</f>
        <v>0</v>
      </c>
      <c r="F56" t="str">
        <f>"000030"</f>
        <v>0</v>
      </c>
      <c r="G56" t="s">
        <v>18359</v>
      </c>
    </row>
    <row r="57" spans="1:7">
      <c r="A57">
        <v>56</v>
      </c>
      <c r="B57" t="str">
        <f>"016849"</f>
        <v>0</v>
      </c>
      <c r="C57" t="s">
        <v>18432</v>
      </c>
      <c r="D57" t="s">
        <v>18433</v>
      </c>
      <c r="E57" t="str">
        <f>"3779800026051"</f>
        <v>0</v>
      </c>
      <c r="F57" t="str">
        <f>"000030"</f>
        <v>0</v>
      </c>
      <c r="G57" t="s">
        <v>18359</v>
      </c>
    </row>
    <row r="58" spans="1:7">
      <c r="A58">
        <v>57</v>
      </c>
      <c r="B58" t="str">
        <f>"018004"</f>
        <v>0</v>
      </c>
      <c r="C58" t="s">
        <v>18434</v>
      </c>
      <c r="D58" t="s">
        <v>18435</v>
      </c>
      <c r="E58" t="str">
        <f>"3700500155834"</f>
        <v>0</v>
      </c>
      <c r="F58" t="str">
        <f>"000030"</f>
        <v>0</v>
      </c>
      <c r="G58" t="s">
        <v>18359</v>
      </c>
    </row>
    <row r="59" spans="1:7">
      <c r="A59">
        <v>58</v>
      </c>
      <c r="B59" t="str">
        <f>"024437"</f>
        <v>0</v>
      </c>
      <c r="C59" t="s">
        <v>18436</v>
      </c>
      <c r="D59" t="s">
        <v>18437</v>
      </c>
      <c r="E59" t="str">
        <f>"1249900104036"</f>
        <v>0</v>
      </c>
      <c r="F59" t="str">
        <f>"000030"</f>
        <v>0</v>
      </c>
      <c r="G59" t="s">
        <v>18359</v>
      </c>
    </row>
    <row r="60" spans="1:7">
      <c r="A60">
        <v>59</v>
      </c>
      <c r="B60" t="str">
        <f>"026870"</f>
        <v>0</v>
      </c>
      <c r="C60" t="s">
        <v>18438</v>
      </c>
      <c r="D60" t="s">
        <v>18439</v>
      </c>
      <c r="E60" t="str">
        <f>"3420100583017"</f>
        <v>0</v>
      </c>
      <c r="F60" t="str">
        <f>"000030"</f>
        <v>0</v>
      </c>
      <c r="G60" t="s">
        <v>18359</v>
      </c>
    </row>
    <row r="61" spans="1:7">
      <c r="A61">
        <v>60</v>
      </c>
      <c r="B61" t="str">
        <f>"022008"</f>
        <v>0</v>
      </c>
      <c r="C61" t="s">
        <v>18440</v>
      </c>
      <c r="D61" t="s">
        <v>11498</v>
      </c>
      <c r="E61" t="str">
        <f>"3720901075211"</f>
        <v>0</v>
      </c>
      <c r="F61" t="str">
        <f>"000030"</f>
        <v>0</v>
      </c>
      <c r="G61" t="s">
        <v>18359</v>
      </c>
    </row>
    <row r="62" spans="1:7">
      <c r="A62">
        <v>61</v>
      </c>
      <c r="B62" t="str">
        <f>"011240"</f>
        <v>0</v>
      </c>
      <c r="C62" t="s">
        <v>7748</v>
      </c>
      <c r="D62" t="s">
        <v>18441</v>
      </c>
      <c r="E62" t="str">
        <f>"3120100920415"</f>
        <v>0</v>
      </c>
      <c r="F62" t="str">
        <f>"000030"</f>
        <v>0</v>
      </c>
      <c r="G62" t="s">
        <v>18359</v>
      </c>
    </row>
    <row r="63" spans="1:7">
      <c r="A63">
        <v>62</v>
      </c>
      <c r="B63" t="str">
        <f>"015245"</f>
        <v>0</v>
      </c>
      <c r="C63" t="s">
        <v>5125</v>
      </c>
      <c r="D63" t="s">
        <v>125</v>
      </c>
      <c r="E63" t="str">
        <f>"3100200963205"</f>
        <v>0</v>
      </c>
      <c r="F63" t="str">
        <f>"000030"</f>
        <v>0</v>
      </c>
      <c r="G63" t="s">
        <v>18359</v>
      </c>
    </row>
    <row r="64" spans="1:7">
      <c r="A64">
        <v>63</v>
      </c>
      <c r="B64" t="str">
        <f>"018509"</f>
        <v>0</v>
      </c>
      <c r="C64" t="s">
        <v>5883</v>
      </c>
      <c r="D64" t="s">
        <v>18442</v>
      </c>
      <c r="E64" t="str">
        <f>"3100503610465"</f>
        <v>0</v>
      </c>
      <c r="F64" t="str">
        <f>"000030"</f>
        <v>0</v>
      </c>
      <c r="G64" t="s">
        <v>18359</v>
      </c>
    </row>
    <row r="65" spans="1:7">
      <c r="A65">
        <v>64</v>
      </c>
      <c r="B65" t="str">
        <f>"019168"</f>
        <v>0</v>
      </c>
      <c r="C65" t="s">
        <v>4039</v>
      </c>
      <c r="D65" t="s">
        <v>18428</v>
      </c>
      <c r="E65" t="str">
        <f>"3100503832913"</f>
        <v>0</v>
      </c>
      <c r="F65" t="str">
        <f>"000030"</f>
        <v>0</v>
      </c>
      <c r="G65" t="s">
        <v>18359</v>
      </c>
    </row>
    <row r="66" spans="1:7">
      <c r="A66">
        <v>65</v>
      </c>
      <c r="B66" t="str">
        <f>"016373"</f>
        <v>0</v>
      </c>
      <c r="C66" t="s">
        <v>15278</v>
      </c>
      <c r="D66" t="s">
        <v>888</v>
      </c>
      <c r="E66" t="str">
        <f>"3660500140951"</f>
        <v>0</v>
      </c>
      <c r="F66" t="str">
        <f>"000030"</f>
        <v>0</v>
      </c>
      <c r="G66" t="s">
        <v>18359</v>
      </c>
    </row>
    <row r="67" spans="1:7">
      <c r="A67">
        <v>66</v>
      </c>
      <c r="B67" t="str">
        <f>"016739"</f>
        <v>0</v>
      </c>
      <c r="C67" t="s">
        <v>6184</v>
      </c>
      <c r="D67" t="s">
        <v>18443</v>
      </c>
      <c r="E67" t="str">
        <f>"3900100374189"</f>
        <v>0</v>
      </c>
      <c r="F67" t="str">
        <f>"000030"</f>
        <v>0</v>
      </c>
      <c r="G67" t="s">
        <v>18359</v>
      </c>
    </row>
    <row r="68" spans="1:7">
      <c r="A68">
        <v>67</v>
      </c>
      <c r="B68" t="str">
        <f>"017656"</f>
        <v>0</v>
      </c>
      <c r="C68" t="s">
        <v>18444</v>
      </c>
      <c r="D68" t="s">
        <v>18445</v>
      </c>
      <c r="E68" t="str">
        <f>"3409700038743"</f>
        <v>0</v>
      </c>
      <c r="F68" t="str">
        <f>"000030"</f>
        <v>0</v>
      </c>
      <c r="G68" t="s">
        <v>18359</v>
      </c>
    </row>
    <row r="69" spans="1:7">
      <c r="A69">
        <v>68</v>
      </c>
      <c r="B69" t="str">
        <f>"020353"</f>
        <v>0</v>
      </c>
      <c r="C69" t="s">
        <v>1315</v>
      </c>
      <c r="D69" t="s">
        <v>18446</v>
      </c>
      <c r="E69" t="str">
        <f>"3700500273454"</f>
        <v>0</v>
      </c>
      <c r="F69" t="str">
        <f>"000030"</f>
        <v>0</v>
      </c>
      <c r="G69" t="s">
        <v>18359</v>
      </c>
    </row>
    <row r="70" spans="1:7">
      <c r="A70">
        <v>69</v>
      </c>
      <c r="B70" t="str">
        <f>"020509"</f>
        <v>0</v>
      </c>
      <c r="C70" t="s">
        <v>5712</v>
      </c>
      <c r="D70" t="s">
        <v>18447</v>
      </c>
      <c r="E70" t="str">
        <f>"3300101553562"</f>
        <v>0</v>
      </c>
      <c r="F70" t="str">
        <f>"000030"</f>
        <v>0</v>
      </c>
      <c r="G70" t="s">
        <v>18359</v>
      </c>
    </row>
    <row r="71" spans="1:7">
      <c r="A71">
        <v>70</v>
      </c>
      <c r="B71" t="str">
        <f>"022149"</f>
        <v>0</v>
      </c>
      <c r="C71" t="s">
        <v>18448</v>
      </c>
      <c r="D71" t="s">
        <v>18449</v>
      </c>
      <c r="E71" t="str">
        <f>"3330301136159"</f>
        <v>0</v>
      </c>
      <c r="F71" t="str">
        <f>"000030"</f>
        <v>0</v>
      </c>
      <c r="G71" t="s">
        <v>18359</v>
      </c>
    </row>
    <row r="72" spans="1:7">
      <c r="A72">
        <v>71</v>
      </c>
      <c r="B72" t="str">
        <f>"022356"</f>
        <v>0</v>
      </c>
      <c r="C72" t="s">
        <v>18450</v>
      </c>
      <c r="D72" t="s">
        <v>18451</v>
      </c>
      <c r="E72" t="str">
        <f>"3800100828032"</f>
        <v>0</v>
      </c>
      <c r="F72" t="str">
        <f>"000030"</f>
        <v>0</v>
      </c>
      <c r="G72" t="s">
        <v>18359</v>
      </c>
    </row>
    <row r="73" spans="1:7">
      <c r="A73">
        <v>72</v>
      </c>
      <c r="B73" t="str">
        <f>"023162"</f>
        <v>0</v>
      </c>
      <c r="C73" t="s">
        <v>18452</v>
      </c>
      <c r="D73" t="s">
        <v>18453</v>
      </c>
      <c r="E73" t="str">
        <f>"3710100957593"</f>
        <v>0</v>
      </c>
      <c r="F73" t="str">
        <f>"000030"</f>
        <v>0</v>
      </c>
      <c r="G73" t="s">
        <v>18359</v>
      </c>
    </row>
    <row r="74" spans="1:7">
      <c r="A74">
        <v>73</v>
      </c>
      <c r="B74" t="str">
        <f>"025826"</f>
        <v>0</v>
      </c>
      <c r="C74" t="s">
        <v>18454</v>
      </c>
      <c r="D74" t="s">
        <v>18455</v>
      </c>
      <c r="E74" t="str">
        <f>"3101400414168"</f>
        <v>0</v>
      </c>
      <c r="F74" t="str">
        <f>"000030"</f>
        <v>0</v>
      </c>
      <c r="G74" t="s">
        <v>18359</v>
      </c>
    </row>
    <row r="75" spans="1:7">
      <c r="A75">
        <v>74</v>
      </c>
      <c r="B75" t="str">
        <f>"026068"</f>
        <v>0</v>
      </c>
      <c r="C75" t="s">
        <v>11383</v>
      </c>
      <c r="D75" t="s">
        <v>18456</v>
      </c>
      <c r="E75" t="str">
        <f>"1709900111437"</f>
        <v>0</v>
      </c>
      <c r="F75" t="str">
        <f>"000030"</f>
        <v>0</v>
      </c>
      <c r="G75" t="s">
        <v>18359</v>
      </c>
    </row>
    <row r="76" spans="1:7">
      <c r="A76">
        <v>75</v>
      </c>
      <c r="B76" t="str">
        <f>"026280"</f>
        <v>0</v>
      </c>
      <c r="C76" t="s">
        <v>18457</v>
      </c>
      <c r="D76" t="s">
        <v>14594</v>
      </c>
      <c r="E76" t="str">
        <f>"1340500123735"</f>
        <v>0</v>
      </c>
      <c r="F76" t="str">
        <f>"000030"</f>
        <v>0</v>
      </c>
      <c r="G76" t="s">
        <v>18359</v>
      </c>
    </row>
    <row r="77" spans="1:7">
      <c r="A77">
        <v>76</v>
      </c>
      <c r="B77" t="str">
        <f>"026852"</f>
        <v>0</v>
      </c>
      <c r="C77" t="s">
        <v>6584</v>
      </c>
      <c r="D77" t="s">
        <v>18458</v>
      </c>
      <c r="E77" t="str">
        <f>"3180600085248"</f>
        <v>0</v>
      </c>
      <c r="F77" t="str">
        <f>"000030"</f>
        <v>0</v>
      </c>
      <c r="G77" t="s">
        <v>18359</v>
      </c>
    </row>
    <row r="78" spans="1:7">
      <c r="A78">
        <v>77</v>
      </c>
      <c r="B78" t="str">
        <f>"014824"</f>
        <v>0</v>
      </c>
      <c r="C78" t="s">
        <v>6915</v>
      </c>
      <c r="D78" t="s">
        <v>18459</v>
      </c>
      <c r="E78" t="str">
        <f>"3120100601034"</f>
        <v>0</v>
      </c>
      <c r="F78" t="str">
        <f>"000030"</f>
        <v>0</v>
      </c>
      <c r="G78" t="s">
        <v>18359</v>
      </c>
    </row>
    <row r="79" spans="1:7">
      <c r="A79">
        <v>78</v>
      </c>
      <c r="B79" t="str">
        <f>"019658"</f>
        <v>0</v>
      </c>
      <c r="C79" t="s">
        <v>3548</v>
      </c>
      <c r="D79" t="s">
        <v>18460</v>
      </c>
      <c r="E79" t="str">
        <f>"3101401342250"</f>
        <v>0</v>
      </c>
      <c r="F79" t="str">
        <f>"000030"</f>
        <v>0</v>
      </c>
      <c r="G79" t="s">
        <v>18359</v>
      </c>
    </row>
    <row r="80" spans="1:7">
      <c r="A80">
        <v>79</v>
      </c>
      <c r="B80" t="str">
        <f>"014522"</f>
        <v>0</v>
      </c>
      <c r="C80" t="s">
        <v>18461</v>
      </c>
      <c r="D80" t="s">
        <v>18462</v>
      </c>
      <c r="E80" t="str">
        <f>"3360100218051"</f>
        <v>0</v>
      </c>
      <c r="F80" t="str">
        <f>"000030"</f>
        <v>0</v>
      </c>
      <c r="G80" t="s">
        <v>18359</v>
      </c>
    </row>
    <row r="81" spans="1:7">
      <c r="A81">
        <v>80</v>
      </c>
      <c r="B81" t="str">
        <f>"022671"</f>
        <v>0</v>
      </c>
      <c r="C81" t="s">
        <v>18463</v>
      </c>
      <c r="D81" t="s">
        <v>18464</v>
      </c>
      <c r="E81" t="str">
        <f>"3320100241257"</f>
        <v>0</v>
      </c>
      <c r="F81" t="str">
        <f>"000030"</f>
        <v>0</v>
      </c>
      <c r="G81" t="s">
        <v>18359</v>
      </c>
    </row>
    <row r="82" spans="1:7">
      <c r="A82">
        <v>81</v>
      </c>
      <c r="B82" t="str">
        <f>"022151"</f>
        <v>0</v>
      </c>
      <c r="C82" t="s">
        <v>18465</v>
      </c>
      <c r="D82" t="s">
        <v>18466</v>
      </c>
      <c r="E82" t="str">
        <f>"3920100865662"</f>
        <v>0</v>
      </c>
      <c r="F82" t="str">
        <f>"000030"</f>
        <v>0</v>
      </c>
      <c r="G82" t="s">
        <v>18359</v>
      </c>
    </row>
    <row r="83" spans="1:7">
      <c r="A83">
        <v>82</v>
      </c>
      <c r="B83" t="str">
        <f>"016918"</f>
        <v>0</v>
      </c>
      <c r="C83" t="s">
        <v>7818</v>
      </c>
      <c r="D83" t="s">
        <v>18467</v>
      </c>
      <c r="E83" t="str">
        <f>"3110300212040"</f>
        <v>0</v>
      </c>
      <c r="F83" t="str">
        <f>"000030"</f>
        <v>0</v>
      </c>
      <c r="G83" t="s">
        <v>18359</v>
      </c>
    </row>
    <row r="84" spans="1:7">
      <c r="A84">
        <v>83</v>
      </c>
      <c r="B84" t="str">
        <f>"017678"</f>
        <v>0</v>
      </c>
      <c r="C84" t="s">
        <v>18468</v>
      </c>
      <c r="D84" t="s">
        <v>18469</v>
      </c>
      <c r="E84" t="str">
        <f>"3169900086299"</f>
        <v>0</v>
      </c>
      <c r="F84" t="str">
        <f>"000030"</f>
        <v>0</v>
      </c>
      <c r="G84" t="s">
        <v>18359</v>
      </c>
    </row>
    <row r="85" spans="1:7">
      <c r="A85">
        <v>84</v>
      </c>
      <c r="B85" t="str">
        <f>"022316"</f>
        <v>0</v>
      </c>
      <c r="C85" t="s">
        <v>18470</v>
      </c>
      <c r="D85" t="s">
        <v>18471</v>
      </c>
      <c r="E85" t="str">
        <f>"5700600029900"</f>
        <v>0</v>
      </c>
      <c r="F85" t="str">
        <f>"000030"</f>
        <v>0</v>
      </c>
      <c r="G85" t="s">
        <v>18359</v>
      </c>
    </row>
    <row r="86" spans="1:7">
      <c r="A86">
        <v>85</v>
      </c>
      <c r="B86" t="str">
        <f>"022975"</f>
        <v>0</v>
      </c>
      <c r="C86" t="s">
        <v>12278</v>
      </c>
      <c r="D86" t="s">
        <v>18472</v>
      </c>
      <c r="E86" t="str">
        <f>"3160100688393"</f>
        <v>0</v>
      </c>
      <c r="F86" t="str">
        <f>"000030"</f>
        <v>0</v>
      </c>
      <c r="G86" t="s">
        <v>18359</v>
      </c>
    </row>
    <row r="87" spans="1:7">
      <c r="A87">
        <v>86</v>
      </c>
      <c r="B87" t="str">
        <f>"025997"</f>
        <v>0</v>
      </c>
      <c r="C87" t="s">
        <v>8220</v>
      </c>
      <c r="D87" t="s">
        <v>7888</v>
      </c>
      <c r="E87" t="str">
        <f>"1521390000943"</f>
        <v>0</v>
      </c>
      <c r="F87" t="str">
        <f>"000030"</f>
        <v>0</v>
      </c>
      <c r="G87" t="s">
        <v>18359</v>
      </c>
    </row>
    <row r="88" spans="1:7">
      <c r="A88">
        <v>87</v>
      </c>
      <c r="B88" t="str">
        <f>"026009"</f>
        <v>0</v>
      </c>
      <c r="C88" t="s">
        <v>15801</v>
      </c>
      <c r="D88" t="s">
        <v>18473</v>
      </c>
      <c r="E88" t="str">
        <f>"1770700004779"</f>
        <v>0</v>
      </c>
      <c r="F88" t="str">
        <f>"000030"</f>
        <v>0</v>
      </c>
      <c r="G88" t="s">
        <v>18359</v>
      </c>
    </row>
    <row r="89" spans="1:7">
      <c r="A89">
        <v>88</v>
      </c>
      <c r="B89" t="str">
        <f>"017694"</f>
        <v>0</v>
      </c>
      <c r="C89" t="s">
        <v>9959</v>
      </c>
      <c r="D89" t="s">
        <v>15256</v>
      </c>
      <c r="E89" t="str">
        <f>"3860100724121"</f>
        <v>0</v>
      </c>
      <c r="F89" t="str">
        <f>"000030"</f>
        <v>0</v>
      </c>
      <c r="G89" t="s">
        <v>18359</v>
      </c>
    </row>
    <row r="90" spans="1:7">
      <c r="A90">
        <v>89</v>
      </c>
      <c r="B90" t="str">
        <f>"025206"</f>
        <v>0</v>
      </c>
      <c r="C90" t="s">
        <v>18474</v>
      </c>
      <c r="D90" t="s">
        <v>18475</v>
      </c>
      <c r="E90" t="str">
        <f>"1809900129416"</f>
        <v>0</v>
      </c>
      <c r="F90" t="str">
        <f>"000030"</f>
        <v>0</v>
      </c>
      <c r="G90" t="s">
        <v>18359</v>
      </c>
    </row>
    <row r="91" spans="1:7">
      <c r="A91">
        <v>90</v>
      </c>
      <c r="B91" t="str">
        <f>"015966"</f>
        <v>0</v>
      </c>
      <c r="C91" t="s">
        <v>18476</v>
      </c>
      <c r="D91" t="s">
        <v>18477</v>
      </c>
      <c r="E91" t="str">
        <f>"3100502162159"</f>
        <v>0</v>
      </c>
      <c r="F91" t="str">
        <f>"000030"</f>
        <v>0</v>
      </c>
      <c r="G91" t="s">
        <v>18359</v>
      </c>
    </row>
    <row r="92" spans="1:7">
      <c r="A92">
        <v>91</v>
      </c>
      <c r="B92" t="str">
        <f>"018634"</f>
        <v>0</v>
      </c>
      <c r="C92" t="s">
        <v>2060</v>
      </c>
      <c r="D92" t="s">
        <v>18478</v>
      </c>
      <c r="E92" t="str">
        <f>"3250700292376"</f>
        <v>0</v>
      </c>
      <c r="F92" t="str">
        <f>"000030"</f>
        <v>0</v>
      </c>
      <c r="G92" t="s">
        <v>18359</v>
      </c>
    </row>
    <row r="93" spans="1:7">
      <c r="A93">
        <v>92</v>
      </c>
      <c r="B93" t="str">
        <f>"021174"</f>
        <v>0</v>
      </c>
      <c r="C93" t="s">
        <v>18479</v>
      </c>
      <c r="D93" t="s">
        <v>18480</v>
      </c>
      <c r="E93" t="str">
        <f>"3170600273265"</f>
        <v>0</v>
      </c>
      <c r="F93" t="str">
        <f>"000030"</f>
        <v>0</v>
      </c>
      <c r="G93" t="s">
        <v>18359</v>
      </c>
    </row>
    <row r="94" spans="1:7">
      <c r="A94">
        <v>93</v>
      </c>
      <c r="B94" t="str">
        <f>"013254"</f>
        <v>0</v>
      </c>
      <c r="C94" t="s">
        <v>1649</v>
      </c>
      <c r="D94" t="s">
        <v>18413</v>
      </c>
      <c r="E94" t="str">
        <f>"3102101548066"</f>
        <v>0</v>
      </c>
      <c r="F94" t="str">
        <f>"000030"</f>
        <v>0</v>
      </c>
      <c r="G94" t="s">
        <v>18359</v>
      </c>
    </row>
    <row r="95" spans="1:7">
      <c r="A95">
        <v>94</v>
      </c>
      <c r="B95" t="str">
        <f>"025568"</f>
        <v>0</v>
      </c>
      <c r="C95" t="s">
        <v>18481</v>
      </c>
      <c r="D95" t="s">
        <v>4958</v>
      </c>
      <c r="E95" t="str">
        <f>"1869900087110"</f>
        <v>0</v>
      </c>
      <c r="F95" t="str">
        <f>"000030"</f>
        <v>0</v>
      </c>
      <c r="G95" t="s">
        <v>18359</v>
      </c>
    </row>
    <row r="96" spans="1:7">
      <c r="A96">
        <v>95</v>
      </c>
      <c r="B96" t="str">
        <f>"012616"</f>
        <v>0</v>
      </c>
      <c r="C96" t="s">
        <v>316</v>
      </c>
      <c r="D96" t="s">
        <v>6009</v>
      </c>
      <c r="E96" t="str">
        <f>"3101400730779"</f>
        <v>0</v>
      </c>
      <c r="F96" t="str">
        <f>"000030"</f>
        <v>0</v>
      </c>
      <c r="G96" t="s">
        <v>18359</v>
      </c>
    </row>
    <row r="97" spans="1:7">
      <c r="A97">
        <v>96</v>
      </c>
      <c r="B97" t="str">
        <f>"012674"</f>
        <v>0</v>
      </c>
      <c r="C97" t="s">
        <v>18482</v>
      </c>
      <c r="D97" t="s">
        <v>18483</v>
      </c>
      <c r="E97" t="str">
        <f>"3550400322803"</f>
        <v>0</v>
      </c>
      <c r="F97" t="str">
        <f>"000030"</f>
        <v>0</v>
      </c>
      <c r="G97" t="s">
        <v>18359</v>
      </c>
    </row>
    <row r="98" spans="1:7">
      <c r="A98">
        <v>97</v>
      </c>
      <c r="B98" t="str">
        <f>"015877"</f>
        <v>0</v>
      </c>
      <c r="C98" t="s">
        <v>18484</v>
      </c>
      <c r="D98" t="s">
        <v>18485</v>
      </c>
      <c r="E98" t="str">
        <f>"3101700136601"</f>
        <v>0</v>
      </c>
      <c r="F98" t="str">
        <f>"000030"</f>
        <v>0</v>
      </c>
      <c r="G98" t="s">
        <v>18359</v>
      </c>
    </row>
    <row r="99" spans="1:7">
      <c r="A99">
        <v>98</v>
      </c>
      <c r="B99" t="str">
        <f>"016303"</f>
        <v>0</v>
      </c>
      <c r="C99" t="s">
        <v>247</v>
      </c>
      <c r="D99" t="s">
        <v>18486</v>
      </c>
      <c r="E99" t="str">
        <f>"3100504173425"</f>
        <v>0</v>
      </c>
      <c r="F99" t="str">
        <f>"000030"</f>
        <v>0</v>
      </c>
      <c r="G99" t="s">
        <v>18359</v>
      </c>
    </row>
    <row r="100" spans="1:7">
      <c r="A100">
        <v>99</v>
      </c>
      <c r="B100" t="str">
        <f>"019143"</f>
        <v>0</v>
      </c>
      <c r="C100" t="s">
        <v>6948</v>
      </c>
      <c r="D100" t="s">
        <v>18487</v>
      </c>
      <c r="E100" t="str">
        <f>"3100600978692"</f>
        <v>0</v>
      </c>
      <c r="F100" t="str">
        <f>"000030"</f>
        <v>0</v>
      </c>
      <c r="G100" t="s">
        <v>18359</v>
      </c>
    </row>
    <row r="101" spans="1:7">
      <c r="A101">
        <v>100</v>
      </c>
      <c r="B101" t="str">
        <f>"020559"</f>
        <v>0</v>
      </c>
      <c r="C101" t="s">
        <v>18488</v>
      </c>
      <c r="D101" t="s">
        <v>18489</v>
      </c>
      <c r="E101" t="str">
        <f>"3130400044564"</f>
        <v>0</v>
      </c>
      <c r="F101" t="str">
        <f>"000030"</f>
        <v>0</v>
      </c>
      <c r="G101" t="s">
        <v>18359</v>
      </c>
    </row>
    <row r="102" spans="1:7">
      <c r="A102">
        <v>101</v>
      </c>
      <c r="B102" t="str">
        <f>"022874"</f>
        <v>0</v>
      </c>
      <c r="C102" t="s">
        <v>18490</v>
      </c>
      <c r="D102" t="s">
        <v>18491</v>
      </c>
      <c r="E102" t="str">
        <f>"1809900114621"</f>
        <v>0</v>
      </c>
      <c r="F102" t="str">
        <f>"000030"</f>
        <v>0</v>
      </c>
      <c r="G102" t="s">
        <v>18359</v>
      </c>
    </row>
    <row r="103" spans="1:7">
      <c r="A103">
        <v>102</v>
      </c>
      <c r="B103" t="str">
        <f>"018903"</f>
        <v>0</v>
      </c>
      <c r="C103" t="s">
        <v>3646</v>
      </c>
      <c r="D103" t="s">
        <v>18492</v>
      </c>
      <c r="E103" t="str">
        <f>"3110400335763"</f>
        <v>0</v>
      </c>
      <c r="F103" t="str">
        <f>"000030"</f>
        <v>0</v>
      </c>
      <c r="G103" t="s">
        <v>18359</v>
      </c>
    </row>
    <row r="104" spans="1:7">
      <c r="A104">
        <v>103</v>
      </c>
      <c r="B104" t="str">
        <f>"017652"</f>
        <v>0</v>
      </c>
      <c r="C104" t="s">
        <v>18493</v>
      </c>
      <c r="D104" t="s">
        <v>18494</v>
      </c>
      <c r="E104" t="str">
        <f>"3180400446140"</f>
        <v>0</v>
      </c>
      <c r="F104" t="str">
        <f>"000030"</f>
        <v>0</v>
      </c>
      <c r="G104" t="s">
        <v>18359</v>
      </c>
    </row>
    <row r="105" spans="1:7">
      <c r="A105">
        <v>104</v>
      </c>
      <c r="B105" t="str">
        <f>"019540"</f>
        <v>0</v>
      </c>
      <c r="C105" t="s">
        <v>18495</v>
      </c>
      <c r="D105" t="s">
        <v>18496</v>
      </c>
      <c r="E105" t="str">
        <f>"3102201572155"</f>
        <v>0</v>
      </c>
      <c r="F105" t="str">
        <f>"000030"</f>
        <v>0</v>
      </c>
      <c r="G105" t="s">
        <v>18359</v>
      </c>
    </row>
    <row r="106" spans="1:7">
      <c r="A106">
        <v>105</v>
      </c>
      <c r="B106" t="str">
        <f>"019553"</f>
        <v>0</v>
      </c>
      <c r="C106" t="s">
        <v>1356</v>
      </c>
      <c r="D106" t="s">
        <v>18497</v>
      </c>
      <c r="E106" t="str">
        <f>"3520100281681"</f>
        <v>0</v>
      </c>
      <c r="F106" t="str">
        <f>"000030"</f>
        <v>0</v>
      </c>
      <c r="G106" t="s">
        <v>18359</v>
      </c>
    </row>
    <row r="107" spans="1:7">
      <c r="A107">
        <v>106</v>
      </c>
      <c r="B107" t="str">
        <f>"019663"</f>
        <v>0</v>
      </c>
      <c r="C107" t="s">
        <v>3805</v>
      </c>
      <c r="D107" t="s">
        <v>18498</v>
      </c>
      <c r="E107" t="str">
        <f>"3100200419726"</f>
        <v>0</v>
      </c>
      <c r="F107" t="str">
        <f>"000030"</f>
        <v>0</v>
      </c>
      <c r="G107" t="s">
        <v>18359</v>
      </c>
    </row>
    <row r="108" spans="1:7">
      <c r="A108">
        <v>107</v>
      </c>
      <c r="B108" t="str">
        <f>"023795"</f>
        <v>0</v>
      </c>
      <c r="C108" t="s">
        <v>3176</v>
      </c>
      <c r="D108" t="s">
        <v>6848</v>
      </c>
      <c r="E108" t="str">
        <f>"1269999001137"</f>
        <v>0</v>
      </c>
      <c r="F108" t="str">
        <f>"000030"</f>
        <v>0</v>
      </c>
      <c r="G108" t="s">
        <v>18359</v>
      </c>
    </row>
    <row r="109" spans="1:7">
      <c r="A109">
        <v>108</v>
      </c>
      <c r="B109" t="str">
        <f>"017493"</f>
        <v>0</v>
      </c>
      <c r="C109" t="s">
        <v>433</v>
      </c>
      <c r="D109" t="s">
        <v>18499</v>
      </c>
      <c r="E109" t="str">
        <f>"3800200027538"</f>
        <v>0</v>
      </c>
      <c r="F109" t="str">
        <f>"000030"</f>
        <v>0</v>
      </c>
      <c r="G109" t="s">
        <v>18359</v>
      </c>
    </row>
    <row r="110" spans="1:7">
      <c r="A110">
        <v>109</v>
      </c>
      <c r="B110" t="str">
        <f>"022609"</f>
        <v>0</v>
      </c>
      <c r="C110" t="s">
        <v>18500</v>
      </c>
      <c r="D110" t="s">
        <v>18501</v>
      </c>
      <c r="E110" t="str">
        <f>"1101499020993"</f>
        <v>0</v>
      </c>
      <c r="F110" t="str">
        <f>"000030"</f>
        <v>0</v>
      </c>
      <c r="G110" t="s">
        <v>18359</v>
      </c>
    </row>
    <row r="111" spans="1:7">
      <c r="A111">
        <v>110</v>
      </c>
      <c r="B111" t="str">
        <f>"024130"</f>
        <v>0</v>
      </c>
      <c r="C111" t="s">
        <v>7129</v>
      </c>
      <c r="D111" t="s">
        <v>18502</v>
      </c>
      <c r="E111" t="str">
        <f>"3700400889232"</f>
        <v>0</v>
      </c>
      <c r="F111" t="str">
        <f>"000030"</f>
        <v>0</v>
      </c>
      <c r="G111" t="s">
        <v>18359</v>
      </c>
    </row>
    <row r="112" spans="1:7">
      <c r="A112">
        <v>111</v>
      </c>
      <c r="B112" t="str">
        <f>"027315"</f>
        <v>0</v>
      </c>
      <c r="C112" t="s">
        <v>3736</v>
      </c>
      <c r="D112" t="s">
        <v>18503</v>
      </c>
      <c r="E112" t="str">
        <f>"1100200240070"</f>
        <v>0</v>
      </c>
      <c r="F112" t="str">
        <f>"000030"</f>
        <v>0</v>
      </c>
      <c r="G112" t="s">
        <v>18359</v>
      </c>
    </row>
    <row r="113" spans="1:7">
      <c r="A113">
        <v>112</v>
      </c>
      <c r="B113" t="str">
        <f>"022298"</f>
        <v>0</v>
      </c>
      <c r="C113" t="s">
        <v>18504</v>
      </c>
      <c r="D113" t="s">
        <v>18505</v>
      </c>
      <c r="E113" t="str">
        <f>"3169900157676"</f>
        <v>0</v>
      </c>
      <c r="F113" t="str">
        <f>"000030"</f>
        <v>0</v>
      </c>
      <c r="G113" t="s">
        <v>18359</v>
      </c>
    </row>
    <row r="114" spans="1:7">
      <c r="A114">
        <v>113</v>
      </c>
      <c r="B114" t="str">
        <f>"025498"</f>
        <v>0</v>
      </c>
      <c r="C114" t="s">
        <v>18506</v>
      </c>
      <c r="D114" t="s">
        <v>18507</v>
      </c>
      <c r="E114" t="str">
        <f>"1179900195407"</f>
        <v>0</v>
      </c>
      <c r="F114" t="str">
        <f>"000030"</f>
        <v>0</v>
      </c>
      <c r="G114" t="s">
        <v>18359</v>
      </c>
    </row>
    <row r="115" spans="1:7">
      <c r="A115">
        <v>114</v>
      </c>
      <c r="B115" t="str">
        <f>"015493"</f>
        <v>0</v>
      </c>
      <c r="C115" t="s">
        <v>1599</v>
      </c>
      <c r="D115" t="s">
        <v>18508</v>
      </c>
      <c r="E115" t="str">
        <f>"3100100726457"</f>
        <v>0</v>
      </c>
      <c r="F115" t="str">
        <f>"000030"</f>
        <v>0</v>
      </c>
      <c r="G115" t="s">
        <v>18359</v>
      </c>
    </row>
    <row r="116" spans="1:7">
      <c r="A116">
        <v>115</v>
      </c>
      <c r="B116" t="str">
        <f>"015263"</f>
        <v>0</v>
      </c>
      <c r="C116" t="s">
        <v>2303</v>
      </c>
      <c r="D116" t="s">
        <v>8758</v>
      </c>
      <c r="E116" t="str">
        <f>"4130200005385"</f>
        <v>0</v>
      </c>
      <c r="F116" t="str">
        <f>"000030"</f>
        <v>0</v>
      </c>
      <c r="G116" t="s">
        <v>18359</v>
      </c>
    </row>
    <row r="117" spans="1:7">
      <c r="A117">
        <v>116</v>
      </c>
      <c r="B117" t="str">
        <f>"018516"</f>
        <v>0</v>
      </c>
      <c r="C117" t="s">
        <v>6748</v>
      </c>
      <c r="D117" t="s">
        <v>18509</v>
      </c>
      <c r="E117" t="str">
        <f>"3100502966703"</f>
        <v>0</v>
      </c>
      <c r="F117" t="str">
        <f>"000030"</f>
        <v>0</v>
      </c>
      <c r="G117" t="s">
        <v>18359</v>
      </c>
    </row>
    <row r="118" spans="1:7">
      <c r="A118">
        <v>117</v>
      </c>
      <c r="B118" t="str">
        <f>"018721"</f>
        <v>0</v>
      </c>
      <c r="C118" t="s">
        <v>10469</v>
      </c>
      <c r="D118" t="s">
        <v>18510</v>
      </c>
      <c r="E118" t="str">
        <f>"3860790000048"</f>
        <v>0</v>
      </c>
      <c r="F118" t="str">
        <f>"000030"</f>
        <v>0</v>
      </c>
      <c r="G118" t="s">
        <v>18359</v>
      </c>
    </row>
    <row r="119" spans="1:7">
      <c r="A119">
        <v>118</v>
      </c>
      <c r="B119" t="str">
        <f>"019049"</f>
        <v>0</v>
      </c>
      <c r="C119" t="s">
        <v>10158</v>
      </c>
      <c r="D119" t="s">
        <v>18511</v>
      </c>
      <c r="E119" t="str">
        <f>"3639900128124"</f>
        <v>0</v>
      </c>
      <c r="F119" t="str">
        <f>"000030"</f>
        <v>0</v>
      </c>
      <c r="G119" t="s">
        <v>18359</v>
      </c>
    </row>
    <row r="120" spans="1:7">
      <c r="A120">
        <v>119</v>
      </c>
      <c r="B120" t="str">
        <f>"019971"</f>
        <v>0</v>
      </c>
      <c r="C120" t="s">
        <v>2294</v>
      </c>
      <c r="D120" t="s">
        <v>18512</v>
      </c>
      <c r="E120" t="str">
        <f>"3400400164176"</f>
        <v>0</v>
      </c>
      <c r="F120" t="str">
        <f>"000030"</f>
        <v>0</v>
      </c>
      <c r="G120" t="s">
        <v>18359</v>
      </c>
    </row>
    <row r="121" spans="1:7">
      <c r="A121">
        <v>120</v>
      </c>
      <c r="B121" t="str">
        <f>"021105"</f>
        <v>0</v>
      </c>
      <c r="C121" t="s">
        <v>18513</v>
      </c>
      <c r="D121" t="s">
        <v>970</v>
      </c>
      <c r="E121" t="str">
        <f>"1529900167906"</f>
        <v>0</v>
      </c>
      <c r="F121" t="str">
        <f>"000030"</f>
        <v>0</v>
      </c>
      <c r="G121" t="s">
        <v>18359</v>
      </c>
    </row>
    <row r="122" spans="1:7">
      <c r="A122">
        <v>121</v>
      </c>
      <c r="B122" t="str">
        <f>"022786"</f>
        <v>0</v>
      </c>
      <c r="C122" t="s">
        <v>18514</v>
      </c>
      <c r="D122" t="s">
        <v>18515</v>
      </c>
      <c r="E122" t="str">
        <f>"3620500121884"</f>
        <v>0</v>
      </c>
      <c r="F122" t="str">
        <f>"000030"</f>
        <v>0</v>
      </c>
      <c r="G122" t="s">
        <v>18359</v>
      </c>
    </row>
    <row r="123" spans="1:7">
      <c r="A123">
        <v>122</v>
      </c>
      <c r="B123" t="str">
        <f>"016772"</f>
        <v>0</v>
      </c>
      <c r="C123" t="s">
        <v>14124</v>
      </c>
      <c r="D123" t="s">
        <v>18516</v>
      </c>
      <c r="E123" t="str">
        <f>"3130300107904"</f>
        <v>0</v>
      </c>
      <c r="F123" t="str">
        <f>"000030"</f>
        <v>0</v>
      </c>
      <c r="G123" t="s">
        <v>18359</v>
      </c>
    </row>
    <row r="124" spans="1:7">
      <c r="A124">
        <v>123</v>
      </c>
      <c r="B124" t="str">
        <f>"024453"</f>
        <v>0</v>
      </c>
      <c r="C124" t="s">
        <v>18517</v>
      </c>
      <c r="D124" t="s">
        <v>18518</v>
      </c>
      <c r="E124" t="str">
        <f>"3930500772050"</f>
        <v>0</v>
      </c>
      <c r="F124" t="str">
        <f>"000030"</f>
        <v>0</v>
      </c>
      <c r="G124" t="s">
        <v>18359</v>
      </c>
    </row>
    <row r="125" spans="1:7">
      <c r="A125">
        <v>124</v>
      </c>
      <c r="B125" t="str">
        <f>"024414"</f>
        <v>0</v>
      </c>
      <c r="C125" t="s">
        <v>18519</v>
      </c>
      <c r="D125" t="s">
        <v>18520</v>
      </c>
      <c r="E125" t="str">
        <f>"1730400034249"</f>
        <v>0</v>
      </c>
      <c r="F125" t="str">
        <f>"000030"</f>
        <v>0</v>
      </c>
      <c r="G125" t="s">
        <v>18359</v>
      </c>
    </row>
    <row r="126" spans="1:7">
      <c r="A126">
        <v>125</v>
      </c>
      <c r="B126" t="str">
        <f>"025543"</f>
        <v>0</v>
      </c>
      <c r="C126" t="s">
        <v>14903</v>
      </c>
      <c r="D126" t="s">
        <v>18521</v>
      </c>
      <c r="E126" t="str">
        <f>"3460600603742"</f>
        <v>0</v>
      </c>
      <c r="F126" t="str">
        <f>"000030"</f>
        <v>0</v>
      </c>
      <c r="G126" t="s">
        <v>18359</v>
      </c>
    </row>
    <row r="127" spans="1:7">
      <c r="A127">
        <v>126</v>
      </c>
      <c r="B127" t="str">
        <f>"025829"</f>
        <v>0</v>
      </c>
      <c r="C127" t="s">
        <v>18522</v>
      </c>
      <c r="D127" t="s">
        <v>18523</v>
      </c>
      <c r="E127" t="str">
        <f>"3570100893783"</f>
        <v>0</v>
      </c>
      <c r="F127" t="str">
        <f>"000030"</f>
        <v>0</v>
      </c>
      <c r="G127" t="s">
        <v>18359</v>
      </c>
    </row>
    <row r="128" spans="1:7">
      <c r="A128">
        <v>127</v>
      </c>
      <c r="B128" t="str">
        <f>"019566"</f>
        <v>0</v>
      </c>
      <c r="C128" t="s">
        <v>6810</v>
      </c>
      <c r="D128" t="s">
        <v>18524</v>
      </c>
      <c r="E128" t="str">
        <f>"3100202563018"</f>
        <v>0</v>
      </c>
      <c r="F128" t="str">
        <f>"000030"</f>
        <v>0</v>
      </c>
      <c r="G128" t="s">
        <v>18359</v>
      </c>
    </row>
    <row r="129" spans="1:7">
      <c r="A129">
        <v>128</v>
      </c>
      <c r="B129" t="str">
        <f>"022440"</f>
        <v>0</v>
      </c>
      <c r="C129" t="s">
        <v>18525</v>
      </c>
      <c r="D129" t="s">
        <v>18526</v>
      </c>
      <c r="E129" t="str">
        <f>"3600300485203"</f>
        <v>0</v>
      </c>
      <c r="F129" t="str">
        <f>"000030"</f>
        <v>0</v>
      </c>
      <c r="G129" t="s">
        <v>18359</v>
      </c>
    </row>
    <row r="130" spans="1:7">
      <c r="A130">
        <v>129</v>
      </c>
      <c r="B130" t="str">
        <f>"014456"</f>
        <v>0</v>
      </c>
      <c r="C130" t="s">
        <v>18527</v>
      </c>
      <c r="D130" t="s">
        <v>7555</v>
      </c>
      <c r="E130" t="str">
        <f>"3301800252252"</f>
        <v>0</v>
      </c>
      <c r="F130" t="str">
        <f>"000030"</f>
        <v>0</v>
      </c>
      <c r="G130" t="s">
        <v>18359</v>
      </c>
    </row>
    <row r="131" spans="1:7">
      <c r="A131">
        <v>130</v>
      </c>
      <c r="B131" t="str">
        <f>"020734"</f>
        <v>0</v>
      </c>
      <c r="C131" t="s">
        <v>7543</v>
      </c>
      <c r="D131" t="s">
        <v>18528</v>
      </c>
      <c r="E131" t="str">
        <f>"3320100213814"</f>
        <v>0</v>
      </c>
      <c r="F131" t="str">
        <f>"000030"</f>
        <v>0</v>
      </c>
      <c r="G131" t="s">
        <v>18359</v>
      </c>
    </row>
    <row r="132" spans="1:7">
      <c r="A132">
        <v>131</v>
      </c>
      <c r="B132" t="str">
        <f>"026073"</f>
        <v>0</v>
      </c>
      <c r="C132" t="s">
        <v>13987</v>
      </c>
      <c r="D132" t="s">
        <v>18529</v>
      </c>
      <c r="E132" t="str">
        <f>"1659900377543"</f>
        <v>0</v>
      </c>
      <c r="F132" t="str">
        <f>"000030"</f>
        <v>0</v>
      </c>
      <c r="G132" t="s">
        <v>18359</v>
      </c>
    </row>
    <row r="133" spans="1:7">
      <c r="A133">
        <v>132</v>
      </c>
      <c r="B133" t="str">
        <f>"023047"</f>
        <v>0</v>
      </c>
      <c r="C133" t="s">
        <v>18530</v>
      </c>
      <c r="D133" t="s">
        <v>3873</v>
      </c>
      <c r="E133" t="str">
        <f>"1759900041650"</f>
        <v>0</v>
      </c>
      <c r="F133" t="str">
        <f>"000030"</f>
        <v>0</v>
      </c>
      <c r="G133" t="s">
        <v>18359</v>
      </c>
    </row>
    <row r="134" spans="1:7">
      <c r="A134">
        <v>133</v>
      </c>
      <c r="B134" t="str">
        <f>"026630"</f>
        <v>0</v>
      </c>
      <c r="C134" t="s">
        <v>18531</v>
      </c>
      <c r="D134" t="s">
        <v>18532</v>
      </c>
      <c r="E134" t="str">
        <f>"1430900103269"</f>
        <v>0</v>
      </c>
      <c r="F134" t="str">
        <f>"000030"</f>
        <v>0</v>
      </c>
      <c r="G134" t="s">
        <v>18359</v>
      </c>
    </row>
    <row r="135" spans="1:7">
      <c r="A135">
        <v>134</v>
      </c>
      <c r="B135" t="str">
        <f>"018896"</f>
        <v>0</v>
      </c>
      <c r="C135" t="s">
        <v>18533</v>
      </c>
      <c r="D135" t="s">
        <v>18534</v>
      </c>
      <c r="E135" t="str">
        <f>"3409700131646"</f>
        <v>0</v>
      </c>
      <c r="F135" t="str">
        <f>"000030"</f>
        <v>0</v>
      </c>
      <c r="G135" t="s">
        <v>18359</v>
      </c>
    </row>
    <row r="136" spans="1:7">
      <c r="A136">
        <v>135</v>
      </c>
      <c r="B136" t="str">
        <f>"020205"</f>
        <v>0</v>
      </c>
      <c r="C136" t="s">
        <v>18535</v>
      </c>
      <c r="D136" t="s">
        <v>18536</v>
      </c>
      <c r="E136" t="str">
        <f>"3120400307263"</f>
        <v>0</v>
      </c>
      <c r="F136" t="str">
        <f>"000030"</f>
        <v>0</v>
      </c>
      <c r="G136" t="s">
        <v>18359</v>
      </c>
    </row>
    <row r="137" spans="1:7">
      <c r="A137">
        <v>136</v>
      </c>
      <c r="B137" t="str">
        <f>"021643"</f>
        <v>0</v>
      </c>
      <c r="C137" t="s">
        <v>18537</v>
      </c>
      <c r="D137" t="s">
        <v>18538</v>
      </c>
      <c r="E137" t="str">
        <f>"3120101698350"</f>
        <v>0</v>
      </c>
      <c r="F137" t="str">
        <f>"000030"</f>
        <v>0</v>
      </c>
      <c r="G137" t="s">
        <v>18359</v>
      </c>
    </row>
    <row r="138" spans="1:7">
      <c r="A138">
        <v>137</v>
      </c>
      <c r="B138" t="str">
        <f>"022072"</f>
        <v>0</v>
      </c>
      <c r="C138" t="s">
        <v>1276</v>
      </c>
      <c r="D138" t="s">
        <v>18539</v>
      </c>
      <c r="E138" t="str">
        <f>"1639900011352"</f>
        <v>0</v>
      </c>
      <c r="F138" t="str">
        <f>"000030"</f>
        <v>0</v>
      </c>
      <c r="G138" t="s">
        <v>18359</v>
      </c>
    </row>
    <row r="139" spans="1:7">
      <c r="A139">
        <v>138</v>
      </c>
      <c r="B139" t="str">
        <f>"023303"</f>
        <v>0</v>
      </c>
      <c r="C139" t="s">
        <v>3521</v>
      </c>
      <c r="D139" t="s">
        <v>18540</v>
      </c>
      <c r="E139" t="str">
        <f>"3469900025769"</f>
        <v>0</v>
      </c>
      <c r="F139" t="str">
        <f>"000030"</f>
        <v>0</v>
      </c>
      <c r="G139" t="s">
        <v>18359</v>
      </c>
    </row>
    <row r="140" spans="1:7">
      <c r="A140">
        <v>139</v>
      </c>
      <c r="B140" t="str">
        <f>"021078"</f>
        <v>0</v>
      </c>
      <c r="C140" t="s">
        <v>18541</v>
      </c>
      <c r="D140" t="s">
        <v>18542</v>
      </c>
      <c r="E140" t="str">
        <f>"3600700480624"</f>
        <v>0</v>
      </c>
      <c r="F140" t="str">
        <f>"000030"</f>
        <v>0</v>
      </c>
      <c r="G140" t="s">
        <v>18359</v>
      </c>
    </row>
    <row r="141" spans="1:7">
      <c r="A141">
        <v>140</v>
      </c>
      <c r="B141" t="str">
        <f>"026343"</f>
        <v>0</v>
      </c>
      <c r="C141" t="s">
        <v>18543</v>
      </c>
      <c r="D141" t="s">
        <v>18544</v>
      </c>
      <c r="E141" t="str">
        <f>"3710600430438"</f>
        <v>0</v>
      </c>
      <c r="F141" t="str">
        <f>"000030"</f>
        <v>0</v>
      </c>
      <c r="G141" t="s">
        <v>18359</v>
      </c>
    </row>
    <row r="142" spans="1:7">
      <c r="A142">
        <v>141</v>
      </c>
      <c r="B142" t="str">
        <f>"020650"</f>
        <v>0</v>
      </c>
      <c r="C142" t="s">
        <v>18545</v>
      </c>
      <c r="D142" t="s">
        <v>18546</v>
      </c>
      <c r="E142" t="str">
        <f>"5959999005660"</f>
        <v>0</v>
      </c>
      <c r="F142" t="str">
        <f>"000030"</f>
        <v>0</v>
      </c>
      <c r="G142" t="s">
        <v>18359</v>
      </c>
    </row>
    <row r="143" spans="1:7">
      <c r="A143">
        <v>142</v>
      </c>
      <c r="B143" t="str">
        <f>"016011"</f>
        <v>0</v>
      </c>
      <c r="C143" t="s">
        <v>18547</v>
      </c>
      <c r="D143" t="s">
        <v>18548</v>
      </c>
      <c r="E143" t="str">
        <f>"3101700981718"</f>
        <v>0</v>
      </c>
      <c r="F143" t="str">
        <f>"000030"</f>
        <v>0</v>
      </c>
      <c r="G143" t="s">
        <v>18359</v>
      </c>
    </row>
    <row r="144" spans="1:7">
      <c r="A144">
        <v>143</v>
      </c>
      <c r="B144" t="str">
        <f>"017076"</f>
        <v>0</v>
      </c>
      <c r="C144" t="s">
        <v>4173</v>
      </c>
      <c r="D144" t="s">
        <v>18549</v>
      </c>
      <c r="E144" t="str">
        <f>"3120100655584"</f>
        <v>0</v>
      </c>
      <c r="F144" t="str">
        <f>"000030"</f>
        <v>0</v>
      </c>
      <c r="G144" t="s">
        <v>18359</v>
      </c>
    </row>
    <row r="145" spans="1:7">
      <c r="A145">
        <v>144</v>
      </c>
      <c r="B145" t="str">
        <f>"019170"</f>
        <v>0</v>
      </c>
      <c r="C145" t="s">
        <v>46</v>
      </c>
      <c r="D145" t="s">
        <v>18550</v>
      </c>
      <c r="E145" t="str">
        <f>"3101700962314"</f>
        <v>0</v>
      </c>
      <c r="F145" t="str">
        <f>"000030"</f>
        <v>0</v>
      </c>
      <c r="G145" t="s">
        <v>18359</v>
      </c>
    </row>
    <row r="146" spans="1:7">
      <c r="A146">
        <v>145</v>
      </c>
      <c r="B146" t="str">
        <f>"017165"</f>
        <v>0</v>
      </c>
      <c r="C146" t="s">
        <v>18551</v>
      </c>
      <c r="D146" t="s">
        <v>18552</v>
      </c>
      <c r="E146" t="str">
        <f>"3140500125680"</f>
        <v>0</v>
      </c>
      <c r="F146" t="str">
        <f>"000030"</f>
        <v>0</v>
      </c>
      <c r="G146" t="s">
        <v>18359</v>
      </c>
    </row>
    <row r="147" spans="1:7">
      <c r="A147">
        <v>146</v>
      </c>
      <c r="B147" t="str">
        <f>"018601"</f>
        <v>0</v>
      </c>
      <c r="C147" t="s">
        <v>18553</v>
      </c>
      <c r="D147" t="s">
        <v>18554</v>
      </c>
      <c r="E147" t="str">
        <f>"3560100455662"</f>
        <v>0</v>
      </c>
      <c r="F147" t="str">
        <f>"000030"</f>
        <v>0</v>
      </c>
      <c r="G147" t="s">
        <v>18359</v>
      </c>
    </row>
    <row r="148" spans="1:7">
      <c r="A148">
        <v>147</v>
      </c>
      <c r="B148" t="str">
        <f>"019118"</f>
        <v>0</v>
      </c>
      <c r="C148" t="s">
        <v>3655</v>
      </c>
      <c r="D148" t="s">
        <v>18555</v>
      </c>
      <c r="E148" t="str">
        <f>"3850400155114"</f>
        <v>0</v>
      </c>
      <c r="F148" t="str">
        <f>"000030"</f>
        <v>0</v>
      </c>
      <c r="G148" t="s">
        <v>18359</v>
      </c>
    </row>
    <row r="149" spans="1:7">
      <c r="A149">
        <v>148</v>
      </c>
      <c r="B149" t="str">
        <f>"021000"</f>
        <v>0</v>
      </c>
      <c r="C149" t="s">
        <v>239</v>
      </c>
      <c r="D149" t="s">
        <v>1148</v>
      </c>
      <c r="E149" t="str">
        <f>"3200600696823"</f>
        <v>0</v>
      </c>
      <c r="F149" t="str">
        <f>"000030"</f>
        <v>0</v>
      </c>
      <c r="G149" t="s">
        <v>18359</v>
      </c>
    </row>
    <row r="150" spans="1:7">
      <c r="A150">
        <v>149</v>
      </c>
      <c r="B150" t="str">
        <f>"021299"</f>
        <v>0</v>
      </c>
      <c r="C150" t="s">
        <v>18556</v>
      </c>
      <c r="D150" t="s">
        <v>1547</v>
      </c>
      <c r="E150" t="str">
        <f>"3179900027136"</f>
        <v>0</v>
      </c>
      <c r="F150" t="str">
        <f>"000030"</f>
        <v>0</v>
      </c>
      <c r="G150" t="s">
        <v>18359</v>
      </c>
    </row>
    <row r="151" spans="1:7">
      <c r="A151">
        <v>150</v>
      </c>
      <c r="B151" t="str">
        <f>"021828"</f>
        <v>0</v>
      </c>
      <c r="C151" t="s">
        <v>18557</v>
      </c>
      <c r="D151" t="s">
        <v>18558</v>
      </c>
      <c r="E151" t="str">
        <f>"1719900006102"</f>
        <v>0</v>
      </c>
      <c r="F151" t="str">
        <f>"000030"</f>
        <v>0</v>
      </c>
      <c r="G151" t="s">
        <v>18359</v>
      </c>
    </row>
    <row r="152" spans="1:7">
      <c r="A152">
        <v>151</v>
      </c>
      <c r="B152" t="str">
        <f>"023763"</f>
        <v>0</v>
      </c>
      <c r="C152" t="s">
        <v>18559</v>
      </c>
      <c r="D152" t="s">
        <v>18560</v>
      </c>
      <c r="E152" t="str">
        <f>"1101800289992"</f>
        <v>0</v>
      </c>
      <c r="F152" t="str">
        <f>"000030"</f>
        <v>0</v>
      </c>
      <c r="G152" t="s">
        <v>18359</v>
      </c>
    </row>
    <row r="153" spans="1:7">
      <c r="A153">
        <v>152</v>
      </c>
      <c r="B153" t="str">
        <f>"026875"</f>
        <v>0</v>
      </c>
      <c r="C153" t="s">
        <v>18561</v>
      </c>
      <c r="D153" t="s">
        <v>18562</v>
      </c>
      <c r="E153" t="str">
        <f>"3619900028472"</f>
        <v>0</v>
      </c>
      <c r="F153" t="str">
        <f>"000030"</f>
        <v>0</v>
      </c>
      <c r="G153" t="s">
        <v>18359</v>
      </c>
    </row>
    <row r="154" spans="1:7">
      <c r="A154">
        <v>153</v>
      </c>
      <c r="B154" t="str">
        <f>"027066"</f>
        <v>0</v>
      </c>
      <c r="C154" t="s">
        <v>11540</v>
      </c>
      <c r="D154" t="s">
        <v>18563</v>
      </c>
      <c r="E154" t="str">
        <f>"1509900943418"</f>
        <v>0</v>
      </c>
      <c r="F154" t="str">
        <f>"000030"</f>
        <v>0</v>
      </c>
      <c r="G154" t="s">
        <v>18359</v>
      </c>
    </row>
    <row r="155" spans="1:7">
      <c r="A155">
        <v>154</v>
      </c>
      <c r="B155" t="str">
        <f>"022983"</f>
        <v>0</v>
      </c>
      <c r="C155" t="s">
        <v>18564</v>
      </c>
      <c r="D155" t="s">
        <v>18565</v>
      </c>
      <c r="E155" t="str">
        <f>"1739900145803"</f>
        <v>0</v>
      </c>
      <c r="F155" t="str">
        <f>"000030"</f>
        <v>0</v>
      </c>
      <c r="G155" t="s">
        <v>18359</v>
      </c>
    </row>
    <row r="156" spans="1:7">
      <c r="A156">
        <v>155</v>
      </c>
      <c r="B156" t="str">
        <f>"019104"</f>
        <v>0</v>
      </c>
      <c r="C156" t="s">
        <v>4088</v>
      </c>
      <c r="D156" t="s">
        <v>7669</v>
      </c>
      <c r="E156" t="str">
        <f>"3100601386535"</f>
        <v>0</v>
      </c>
      <c r="F156" t="str">
        <f>"000030"</f>
        <v>0</v>
      </c>
      <c r="G156" t="s">
        <v>18359</v>
      </c>
    </row>
    <row r="157" spans="1:7">
      <c r="A157">
        <v>156</v>
      </c>
      <c r="B157" t="str">
        <f>"019775"</f>
        <v>0</v>
      </c>
      <c r="C157" t="s">
        <v>18566</v>
      </c>
      <c r="D157" t="s">
        <v>18567</v>
      </c>
      <c r="E157" t="str">
        <f>"3510600169375"</f>
        <v>0</v>
      </c>
      <c r="F157" t="str">
        <f>"000030"</f>
        <v>0</v>
      </c>
      <c r="G157" t="s">
        <v>18359</v>
      </c>
    </row>
    <row r="158" spans="1:7">
      <c r="A158">
        <v>157</v>
      </c>
      <c r="B158" t="str">
        <f>"019979"</f>
        <v>0</v>
      </c>
      <c r="C158" t="s">
        <v>18568</v>
      </c>
      <c r="D158" t="s">
        <v>18569</v>
      </c>
      <c r="E158" t="str">
        <f>"3609900933566"</f>
        <v>0</v>
      </c>
      <c r="F158" t="str">
        <f>"000030"</f>
        <v>0</v>
      </c>
      <c r="G158" t="s">
        <v>18359</v>
      </c>
    </row>
    <row r="159" spans="1:7">
      <c r="A159">
        <v>158</v>
      </c>
      <c r="B159" t="str">
        <f>"021024"</f>
        <v>0</v>
      </c>
      <c r="C159" t="s">
        <v>464</v>
      </c>
      <c r="D159" t="s">
        <v>7019</v>
      </c>
      <c r="E159" t="str">
        <f>"1100200022561"</f>
        <v>0</v>
      </c>
      <c r="F159" t="str">
        <f>"000030"</f>
        <v>0</v>
      </c>
      <c r="G159" t="s">
        <v>18359</v>
      </c>
    </row>
    <row r="160" spans="1:7">
      <c r="A160">
        <v>159</v>
      </c>
      <c r="B160" t="str">
        <f>"021404"</f>
        <v>0</v>
      </c>
      <c r="C160" t="s">
        <v>18570</v>
      </c>
      <c r="D160" t="s">
        <v>18571</v>
      </c>
      <c r="E160" t="str">
        <f>"3909700045915"</f>
        <v>0</v>
      </c>
      <c r="F160" t="str">
        <f>"000030"</f>
        <v>0</v>
      </c>
      <c r="G160" t="s">
        <v>18359</v>
      </c>
    </row>
    <row r="161" spans="1:7">
      <c r="A161">
        <v>160</v>
      </c>
      <c r="B161" t="str">
        <f>"021692"</f>
        <v>0</v>
      </c>
      <c r="C161" t="s">
        <v>18572</v>
      </c>
      <c r="D161" t="s">
        <v>18573</v>
      </c>
      <c r="E161" t="str">
        <f>"3100602197531"</f>
        <v>0</v>
      </c>
      <c r="F161" t="str">
        <f>"000030"</f>
        <v>0</v>
      </c>
      <c r="G161" t="s">
        <v>18359</v>
      </c>
    </row>
    <row r="162" spans="1:7">
      <c r="A162">
        <v>161</v>
      </c>
      <c r="B162" t="str">
        <f>"022027"</f>
        <v>0</v>
      </c>
      <c r="C162" t="s">
        <v>1718</v>
      </c>
      <c r="D162" t="s">
        <v>18574</v>
      </c>
      <c r="E162" t="str">
        <f>"3450900049376"</f>
        <v>0</v>
      </c>
      <c r="F162" t="str">
        <f>"000030"</f>
        <v>0</v>
      </c>
      <c r="G162" t="s">
        <v>18359</v>
      </c>
    </row>
    <row r="163" spans="1:7">
      <c r="A163">
        <v>162</v>
      </c>
      <c r="B163" t="str">
        <f>"025154"</f>
        <v>0</v>
      </c>
      <c r="C163" t="s">
        <v>18575</v>
      </c>
      <c r="D163" t="s">
        <v>18576</v>
      </c>
      <c r="E163" t="str">
        <f>"1101401396558"</f>
        <v>0</v>
      </c>
      <c r="F163" t="str">
        <f>"000030"</f>
        <v>0</v>
      </c>
      <c r="G163" t="s">
        <v>18359</v>
      </c>
    </row>
    <row r="164" spans="1:7">
      <c r="A164">
        <v>163</v>
      </c>
      <c r="B164" t="str">
        <f>"026098"</f>
        <v>0</v>
      </c>
      <c r="C164" t="s">
        <v>18577</v>
      </c>
      <c r="D164" t="s">
        <v>11906</v>
      </c>
      <c r="E164" t="str">
        <f>"3360200384424"</f>
        <v>0</v>
      </c>
      <c r="F164" t="str">
        <f>"000030"</f>
        <v>0</v>
      </c>
      <c r="G164" t="s">
        <v>18359</v>
      </c>
    </row>
    <row r="165" spans="1:7">
      <c r="A165">
        <v>164</v>
      </c>
      <c r="B165" t="str">
        <f>"026560"</f>
        <v>0</v>
      </c>
      <c r="C165" t="s">
        <v>18578</v>
      </c>
      <c r="D165" t="s">
        <v>18579</v>
      </c>
      <c r="E165" t="str">
        <f>"3120100497709"</f>
        <v>0</v>
      </c>
      <c r="F165" t="str">
        <f>"000030"</f>
        <v>0</v>
      </c>
      <c r="G165" t="s">
        <v>18359</v>
      </c>
    </row>
    <row r="166" spans="1:7">
      <c r="A166">
        <v>165</v>
      </c>
      <c r="B166" t="str">
        <f>"020555"</f>
        <v>0</v>
      </c>
      <c r="C166" t="s">
        <v>18580</v>
      </c>
      <c r="D166" t="s">
        <v>18581</v>
      </c>
      <c r="E166" t="str">
        <f>"3100902756293"</f>
        <v>0</v>
      </c>
      <c r="F166" t="str">
        <f>"000030"</f>
        <v>0</v>
      </c>
      <c r="G166" t="s">
        <v>18359</v>
      </c>
    </row>
    <row r="167" spans="1:7">
      <c r="A167">
        <v>166</v>
      </c>
      <c r="B167" t="str">
        <f>"018007"</f>
        <v>0</v>
      </c>
      <c r="C167" t="s">
        <v>18582</v>
      </c>
      <c r="D167" t="s">
        <v>18508</v>
      </c>
      <c r="E167" t="str">
        <f>"3340100220586"</f>
        <v>0</v>
      </c>
      <c r="F167" t="str">
        <f>"000030"</f>
        <v>0</v>
      </c>
      <c r="G167" t="s">
        <v>18359</v>
      </c>
    </row>
    <row r="168" spans="1:7">
      <c r="A168">
        <v>167</v>
      </c>
      <c r="B168" t="str">
        <f>"020302"</f>
        <v>0</v>
      </c>
      <c r="C168" t="s">
        <v>18583</v>
      </c>
      <c r="D168" t="s">
        <v>9980</v>
      </c>
      <c r="E168" t="str">
        <f>"3102300438368"</f>
        <v>0</v>
      </c>
      <c r="F168" t="str">
        <f>"000030"</f>
        <v>0</v>
      </c>
      <c r="G168" t="s">
        <v>18359</v>
      </c>
    </row>
    <row r="169" spans="1:7">
      <c r="A169">
        <v>168</v>
      </c>
      <c r="B169" t="str">
        <f>"021642"</f>
        <v>0</v>
      </c>
      <c r="C169" t="s">
        <v>18584</v>
      </c>
      <c r="D169" t="s">
        <v>18508</v>
      </c>
      <c r="E169" t="str">
        <f>"3101403321373"</f>
        <v>0</v>
      </c>
      <c r="F169" t="str">
        <f>"000030"</f>
        <v>0</v>
      </c>
      <c r="G169" t="s">
        <v>18359</v>
      </c>
    </row>
    <row r="170" spans="1:7">
      <c r="A170">
        <v>169</v>
      </c>
      <c r="B170" t="str">
        <f>"026987"</f>
        <v>0</v>
      </c>
      <c r="C170" t="s">
        <v>18585</v>
      </c>
      <c r="D170" t="s">
        <v>18586</v>
      </c>
      <c r="E170" t="str">
        <f>"3100502974307"</f>
        <v>0</v>
      </c>
      <c r="F170" t="str">
        <f>"000030"</f>
        <v>0</v>
      </c>
      <c r="G170" t="s">
        <v>18359</v>
      </c>
    </row>
    <row r="171" spans="1:7">
      <c r="A171">
        <v>170</v>
      </c>
      <c r="B171" t="str">
        <f>"014419"</f>
        <v>0</v>
      </c>
      <c r="C171" t="s">
        <v>3112</v>
      </c>
      <c r="D171" t="s">
        <v>18587</v>
      </c>
      <c r="E171" t="str">
        <f>"3100501846844"</f>
        <v>0</v>
      </c>
      <c r="F171" t="str">
        <f>"000030"</f>
        <v>0</v>
      </c>
      <c r="G171" t="s">
        <v>18359</v>
      </c>
    </row>
    <row r="172" spans="1:7">
      <c r="A172">
        <v>171</v>
      </c>
      <c r="B172" t="str">
        <f>"024579"</f>
        <v>0</v>
      </c>
      <c r="C172" t="s">
        <v>1720</v>
      </c>
      <c r="D172" t="s">
        <v>18588</v>
      </c>
      <c r="E172" t="str">
        <f>"1139900006728"</f>
        <v>0</v>
      </c>
      <c r="F172" t="str">
        <f>"000030"</f>
        <v>0</v>
      </c>
      <c r="G172" t="s">
        <v>18359</v>
      </c>
    </row>
    <row r="173" spans="1:7">
      <c r="A173">
        <v>172</v>
      </c>
      <c r="B173" t="str">
        <f>"017595"</f>
        <v>0</v>
      </c>
      <c r="C173" t="s">
        <v>18589</v>
      </c>
      <c r="D173" t="s">
        <v>18590</v>
      </c>
      <c r="E173" t="str">
        <f>"3170100147007"</f>
        <v>0</v>
      </c>
      <c r="F173" t="str">
        <f>"000030"</f>
        <v>0</v>
      </c>
      <c r="G173" t="s">
        <v>18359</v>
      </c>
    </row>
    <row r="174" spans="1:7">
      <c r="A174">
        <v>173</v>
      </c>
      <c r="B174" t="str">
        <f>"023660"</f>
        <v>0</v>
      </c>
      <c r="C174" t="s">
        <v>18591</v>
      </c>
      <c r="D174" t="s">
        <v>4332</v>
      </c>
      <c r="E174" t="str">
        <f>"1300690001920"</f>
        <v>0</v>
      </c>
      <c r="F174" t="str">
        <f>"000030"</f>
        <v>0</v>
      </c>
      <c r="G174" t="s">
        <v>18359</v>
      </c>
    </row>
    <row r="175" spans="1:7">
      <c r="A175">
        <v>174</v>
      </c>
      <c r="B175" t="str">
        <f>"025754"</f>
        <v>0</v>
      </c>
      <c r="C175" t="s">
        <v>18592</v>
      </c>
      <c r="D175" t="s">
        <v>18593</v>
      </c>
      <c r="E175" t="str">
        <f>"1340900206204"</f>
        <v>0</v>
      </c>
      <c r="F175" t="str">
        <f>"000030"</f>
        <v>0</v>
      </c>
      <c r="G175" t="s">
        <v>18359</v>
      </c>
    </row>
    <row r="176" spans="1:7">
      <c r="A176">
        <v>175</v>
      </c>
      <c r="B176" t="str">
        <f>"021052"</f>
        <v>0</v>
      </c>
      <c r="C176" t="s">
        <v>18594</v>
      </c>
      <c r="D176" t="s">
        <v>18595</v>
      </c>
      <c r="E176" t="str">
        <f>"3311100881567"</f>
        <v>0</v>
      </c>
      <c r="F176" t="str">
        <f>"000030"</f>
        <v>0</v>
      </c>
      <c r="G176" t="s">
        <v>18359</v>
      </c>
    </row>
    <row r="177" spans="1:7">
      <c r="A177">
        <v>176</v>
      </c>
      <c r="B177" t="str">
        <f>"022582"</f>
        <v>0</v>
      </c>
      <c r="C177" t="s">
        <v>18596</v>
      </c>
      <c r="D177" t="s">
        <v>18597</v>
      </c>
      <c r="E177" t="str">
        <f>"3640700457291"</f>
        <v>0</v>
      </c>
      <c r="F177" t="str">
        <f>"000030"</f>
        <v>0</v>
      </c>
      <c r="G177" t="s">
        <v>18359</v>
      </c>
    </row>
    <row r="178" spans="1:7">
      <c r="A178">
        <v>177</v>
      </c>
      <c r="B178" t="str">
        <f>"023293"</f>
        <v>0</v>
      </c>
      <c r="C178" t="s">
        <v>10809</v>
      </c>
      <c r="D178" t="s">
        <v>18598</v>
      </c>
      <c r="E178" t="str">
        <f>"1640900012610"</f>
        <v>0</v>
      </c>
      <c r="F178" t="str">
        <f>"000030"</f>
        <v>0</v>
      </c>
      <c r="G178" t="s">
        <v>18359</v>
      </c>
    </row>
    <row r="179" spans="1:7">
      <c r="A179">
        <v>178</v>
      </c>
      <c r="B179" t="str">
        <f>"022930"</f>
        <v>0</v>
      </c>
      <c r="C179" t="s">
        <v>11110</v>
      </c>
      <c r="D179" t="s">
        <v>18599</v>
      </c>
      <c r="E179" t="str">
        <f>"3700100001848"</f>
        <v>0</v>
      </c>
      <c r="F179" t="str">
        <f>"000030"</f>
        <v>0</v>
      </c>
      <c r="G179" t="s">
        <v>18359</v>
      </c>
    </row>
    <row r="180" spans="1:7">
      <c r="A180">
        <v>179</v>
      </c>
      <c r="B180" t="str">
        <f>"026456"</f>
        <v>0</v>
      </c>
      <c r="C180" t="s">
        <v>3171</v>
      </c>
      <c r="D180" t="s">
        <v>18600</v>
      </c>
      <c r="E180" t="str">
        <f>"1102000274371"</f>
        <v>0</v>
      </c>
      <c r="F180" t="str">
        <f>"000030"</f>
        <v>0</v>
      </c>
      <c r="G180" t="s">
        <v>18359</v>
      </c>
    </row>
    <row r="181" spans="1:7">
      <c r="A181">
        <v>180</v>
      </c>
      <c r="B181" t="str">
        <f>"016950"</f>
        <v>0</v>
      </c>
      <c r="C181" t="s">
        <v>8983</v>
      </c>
      <c r="D181" t="s">
        <v>18601</v>
      </c>
      <c r="E181" t="str">
        <f>"3101801351019"</f>
        <v>0</v>
      </c>
      <c r="F181" t="str">
        <f>"000030"</f>
        <v>0</v>
      </c>
      <c r="G181" t="s">
        <v>18359</v>
      </c>
    </row>
    <row r="182" spans="1:7">
      <c r="A182">
        <v>181</v>
      </c>
      <c r="B182" t="str">
        <f>"017250"</f>
        <v>0</v>
      </c>
      <c r="C182" t="s">
        <v>3383</v>
      </c>
      <c r="D182" t="s">
        <v>18602</v>
      </c>
      <c r="E182" t="str">
        <f>"3101701353991"</f>
        <v>0</v>
      </c>
      <c r="F182" t="str">
        <f>"000030"</f>
        <v>0</v>
      </c>
      <c r="G182" t="s">
        <v>18359</v>
      </c>
    </row>
    <row r="183" spans="1:7">
      <c r="A183">
        <v>182</v>
      </c>
      <c r="B183" t="str">
        <f>"019282"</f>
        <v>0</v>
      </c>
      <c r="C183" t="s">
        <v>18603</v>
      </c>
      <c r="D183" t="s">
        <v>18604</v>
      </c>
      <c r="E183" t="str">
        <f>"3160600064798"</f>
        <v>0</v>
      </c>
      <c r="F183" t="str">
        <f>"000030"</f>
        <v>0</v>
      </c>
      <c r="G183" t="s">
        <v>18359</v>
      </c>
    </row>
    <row r="184" spans="1:7">
      <c r="A184">
        <v>183</v>
      </c>
      <c r="B184" t="str">
        <f>"019793"</f>
        <v>0</v>
      </c>
      <c r="C184" t="s">
        <v>18605</v>
      </c>
      <c r="D184" t="s">
        <v>5462</v>
      </c>
      <c r="E184" t="str">
        <f>"3301800087308"</f>
        <v>0</v>
      </c>
      <c r="F184" t="str">
        <f>"000030"</f>
        <v>0</v>
      </c>
      <c r="G184" t="s">
        <v>18359</v>
      </c>
    </row>
    <row r="185" spans="1:7">
      <c r="A185">
        <v>184</v>
      </c>
      <c r="B185" t="str">
        <f>"020202"</f>
        <v>0</v>
      </c>
      <c r="C185" t="s">
        <v>18606</v>
      </c>
      <c r="D185" t="s">
        <v>18607</v>
      </c>
      <c r="E185" t="str">
        <f>"3330401483811"</f>
        <v>0</v>
      </c>
      <c r="F185" t="str">
        <f>"000030"</f>
        <v>0</v>
      </c>
      <c r="G185" t="s">
        <v>18359</v>
      </c>
    </row>
    <row r="186" spans="1:7">
      <c r="A186">
        <v>185</v>
      </c>
      <c r="B186" t="str">
        <f>"022451"</f>
        <v>0</v>
      </c>
      <c r="C186" t="s">
        <v>18608</v>
      </c>
      <c r="D186" t="s">
        <v>18609</v>
      </c>
      <c r="E186" t="str">
        <f>"3100200907399"</f>
        <v>0</v>
      </c>
      <c r="F186" t="str">
        <f>"000030"</f>
        <v>0</v>
      </c>
      <c r="G186" t="s">
        <v>18359</v>
      </c>
    </row>
    <row r="187" spans="1:7">
      <c r="A187">
        <v>186</v>
      </c>
      <c r="B187" t="str">
        <f>"025224"</f>
        <v>0</v>
      </c>
      <c r="C187" t="s">
        <v>15118</v>
      </c>
      <c r="D187" t="s">
        <v>18610</v>
      </c>
      <c r="E187" t="str">
        <f>"1411900179452"</f>
        <v>0</v>
      </c>
      <c r="F187" t="str">
        <f>"000030"</f>
        <v>0</v>
      </c>
      <c r="G187" t="s">
        <v>18359</v>
      </c>
    </row>
    <row r="188" spans="1:7">
      <c r="A188">
        <v>187</v>
      </c>
      <c r="B188" t="str">
        <f>"027324"</f>
        <v>0</v>
      </c>
      <c r="C188" t="s">
        <v>5212</v>
      </c>
      <c r="D188" t="s">
        <v>18413</v>
      </c>
      <c r="E188" t="str">
        <f>"5360600018511"</f>
        <v>0</v>
      </c>
      <c r="F188" t="str">
        <f>"000030"</f>
        <v>0</v>
      </c>
      <c r="G188" t="s">
        <v>18359</v>
      </c>
    </row>
    <row r="189" spans="1:7">
      <c r="A189">
        <v>188</v>
      </c>
      <c r="B189" t="str">
        <f>"025998"</f>
        <v>0</v>
      </c>
      <c r="C189" t="s">
        <v>18611</v>
      </c>
      <c r="D189" t="s">
        <v>18612</v>
      </c>
      <c r="E189" t="str">
        <f>"3409900433816"</f>
        <v>0</v>
      </c>
      <c r="F189" t="str">
        <f>"000030"</f>
        <v>0</v>
      </c>
      <c r="G189" t="s">
        <v>18359</v>
      </c>
    </row>
    <row r="190" spans="1:7">
      <c r="A190">
        <v>189</v>
      </c>
      <c r="B190" t="str">
        <f>"022357"</f>
        <v>0</v>
      </c>
      <c r="C190" t="s">
        <v>2443</v>
      </c>
      <c r="D190" t="s">
        <v>18613</v>
      </c>
      <c r="E190" t="str">
        <f>"3560100439519"</f>
        <v>0</v>
      </c>
      <c r="F190" t="str">
        <f>"000030"</f>
        <v>0</v>
      </c>
      <c r="G190" t="s">
        <v>18359</v>
      </c>
    </row>
    <row r="191" spans="1:7">
      <c r="A191">
        <v>190</v>
      </c>
      <c r="B191" t="str">
        <f>"020200"</f>
        <v>0</v>
      </c>
      <c r="C191" t="s">
        <v>18614</v>
      </c>
      <c r="D191" t="s">
        <v>23</v>
      </c>
      <c r="E191" t="str">
        <f>"3102201239685"</f>
        <v>0</v>
      </c>
      <c r="F191" t="str">
        <f>"000030"</f>
        <v>0</v>
      </c>
      <c r="G191" t="s">
        <v>18359</v>
      </c>
    </row>
    <row r="192" spans="1:7">
      <c r="A192">
        <v>191</v>
      </c>
      <c r="B192" t="str">
        <f>"026666"</f>
        <v>0</v>
      </c>
      <c r="C192" t="s">
        <v>18615</v>
      </c>
      <c r="D192" t="s">
        <v>18616</v>
      </c>
      <c r="E192" t="str">
        <f>"1920200075934"</f>
        <v>0</v>
      </c>
      <c r="F192" t="str">
        <f>"000030"</f>
        <v>0</v>
      </c>
      <c r="G192" t="s">
        <v>18359</v>
      </c>
    </row>
    <row r="193" spans="1:7">
      <c r="A193">
        <v>192</v>
      </c>
      <c r="B193" t="str">
        <f>"010439"</f>
        <v>0</v>
      </c>
      <c r="C193" t="s">
        <v>18617</v>
      </c>
      <c r="D193" t="s">
        <v>18618</v>
      </c>
      <c r="E193" t="str">
        <f>"3120101799334"</f>
        <v>0</v>
      </c>
      <c r="F193" t="str">
        <f>"000030"</f>
        <v>0</v>
      </c>
      <c r="G193" t="s">
        <v>18359</v>
      </c>
    </row>
    <row r="194" spans="1:7">
      <c r="A194">
        <v>193</v>
      </c>
      <c r="B194" t="str">
        <f>"025544"</f>
        <v>0</v>
      </c>
      <c r="C194" t="s">
        <v>18619</v>
      </c>
      <c r="D194" t="s">
        <v>18620</v>
      </c>
      <c r="E194" t="str">
        <f>"3409900451253"</f>
        <v>0</v>
      </c>
      <c r="F194" t="str">
        <f>"000030"</f>
        <v>0</v>
      </c>
      <c r="G194" t="s">
        <v>18359</v>
      </c>
    </row>
    <row r="195" spans="1:7">
      <c r="A195">
        <v>194</v>
      </c>
      <c r="B195" t="str">
        <f>"025545"</f>
        <v>0</v>
      </c>
      <c r="C195" t="s">
        <v>18621</v>
      </c>
      <c r="D195" t="s">
        <v>2396</v>
      </c>
      <c r="E195" t="str">
        <f>"1769900022248"</f>
        <v>0</v>
      </c>
      <c r="F195" t="str">
        <f>"000030"</f>
        <v>0</v>
      </c>
      <c r="G195" t="s">
        <v>18359</v>
      </c>
    </row>
    <row r="196" spans="1:7">
      <c r="A196">
        <v>195</v>
      </c>
      <c r="B196" t="str">
        <f>"008922"</f>
        <v>0</v>
      </c>
      <c r="C196" t="s">
        <v>2648</v>
      </c>
      <c r="D196" t="s">
        <v>18622</v>
      </c>
      <c r="E196" t="str">
        <f>"3100602703470"</f>
        <v>0</v>
      </c>
      <c r="F196" t="str">
        <f>"000030"</f>
        <v>0</v>
      </c>
      <c r="G196" t="s">
        <v>18359</v>
      </c>
    </row>
    <row r="197" spans="1:7">
      <c r="A197">
        <v>196</v>
      </c>
      <c r="B197" t="str">
        <f>"015154"</f>
        <v>0</v>
      </c>
      <c r="C197" t="s">
        <v>2818</v>
      </c>
      <c r="D197" t="s">
        <v>1141</v>
      </c>
      <c r="E197" t="str">
        <f>"3330300002159"</f>
        <v>0</v>
      </c>
      <c r="F197" t="str">
        <f>"000030"</f>
        <v>0</v>
      </c>
      <c r="G197" t="s">
        <v>18359</v>
      </c>
    </row>
    <row r="198" spans="1:7">
      <c r="A198">
        <v>197</v>
      </c>
      <c r="B198" t="str">
        <f>"018489"</f>
        <v>0</v>
      </c>
      <c r="C198" t="s">
        <v>18623</v>
      </c>
      <c r="D198" t="s">
        <v>11238</v>
      </c>
      <c r="E198" t="str">
        <f>"3100601253845"</f>
        <v>0</v>
      </c>
      <c r="F198" t="str">
        <f>"000030"</f>
        <v>0</v>
      </c>
      <c r="G198" t="s">
        <v>18359</v>
      </c>
    </row>
    <row r="199" spans="1:7">
      <c r="A199">
        <v>198</v>
      </c>
      <c r="B199" t="str">
        <f>"022232"</f>
        <v>0</v>
      </c>
      <c r="C199" t="s">
        <v>18624</v>
      </c>
      <c r="D199" t="s">
        <v>18625</v>
      </c>
      <c r="E199" t="str">
        <f>"3100603009941"</f>
        <v>0</v>
      </c>
      <c r="F199" t="str">
        <f>"000310"</f>
        <v>0</v>
      </c>
      <c r="G199" t="s">
        <v>18359</v>
      </c>
    </row>
    <row r="200" spans="1:7">
      <c r="A200">
        <v>199</v>
      </c>
      <c r="B200" t="str">
        <f>"022873"</f>
        <v>0</v>
      </c>
      <c r="C200" t="s">
        <v>18626</v>
      </c>
      <c r="D200" t="s">
        <v>18627</v>
      </c>
      <c r="E200" t="str">
        <f>"1100800049541"</f>
        <v>0</v>
      </c>
      <c r="F200" t="str">
        <f>"000310"</f>
        <v>0</v>
      </c>
      <c r="G200" t="s">
        <v>18359</v>
      </c>
    </row>
    <row r="201" spans="1:7">
      <c r="A201">
        <v>200</v>
      </c>
      <c r="B201" t="str">
        <f>"003860"</f>
        <v>0</v>
      </c>
      <c r="C201" t="s">
        <v>645</v>
      </c>
      <c r="D201" t="s">
        <v>18628</v>
      </c>
      <c r="E201" t="str">
        <f>"3810100368996"</f>
        <v>0</v>
      </c>
      <c r="F201" t="str">
        <f>"000320"</f>
        <v>0</v>
      </c>
      <c r="G201" t="s">
        <v>18359</v>
      </c>
    </row>
    <row r="202" spans="1:7">
      <c r="A202">
        <v>201</v>
      </c>
      <c r="B202" t="str">
        <f>"011640"</f>
        <v>0</v>
      </c>
      <c r="C202" t="s">
        <v>1285</v>
      </c>
      <c r="D202" t="s">
        <v>18629</v>
      </c>
      <c r="E202" t="str">
        <f>"3909900271901"</f>
        <v>0</v>
      </c>
      <c r="F202" t="str">
        <f>"000320"</f>
        <v>0</v>
      </c>
      <c r="G202" t="s">
        <v>18359</v>
      </c>
    </row>
    <row r="203" spans="1:7">
      <c r="A203">
        <v>202</v>
      </c>
      <c r="B203" t="str">
        <f>"026669"</f>
        <v>0</v>
      </c>
      <c r="C203" t="s">
        <v>7096</v>
      </c>
      <c r="D203" t="s">
        <v>18630</v>
      </c>
      <c r="E203" t="str">
        <f>"1560300034770"</f>
        <v>0</v>
      </c>
      <c r="F203" t="str">
        <f>"000320"</f>
        <v>0</v>
      </c>
      <c r="G203" t="s">
        <v>18359</v>
      </c>
    </row>
    <row r="204" spans="1:7">
      <c r="A204">
        <v>203</v>
      </c>
      <c r="B204" t="str">
        <f>"027069"</f>
        <v>0</v>
      </c>
      <c r="C204" t="s">
        <v>18631</v>
      </c>
      <c r="D204" t="s">
        <v>18632</v>
      </c>
      <c r="E204" t="str">
        <f>"1800400145651"</f>
        <v>0</v>
      </c>
      <c r="F204" t="str">
        <f>"000320"</f>
        <v>0</v>
      </c>
      <c r="G204" t="s">
        <v>18359</v>
      </c>
    </row>
    <row r="205" spans="1:7">
      <c r="A205">
        <v>204</v>
      </c>
      <c r="B205" t="str">
        <f>"010263"</f>
        <v>0</v>
      </c>
      <c r="C205" t="s">
        <v>6681</v>
      </c>
      <c r="D205" t="s">
        <v>18633</v>
      </c>
      <c r="E205" t="str">
        <f>"3810400263626"</f>
        <v>0</v>
      </c>
      <c r="F205" t="str">
        <f>"000320"</f>
        <v>0</v>
      </c>
      <c r="G205" t="s">
        <v>18359</v>
      </c>
    </row>
    <row r="206" spans="1:7">
      <c r="A206">
        <v>205</v>
      </c>
      <c r="B206" t="str">
        <f>"018805"</f>
        <v>0</v>
      </c>
      <c r="C206" t="s">
        <v>500</v>
      </c>
      <c r="D206" t="s">
        <v>18634</v>
      </c>
      <c r="E206" t="str">
        <f>"3939900201775"</f>
        <v>0</v>
      </c>
      <c r="F206" t="str">
        <f>"000320"</f>
        <v>0</v>
      </c>
      <c r="G206" t="s">
        <v>18359</v>
      </c>
    </row>
    <row r="207" spans="1:7">
      <c r="A207">
        <v>206</v>
      </c>
      <c r="B207" t="str">
        <f>"020265"</f>
        <v>0</v>
      </c>
      <c r="C207" t="s">
        <v>260</v>
      </c>
      <c r="D207" t="s">
        <v>1863</v>
      </c>
      <c r="E207" t="str">
        <f>"3810400410548"</f>
        <v>0</v>
      </c>
      <c r="F207" t="str">
        <f>"000320"</f>
        <v>0</v>
      </c>
      <c r="G207" t="s">
        <v>18359</v>
      </c>
    </row>
    <row r="208" spans="1:7">
      <c r="A208">
        <v>207</v>
      </c>
      <c r="B208" t="str">
        <f>"020511"</f>
        <v>0</v>
      </c>
      <c r="C208" t="s">
        <v>18635</v>
      </c>
      <c r="D208" t="s">
        <v>18636</v>
      </c>
      <c r="E208" t="str">
        <f>"3930501021759"</f>
        <v>0</v>
      </c>
      <c r="F208" t="str">
        <f>"000320"</f>
        <v>0</v>
      </c>
      <c r="G208" t="s">
        <v>18359</v>
      </c>
    </row>
    <row r="209" spans="1:7">
      <c r="A209">
        <v>208</v>
      </c>
      <c r="B209" t="str">
        <f>"020900"</f>
        <v>0</v>
      </c>
      <c r="C209" t="s">
        <v>365</v>
      </c>
      <c r="D209" t="s">
        <v>18637</v>
      </c>
      <c r="E209" t="str">
        <f>"3810100592225"</f>
        <v>0</v>
      </c>
      <c r="F209" t="str">
        <f>"000320"</f>
        <v>0</v>
      </c>
      <c r="G209" t="s">
        <v>18359</v>
      </c>
    </row>
    <row r="210" spans="1:7">
      <c r="A210">
        <v>209</v>
      </c>
      <c r="B210" t="str">
        <f>"021108"</f>
        <v>0</v>
      </c>
      <c r="C210" t="s">
        <v>18638</v>
      </c>
      <c r="D210" t="s">
        <v>18639</v>
      </c>
      <c r="E210" t="str">
        <f>"3819900162827"</f>
        <v>0</v>
      </c>
      <c r="F210" t="str">
        <f>"000320"</f>
        <v>0</v>
      </c>
      <c r="G210" t="s">
        <v>18359</v>
      </c>
    </row>
    <row r="211" spans="1:7">
      <c r="A211">
        <v>210</v>
      </c>
      <c r="B211" t="str">
        <f>"022459"</f>
        <v>0</v>
      </c>
      <c r="C211" t="s">
        <v>18640</v>
      </c>
      <c r="D211" t="s">
        <v>18641</v>
      </c>
      <c r="E211" t="str">
        <f>"3810100636761"</f>
        <v>0</v>
      </c>
      <c r="F211" t="str">
        <f>"000320"</f>
        <v>0</v>
      </c>
      <c r="G211" t="s">
        <v>18359</v>
      </c>
    </row>
    <row r="212" spans="1:7">
      <c r="A212">
        <v>211</v>
      </c>
      <c r="B212" t="str">
        <f>"022645"</f>
        <v>0</v>
      </c>
      <c r="C212" t="s">
        <v>250</v>
      </c>
      <c r="D212" t="s">
        <v>18642</v>
      </c>
      <c r="E212" t="str">
        <f>"1809900071124"</f>
        <v>0</v>
      </c>
      <c r="F212" t="str">
        <f>"000320"</f>
        <v>0</v>
      </c>
      <c r="G212" t="s">
        <v>18359</v>
      </c>
    </row>
    <row r="213" spans="1:7">
      <c r="A213">
        <v>212</v>
      </c>
      <c r="B213" t="str">
        <f>"024741"</f>
        <v>0</v>
      </c>
      <c r="C213" t="s">
        <v>8750</v>
      </c>
      <c r="D213" t="s">
        <v>1842</v>
      </c>
      <c r="E213" t="str">
        <f>"3810100019991"</f>
        <v>0</v>
      </c>
      <c r="F213" t="str">
        <f>"000320"</f>
        <v>0</v>
      </c>
      <c r="G213" t="s">
        <v>18359</v>
      </c>
    </row>
    <row r="214" spans="1:7">
      <c r="A214">
        <v>213</v>
      </c>
      <c r="B214" t="str">
        <f>"025760"</f>
        <v>0</v>
      </c>
      <c r="C214" t="s">
        <v>18643</v>
      </c>
      <c r="D214" t="s">
        <v>18644</v>
      </c>
      <c r="E214" t="str">
        <f>"1810100085408"</f>
        <v>0</v>
      </c>
      <c r="F214" t="str">
        <f>"000320"</f>
        <v>0</v>
      </c>
      <c r="G214" t="s">
        <v>18359</v>
      </c>
    </row>
    <row r="215" spans="1:7">
      <c r="A215">
        <v>214</v>
      </c>
      <c r="B215" t="str">
        <f>"026075"</f>
        <v>0</v>
      </c>
      <c r="C215" t="s">
        <v>1458</v>
      </c>
      <c r="D215" t="s">
        <v>18645</v>
      </c>
      <c r="E215" t="str">
        <f>"3810600096715"</f>
        <v>0</v>
      </c>
      <c r="F215" t="str">
        <f>"000320"</f>
        <v>0</v>
      </c>
      <c r="G215" t="s">
        <v>18359</v>
      </c>
    </row>
    <row r="216" spans="1:7">
      <c r="A216">
        <v>215</v>
      </c>
      <c r="B216" t="str">
        <f>"026462"</f>
        <v>0</v>
      </c>
      <c r="C216" t="s">
        <v>18646</v>
      </c>
      <c r="D216" t="s">
        <v>18647</v>
      </c>
      <c r="E216" t="str">
        <f>"1959900185617"</f>
        <v>0</v>
      </c>
      <c r="F216" t="str">
        <f>"000320"</f>
        <v>0</v>
      </c>
      <c r="G216" t="s">
        <v>18359</v>
      </c>
    </row>
    <row r="217" spans="1:7">
      <c r="A217">
        <v>216</v>
      </c>
      <c r="B217" t="str">
        <f>"027028"</f>
        <v>0</v>
      </c>
      <c r="C217" t="s">
        <v>18648</v>
      </c>
      <c r="D217" t="s">
        <v>18649</v>
      </c>
      <c r="E217" t="str">
        <f>"1929900016734"</f>
        <v>0</v>
      </c>
      <c r="F217" t="str">
        <f>"000320"</f>
        <v>0</v>
      </c>
      <c r="G217" t="s">
        <v>18359</v>
      </c>
    </row>
    <row r="218" spans="1:7">
      <c r="A218">
        <v>217</v>
      </c>
      <c r="B218" t="str">
        <f>"027325"</f>
        <v>0</v>
      </c>
      <c r="C218" t="s">
        <v>18650</v>
      </c>
      <c r="D218" t="s">
        <v>18651</v>
      </c>
      <c r="E218" t="str">
        <f>"1809900088612"</f>
        <v>0</v>
      </c>
      <c r="F218" t="str">
        <f>"000320"</f>
        <v>0</v>
      </c>
      <c r="G218" t="s">
        <v>18359</v>
      </c>
    </row>
    <row r="219" spans="1:7">
      <c r="A219">
        <v>218</v>
      </c>
      <c r="B219" t="str">
        <f>"025570"</f>
        <v>0</v>
      </c>
      <c r="C219" t="s">
        <v>7511</v>
      </c>
      <c r="D219" t="s">
        <v>18652</v>
      </c>
      <c r="E219" t="str">
        <f>"1841800043563"</f>
        <v>0</v>
      </c>
      <c r="F219" t="str">
        <f>"000320"</f>
        <v>0</v>
      </c>
      <c r="G219" t="s">
        <v>18359</v>
      </c>
    </row>
    <row r="220" spans="1:7">
      <c r="A220">
        <v>219</v>
      </c>
      <c r="B220" t="str">
        <f>"025831"</f>
        <v>0</v>
      </c>
      <c r="C220" t="s">
        <v>18653</v>
      </c>
      <c r="D220" t="s">
        <v>18654</v>
      </c>
      <c r="E220" t="str">
        <f>"1800490002987"</f>
        <v>0</v>
      </c>
      <c r="F220" t="str">
        <f>"000320"</f>
        <v>0</v>
      </c>
      <c r="G220" t="s">
        <v>18359</v>
      </c>
    </row>
    <row r="221" spans="1:7">
      <c r="A221">
        <v>220</v>
      </c>
      <c r="B221" t="str">
        <f>"012248"</f>
        <v>0</v>
      </c>
      <c r="C221" t="s">
        <v>3906</v>
      </c>
      <c r="D221" t="s">
        <v>18655</v>
      </c>
      <c r="E221" t="str">
        <f>"3900900321586"</f>
        <v>0</v>
      </c>
      <c r="F221" t="str">
        <f>"000320"</f>
        <v>0</v>
      </c>
      <c r="G221" t="s">
        <v>18359</v>
      </c>
    </row>
    <row r="222" spans="1:7">
      <c r="A222">
        <v>221</v>
      </c>
      <c r="B222" t="str">
        <f>"023958"</f>
        <v>0</v>
      </c>
      <c r="C222" t="s">
        <v>11271</v>
      </c>
      <c r="D222" t="s">
        <v>18656</v>
      </c>
      <c r="E222" t="str">
        <f>"1809900308035"</f>
        <v>0</v>
      </c>
      <c r="F222" t="str">
        <f>"000320"</f>
        <v>0</v>
      </c>
      <c r="G222" t="s">
        <v>18359</v>
      </c>
    </row>
    <row r="223" spans="1:7">
      <c r="A223">
        <v>222</v>
      </c>
      <c r="B223" t="str">
        <f>"025572"</f>
        <v>0</v>
      </c>
      <c r="C223" t="s">
        <v>12934</v>
      </c>
      <c r="D223" t="s">
        <v>18657</v>
      </c>
      <c r="E223" t="str">
        <f>"1959800041273"</f>
        <v>0</v>
      </c>
      <c r="F223" t="str">
        <f>"000320"</f>
        <v>0</v>
      </c>
      <c r="G223" t="s">
        <v>18359</v>
      </c>
    </row>
    <row r="224" spans="1:7">
      <c r="A224">
        <v>223</v>
      </c>
      <c r="B224" t="str">
        <f>"010004"</f>
        <v>0</v>
      </c>
      <c r="C224" t="s">
        <v>411</v>
      </c>
      <c r="D224" t="s">
        <v>18658</v>
      </c>
      <c r="E224" t="str">
        <f>"3710500713284"</f>
        <v>0</v>
      </c>
      <c r="F224" t="str">
        <f>"000340"</f>
        <v>0</v>
      </c>
      <c r="G224" t="s">
        <v>18359</v>
      </c>
    </row>
    <row r="225" spans="1:7">
      <c r="A225">
        <v>224</v>
      </c>
      <c r="B225" t="str">
        <f>"009742"</f>
        <v>0</v>
      </c>
      <c r="C225" t="s">
        <v>18659</v>
      </c>
      <c r="D225" t="s">
        <v>18660</v>
      </c>
      <c r="E225" t="str">
        <f>"3309901054160"</f>
        <v>0</v>
      </c>
      <c r="F225" t="str">
        <f>"000340"</f>
        <v>0</v>
      </c>
      <c r="G225" t="s">
        <v>18359</v>
      </c>
    </row>
    <row r="226" spans="1:7">
      <c r="A226">
        <v>225</v>
      </c>
      <c r="B226" t="str">
        <f>"010350"</f>
        <v>0</v>
      </c>
      <c r="C226" t="s">
        <v>3841</v>
      </c>
      <c r="D226" t="s">
        <v>4704</v>
      </c>
      <c r="E226" t="str">
        <f>"3710600278105"</f>
        <v>0</v>
      </c>
      <c r="F226" t="str">
        <f>"000340"</f>
        <v>0</v>
      </c>
      <c r="G226" t="s">
        <v>18359</v>
      </c>
    </row>
    <row r="227" spans="1:7">
      <c r="A227">
        <v>226</v>
      </c>
      <c r="B227" t="str">
        <f>"021130"</f>
        <v>0</v>
      </c>
      <c r="C227" t="s">
        <v>1335</v>
      </c>
      <c r="D227" t="s">
        <v>18661</v>
      </c>
      <c r="E227" t="str">
        <f>"1160100079528"</f>
        <v>0</v>
      </c>
      <c r="F227" t="str">
        <f>"000340"</f>
        <v>0</v>
      </c>
      <c r="G227" t="s">
        <v>18359</v>
      </c>
    </row>
    <row r="228" spans="1:7">
      <c r="A228">
        <v>227</v>
      </c>
      <c r="B228" t="str">
        <f>"021807"</f>
        <v>0</v>
      </c>
      <c r="C228" t="s">
        <v>14878</v>
      </c>
      <c r="D228" t="s">
        <v>3964</v>
      </c>
      <c r="E228" t="str">
        <f>"3710300174011"</f>
        <v>0</v>
      </c>
      <c r="F228" t="str">
        <f>"000340"</f>
        <v>0</v>
      </c>
      <c r="G228" t="s">
        <v>18359</v>
      </c>
    </row>
    <row r="229" spans="1:7">
      <c r="A229">
        <v>228</v>
      </c>
      <c r="B229" t="str">
        <f>"022318"</f>
        <v>0</v>
      </c>
      <c r="C229" t="s">
        <v>18662</v>
      </c>
      <c r="D229" t="s">
        <v>18663</v>
      </c>
      <c r="E229" t="str">
        <f>"4710600001845"</f>
        <v>0</v>
      </c>
      <c r="F229" t="str">
        <f>"000340"</f>
        <v>0</v>
      </c>
      <c r="G229" t="s">
        <v>18359</v>
      </c>
    </row>
    <row r="230" spans="1:7">
      <c r="A230">
        <v>229</v>
      </c>
      <c r="B230" t="str">
        <f>"022989"</f>
        <v>0</v>
      </c>
      <c r="C230" t="s">
        <v>7342</v>
      </c>
      <c r="D230" t="s">
        <v>18664</v>
      </c>
      <c r="E230" t="str">
        <f>"1719900056916"</f>
        <v>0</v>
      </c>
      <c r="F230" t="str">
        <f>"000340"</f>
        <v>0</v>
      </c>
      <c r="G230" t="s">
        <v>18359</v>
      </c>
    </row>
    <row r="231" spans="1:7">
      <c r="A231">
        <v>230</v>
      </c>
      <c r="B231" t="str">
        <f>"024609"</f>
        <v>0</v>
      </c>
      <c r="C231" t="s">
        <v>18665</v>
      </c>
      <c r="D231" t="s">
        <v>18666</v>
      </c>
      <c r="E231" t="str">
        <f>"1719900119993"</f>
        <v>0</v>
      </c>
      <c r="F231" t="str">
        <f>"000340"</f>
        <v>0</v>
      </c>
      <c r="G231" t="s">
        <v>18359</v>
      </c>
    </row>
    <row r="232" spans="1:7">
      <c r="A232">
        <v>231</v>
      </c>
      <c r="B232" t="str">
        <f>"024939"</f>
        <v>0</v>
      </c>
      <c r="C232" t="s">
        <v>18667</v>
      </c>
      <c r="D232" t="s">
        <v>18668</v>
      </c>
      <c r="E232" t="str">
        <f>"1710600016287"</f>
        <v>0</v>
      </c>
      <c r="F232" t="str">
        <f>"000340"</f>
        <v>0</v>
      </c>
      <c r="G232" t="s">
        <v>18359</v>
      </c>
    </row>
    <row r="233" spans="1:7">
      <c r="A233">
        <v>232</v>
      </c>
      <c r="B233" t="str">
        <f>"025117"</f>
        <v>0</v>
      </c>
      <c r="C233" t="s">
        <v>18669</v>
      </c>
      <c r="D233" t="s">
        <v>18670</v>
      </c>
      <c r="E233" t="str">
        <f>"1710600026690"</f>
        <v>0</v>
      </c>
      <c r="F233" t="str">
        <f>"000340"</f>
        <v>0</v>
      </c>
      <c r="G233" t="s">
        <v>18359</v>
      </c>
    </row>
    <row r="234" spans="1:7">
      <c r="A234">
        <v>233</v>
      </c>
      <c r="B234" t="str">
        <f>"025397"</f>
        <v>0</v>
      </c>
      <c r="C234" t="s">
        <v>8239</v>
      </c>
      <c r="D234" t="s">
        <v>18671</v>
      </c>
      <c r="E234" t="str">
        <f>"1719900035111"</f>
        <v>0</v>
      </c>
      <c r="F234" t="str">
        <f>"000340"</f>
        <v>0</v>
      </c>
      <c r="G234" t="s">
        <v>18359</v>
      </c>
    </row>
    <row r="235" spans="1:7">
      <c r="A235">
        <v>234</v>
      </c>
      <c r="B235" t="str">
        <f>"025546"</f>
        <v>0</v>
      </c>
      <c r="C235" t="s">
        <v>18672</v>
      </c>
      <c r="D235" t="s">
        <v>18673</v>
      </c>
      <c r="E235" t="str">
        <f>"1719900239409"</f>
        <v>0</v>
      </c>
      <c r="F235" t="str">
        <f>"000340"</f>
        <v>0</v>
      </c>
      <c r="G235" t="s">
        <v>18359</v>
      </c>
    </row>
    <row r="236" spans="1:7">
      <c r="A236">
        <v>235</v>
      </c>
      <c r="B236" t="str">
        <f>"025573"</f>
        <v>0</v>
      </c>
      <c r="C236" t="s">
        <v>4026</v>
      </c>
      <c r="D236" t="s">
        <v>18674</v>
      </c>
      <c r="E236" t="str">
        <f>"1710500150470"</f>
        <v>0</v>
      </c>
      <c r="F236" t="str">
        <f>"000340"</f>
        <v>0</v>
      </c>
      <c r="G236" t="s">
        <v>18359</v>
      </c>
    </row>
    <row r="237" spans="1:7">
      <c r="A237">
        <v>236</v>
      </c>
      <c r="B237" t="str">
        <f>"025903"</f>
        <v>0</v>
      </c>
      <c r="C237" t="s">
        <v>18675</v>
      </c>
      <c r="D237" t="s">
        <v>18676</v>
      </c>
      <c r="E237" t="str">
        <f>"1710900024871"</f>
        <v>0</v>
      </c>
      <c r="F237" t="str">
        <f>"000340"</f>
        <v>0</v>
      </c>
      <c r="G237" t="s">
        <v>18359</v>
      </c>
    </row>
    <row r="238" spans="1:7">
      <c r="A238">
        <v>237</v>
      </c>
      <c r="B238" t="str">
        <f>"026288"</f>
        <v>0</v>
      </c>
      <c r="C238" t="s">
        <v>18677</v>
      </c>
      <c r="D238" t="s">
        <v>18678</v>
      </c>
      <c r="E238" t="str">
        <f>"1719900288698"</f>
        <v>0</v>
      </c>
      <c r="F238" t="str">
        <f>"000340"</f>
        <v>0</v>
      </c>
      <c r="G238" t="s">
        <v>18359</v>
      </c>
    </row>
    <row r="239" spans="1:7">
      <c r="A239">
        <v>238</v>
      </c>
      <c r="B239" t="str">
        <f>"026877"</f>
        <v>0</v>
      </c>
      <c r="C239" t="s">
        <v>18679</v>
      </c>
      <c r="D239" t="s">
        <v>18680</v>
      </c>
      <c r="E239" t="str">
        <f>"1710900102421"</f>
        <v>0</v>
      </c>
      <c r="F239" t="str">
        <f>"000340"</f>
        <v>0</v>
      </c>
      <c r="G239" t="s">
        <v>18359</v>
      </c>
    </row>
    <row r="240" spans="1:7">
      <c r="A240">
        <v>239</v>
      </c>
      <c r="B240" t="str">
        <f>"027496"</f>
        <v>0</v>
      </c>
      <c r="C240" t="s">
        <v>9415</v>
      </c>
      <c r="D240" t="s">
        <v>18681</v>
      </c>
      <c r="E240" t="str">
        <f>"1409901323864"</f>
        <v>0</v>
      </c>
      <c r="F240" t="str">
        <f>"000340"</f>
        <v>0</v>
      </c>
      <c r="G240" t="s">
        <v>18359</v>
      </c>
    </row>
    <row r="241" spans="1:7">
      <c r="A241">
        <v>240</v>
      </c>
      <c r="B241" t="str">
        <f>"020880"</f>
        <v>0</v>
      </c>
      <c r="C241" t="s">
        <v>18682</v>
      </c>
      <c r="D241" t="s">
        <v>18683</v>
      </c>
      <c r="E241" t="str">
        <f>"3720100738492"</f>
        <v>0</v>
      </c>
      <c r="F241" t="str">
        <f>"000340"</f>
        <v>0</v>
      </c>
      <c r="G241" t="s">
        <v>18359</v>
      </c>
    </row>
    <row r="242" spans="1:7">
      <c r="A242">
        <v>241</v>
      </c>
      <c r="B242" t="str">
        <f>"023810"</f>
        <v>0</v>
      </c>
      <c r="C242" t="s">
        <v>8309</v>
      </c>
      <c r="D242" t="s">
        <v>18684</v>
      </c>
      <c r="E242" t="str">
        <f>"5720900010058"</f>
        <v>0</v>
      </c>
      <c r="F242" t="str">
        <f>"000340"</f>
        <v>0</v>
      </c>
      <c r="G242" t="s">
        <v>18359</v>
      </c>
    </row>
    <row r="243" spans="1:7">
      <c r="A243">
        <v>242</v>
      </c>
      <c r="B243" t="str">
        <f>"023300"</f>
        <v>0</v>
      </c>
      <c r="C243" t="s">
        <v>3467</v>
      </c>
      <c r="D243" t="s">
        <v>18685</v>
      </c>
      <c r="E243" t="str">
        <f>"1730200010478"</f>
        <v>0</v>
      </c>
      <c r="F243" t="str">
        <f>"000340"</f>
        <v>0</v>
      </c>
      <c r="G243" t="s">
        <v>18359</v>
      </c>
    </row>
    <row r="244" spans="1:7">
      <c r="A244">
        <v>243</v>
      </c>
      <c r="B244" t="str">
        <f>"024319"</f>
        <v>0</v>
      </c>
      <c r="C244" t="s">
        <v>18686</v>
      </c>
      <c r="D244" t="s">
        <v>18687</v>
      </c>
      <c r="E244" t="str">
        <f>"1709900317973"</f>
        <v>0</v>
      </c>
      <c r="F244" t="str">
        <f>"000340"</f>
        <v>0</v>
      </c>
      <c r="G244" t="s">
        <v>18359</v>
      </c>
    </row>
    <row r="245" spans="1:7">
      <c r="A245">
        <v>244</v>
      </c>
      <c r="B245" t="str">
        <f>"021199"</f>
        <v>0</v>
      </c>
      <c r="C245" t="s">
        <v>18688</v>
      </c>
      <c r="D245" t="s">
        <v>18689</v>
      </c>
      <c r="E245" t="str">
        <f>"3710100389323"</f>
        <v>0</v>
      </c>
      <c r="F245" t="str">
        <f>"000340"</f>
        <v>0</v>
      </c>
      <c r="G245" t="s">
        <v>18359</v>
      </c>
    </row>
    <row r="246" spans="1:7">
      <c r="A246">
        <v>245</v>
      </c>
      <c r="B246" t="str">
        <f>"002827"</f>
        <v>0</v>
      </c>
      <c r="C246" t="s">
        <v>2758</v>
      </c>
      <c r="D246" t="s">
        <v>11663</v>
      </c>
      <c r="E246" t="str">
        <f>"3461300278197"</f>
        <v>0</v>
      </c>
      <c r="F246" t="str">
        <f>"000380"</f>
        <v>0</v>
      </c>
      <c r="G246" t="s">
        <v>18359</v>
      </c>
    </row>
    <row r="247" spans="1:7">
      <c r="A247">
        <v>246</v>
      </c>
      <c r="B247" t="str">
        <f>"003055"</f>
        <v>0</v>
      </c>
      <c r="C247" t="s">
        <v>18690</v>
      </c>
      <c r="D247" t="s">
        <v>18691</v>
      </c>
      <c r="E247" t="str">
        <f>"3461400031215"</f>
        <v>0</v>
      </c>
      <c r="F247" t="str">
        <f>"000380"</f>
        <v>0</v>
      </c>
      <c r="G247" t="s">
        <v>18359</v>
      </c>
    </row>
    <row r="248" spans="1:7">
      <c r="A248">
        <v>247</v>
      </c>
      <c r="B248" t="str">
        <f>"004451"</f>
        <v>0</v>
      </c>
      <c r="C248" t="s">
        <v>112</v>
      </c>
      <c r="D248" t="s">
        <v>2242</v>
      </c>
      <c r="E248" t="str">
        <f>"5450900057081"</f>
        <v>0</v>
      </c>
      <c r="F248" t="str">
        <f>"000380"</f>
        <v>0</v>
      </c>
      <c r="G248" t="s">
        <v>18359</v>
      </c>
    </row>
    <row r="249" spans="1:7">
      <c r="A249">
        <v>248</v>
      </c>
      <c r="B249" t="str">
        <f>"004604"</f>
        <v>0</v>
      </c>
      <c r="C249" t="s">
        <v>98</v>
      </c>
      <c r="D249" t="s">
        <v>2246</v>
      </c>
      <c r="E249" t="str">
        <f>"3461000253733"</f>
        <v>0</v>
      </c>
      <c r="F249" t="str">
        <f>"000380"</f>
        <v>0</v>
      </c>
      <c r="G249" t="s">
        <v>18359</v>
      </c>
    </row>
    <row r="250" spans="1:7">
      <c r="A250">
        <v>249</v>
      </c>
      <c r="B250" t="str">
        <f>"005303"</f>
        <v>0</v>
      </c>
      <c r="C250" t="s">
        <v>18692</v>
      </c>
      <c r="D250" t="s">
        <v>18693</v>
      </c>
      <c r="E250" t="str">
        <f>"3460600035132"</f>
        <v>0</v>
      </c>
      <c r="F250" t="str">
        <f>"000380"</f>
        <v>0</v>
      </c>
      <c r="G250" t="s">
        <v>18359</v>
      </c>
    </row>
    <row r="251" spans="1:7">
      <c r="A251">
        <v>250</v>
      </c>
      <c r="B251" t="str">
        <f>"005306"</f>
        <v>0</v>
      </c>
      <c r="C251" t="s">
        <v>1355</v>
      </c>
      <c r="D251" t="s">
        <v>18694</v>
      </c>
      <c r="E251" t="str">
        <f>"3460900008467"</f>
        <v>0</v>
      </c>
      <c r="F251" t="str">
        <f>"000380"</f>
        <v>0</v>
      </c>
      <c r="G251" t="s">
        <v>18359</v>
      </c>
    </row>
    <row r="252" spans="1:7">
      <c r="A252">
        <v>251</v>
      </c>
      <c r="B252" t="str">
        <f>"006089"</f>
        <v>0</v>
      </c>
      <c r="C252" t="s">
        <v>18695</v>
      </c>
      <c r="D252" t="s">
        <v>18696</v>
      </c>
      <c r="E252" t="str">
        <f>"3460900088185"</f>
        <v>0</v>
      </c>
      <c r="F252" t="str">
        <f>"000380"</f>
        <v>0</v>
      </c>
      <c r="G252" t="s">
        <v>18359</v>
      </c>
    </row>
    <row r="253" spans="1:7">
      <c r="A253">
        <v>252</v>
      </c>
      <c r="B253" t="str">
        <f>"006465"</f>
        <v>0</v>
      </c>
      <c r="C253" t="s">
        <v>14053</v>
      </c>
      <c r="D253" t="s">
        <v>18697</v>
      </c>
      <c r="E253" t="str">
        <f>"3460100286110"</f>
        <v>0</v>
      </c>
      <c r="F253" t="str">
        <f>"000380"</f>
        <v>0</v>
      </c>
      <c r="G253" t="s">
        <v>18359</v>
      </c>
    </row>
    <row r="254" spans="1:7">
      <c r="A254">
        <v>253</v>
      </c>
      <c r="B254" t="str">
        <f>"006466"</f>
        <v>0</v>
      </c>
      <c r="C254" t="s">
        <v>18698</v>
      </c>
      <c r="D254" t="s">
        <v>18699</v>
      </c>
      <c r="E254" t="str">
        <f>"3469900250941"</f>
        <v>0</v>
      </c>
      <c r="F254" t="str">
        <f>"000380"</f>
        <v>0</v>
      </c>
      <c r="G254" t="s">
        <v>18359</v>
      </c>
    </row>
    <row r="255" spans="1:7">
      <c r="A255">
        <v>254</v>
      </c>
      <c r="B255" t="str">
        <f>"006969"</f>
        <v>0</v>
      </c>
      <c r="C255" t="s">
        <v>4039</v>
      </c>
      <c r="D255" t="s">
        <v>2810</v>
      </c>
      <c r="E255" t="str">
        <f>"3460500328421"</f>
        <v>0</v>
      </c>
      <c r="F255" t="str">
        <f>"000380"</f>
        <v>0</v>
      </c>
      <c r="G255" t="s">
        <v>18359</v>
      </c>
    </row>
    <row r="256" spans="1:7">
      <c r="A256">
        <v>255</v>
      </c>
      <c r="B256" t="str">
        <f>"011631"</f>
        <v>0</v>
      </c>
      <c r="C256" t="s">
        <v>16083</v>
      </c>
      <c r="D256" t="s">
        <v>18700</v>
      </c>
      <c r="E256" t="str">
        <f>"3469900244771"</f>
        <v>0</v>
      </c>
      <c r="F256" t="str">
        <f>"000380"</f>
        <v>0</v>
      </c>
      <c r="G256" t="s">
        <v>18359</v>
      </c>
    </row>
    <row r="257" spans="1:7">
      <c r="A257">
        <v>256</v>
      </c>
      <c r="B257" t="str">
        <f>"013263"</f>
        <v>0</v>
      </c>
      <c r="C257" t="s">
        <v>18701</v>
      </c>
      <c r="D257" t="s">
        <v>18702</v>
      </c>
      <c r="E257" t="str">
        <f>"3450101084278"</f>
        <v>0</v>
      </c>
      <c r="F257" t="str">
        <f>"000380"</f>
        <v>0</v>
      </c>
      <c r="G257" t="s">
        <v>18359</v>
      </c>
    </row>
    <row r="258" spans="1:7">
      <c r="A258">
        <v>257</v>
      </c>
      <c r="B258" t="str">
        <f>"013721"</f>
        <v>0</v>
      </c>
      <c r="C258" t="s">
        <v>197</v>
      </c>
      <c r="D258" t="s">
        <v>2316</v>
      </c>
      <c r="E258" t="str">
        <f>"3410300021888"</f>
        <v>0</v>
      </c>
      <c r="F258" t="str">
        <f>"000380"</f>
        <v>0</v>
      </c>
      <c r="G258" t="s">
        <v>18359</v>
      </c>
    </row>
    <row r="259" spans="1:7">
      <c r="A259">
        <v>258</v>
      </c>
      <c r="B259" t="str">
        <f>"014374"</f>
        <v>0</v>
      </c>
      <c r="C259" t="s">
        <v>3060</v>
      </c>
      <c r="D259" t="s">
        <v>2344</v>
      </c>
      <c r="E259" t="str">
        <f>"3460900036304"</f>
        <v>0</v>
      </c>
      <c r="F259" t="str">
        <f>"000380"</f>
        <v>0</v>
      </c>
      <c r="G259" t="s">
        <v>18359</v>
      </c>
    </row>
    <row r="260" spans="1:7">
      <c r="A260">
        <v>259</v>
      </c>
      <c r="B260" t="str">
        <f>"019635"</f>
        <v>0</v>
      </c>
      <c r="C260" t="s">
        <v>4269</v>
      </c>
      <c r="D260" t="s">
        <v>18703</v>
      </c>
      <c r="E260" t="str">
        <f>"3469900078722"</f>
        <v>0</v>
      </c>
      <c r="F260" t="str">
        <f>"000380"</f>
        <v>0</v>
      </c>
      <c r="G260" t="s">
        <v>18359</v>
      </c>
    </row>
    <row r="261" spans="1:7">
      <c r="A261">
        <v>260</v>
      </c>
      <c r="B261" t="str">
        <f>"022164"</f>
        <v>0</v>
      </c>
      <c r="C261" t="s">
        <v>18704</v>
      </c>
      <c r="D261" t="s">
        <v>18705</v>
      </c>
      <c r="E261" t="str">
        <f>"5300400006063"</f>
        <v>0</v>
      </c>
      <c r="F261" t="str">
        <f>"000380"</f>
        <v>0</v>
      </c>
      <c r="G261" t="s">
        <v>18359</v>
      </c>
    </row>
    <row r="262" spans="1:7">
      <c r="A262">
        <v>261</v>
      </c>
      <c r="B262" t="str">
        <f>"024011"</f>
        <v>0</v>
      </c>
      <c r="C262" t="s">
        <v>12038</v>
      </c>
      <c r="D262" t="s">
        <v>18706</v>
      </c>
      <c r="E262" t="str">
        <f>"1460100008075"</f>
        <v>0</v>
      </c>
      <c r="F262" t="str">
        <f>"000380"</f>
        <v>0</v>
      </c>
      <c r="G262" t="s">
        <v>18359</v>
      </c>
    </row>
    <row r="263" spans="1:7">
      <c r="A263">
        <v>262</v>
      </c>
      <c r="B263" t="str">
        <f>"021822"</f>
        <v>0</v>
      </c>
      <c r="C263" t="s">
        <v>8057</v>
      </c>
      <c r="D263" t="s">
        <v>18707</v>
      </c>
      <c r="E263" t="str">
        <f>"3100202176499"</f>
        <v>0</v>
      </c>
      <c r="F263" t="str">
        <f>"000380"</f>
        <v>0</v>
      </c>
      <c r="G263" t="s">
        <v>18359</v>
      </c>
    </row>
    <row r="264" spans="1:7">
      <c r="A264">
        <v>263</v>
      </c>
      <c r="B264" t="str">
        <f>"025771"</f>
        <v>0</v>
      </c>
      <c r="C264" t="s">
        <v>18708</v>
      </c>
      <c r="D264" t="s">
        <v>18709</v>
      </c>
      <c r="E264" t="str">
        <f>"3341501155352"</f>
        <v>0</v>
      </c>
      <c r="F264" t="str">
        <f>"000380"</f>
        <v>0</v>
      </c>
      <c r="G264" t="s">
        <v>18359</v>
      </c>
    </row>
    <row r="265" spans="1:7">
      <c r="A265">
        <v>264</v>
      </c>
      <c r="B265" t="str">
        <f>"023811"</f>
        <v>0</v>
      </c>
      <c r="C265" t="s">
        <v>2301</v>
      </c>
      <c r="D265" t="s">
        <v>18710</v>
      </c>
      <c r="E265" t="str">
        <f>"5400700051799"</f>
        <v>0</v>
      </c>
      <c r="F265" t="str">
        <f>"000380"</f>
        <v>0</v>
      </c>
      <c r="G265" t="s">
        <v>18359</v>
      </c>
    </row>
    <row r="266" spans="1:7">
      <c r="A266">
        <v>265</v>
      </c>
      <c r="B266" t="str">
        <f>"023180"</f>
        <v>0</v>
      </c>
      <c r="C266" t="s">
        <v>18711</v>
      </c>
      <c r="D266" t="s">
        <v>18712</v>
      </c>
      <c r="E266" t="str">
        <f>"3410400443393"</f>
        <v>0</v>
      </c>
      <c r="F266" t="str">
        <f>"000380"</f>
        <v>0</v>
      </c>
      <c r="G266" t="s">
        <v>18359</v>
      </c>
    </row>
    <row r="267" spans="1:7">
      <c r="A267">
        <v>266</v>
      </c>
      <c r="B267" t="str">
        <f>"025655"</f>
        <v>0</v>
      </c>
      <c r="C267" t="s">
        <v>18713</v>
      </c>
      <c r="D267" t="s">
        <v>18714</v>
      </c>
      <c r="E267" t="str">
        <f>"1440900051889"</f>
        <v>0</v>
      </c>
      <c r="F267" t="str">
        <f>"000380"</f>
        <v>0</v>
      </c>
      <c r="G267" t="s">
        <v>18359</v>
      </c>
    </row>
    <row r="268" spans="1:7">
      <c r="A268">
        <v>267</v>
      </c>
      <c r="B268" t="str">
        <f>"025835"</f>
        <v>0</v>
      </c>
      <c r="C268" t="s">
        <v>18715</v>
      </c>
      <c r="D268" t="s">
        <v>18716</v>
      </c>
      <c r="E268" t="str">
        <f>"5401700021866"</f>
        <v>0</v>
      </c>
      <c r="F268" t="str">
        <f>"000380"</f>
        <v>0</v>
      </c>
      <c r="G268" t="s">
        <v>18359</v>
      </c>
    </row>
    <row r="269" spans="1:7">
      <c r="A269">
        <v>268</v>
      </c>
      <c r="B269" t="str">
        <f>"026673"</f>
        <v>0</v>
      </c>
      <c r="C269" t="s">
        <v>3992</v>
      </c>
      <c r="D269" t="s">
        <v>18717</v>
      </c>
      <c r="E269" t="str">
        <f>"1440800016101"</f>
        <v>0</v>
      </c>
      <c r="F269" t="str">
        <f>"000380"</f>
        <v>0</v>
      </c>
      <c r="G269" t="s">
        <v>18359</v>
      </c>
    </row>
    <row r="270" spans="1:7">
      <c r="A270">
        <v>269</v>
      </c>
      <c r="B270" t="str">
        <f>"027083"</f>
        <v>0</v>
      </c>
      <c r="C270" t="s">
        <v>4746</v>
      </c>
      <c r="D270" t="s">
        <v>18718</v>
      </c>
      <c r="E270" t="str">
        <f>"1440900175057"</f>
        <v>0</v>
      </c>
      <c r="F270" t="str">
        <f>"000380"</f>
        <v>0</v>
      </c>
      <c r="G270" t="s">
        <v>18359</v>
      </c>
    </row>
    <row r="271" spans="1:7">
      <c r="A271">
        <v>270</v>
      </c>
      <c r="B271" t="str">
        <f>"027319"</f>
        <v>0</v>
      </c>
      <c r="C271" t="s">
        <v>18719</v>
      </c>
      <c r="D271" t="s">
        <v>18720</v>
      </c>
      <c r="E271" t="str">
        <f>"1449900090513"</f>
        <v>0</v>
      </c>
      <c r="F271" t="str">
        <f>"000380"</f>
        <v>0</v>
      </c>
      <c r="G271" t="s">
        <v>18359</v>
      </c>
    </row>
    <row r="272" spans="1:7">
      <c r="A272">
        <v>271</v>
      </c>
      <c r="B272" t="str">
        <f>"018391"</f>
        <v>0</v>
      </c>
      <c r="C272" t="s">
        <v>18721</v>
      </c>
      <c r="D272" t="s">
        <v>18722</v>
      </c>
      <c r="E272" t="str">
        <f>"3450101393637"</f>
        <v>0</v>
      </c>
      <c r="F272" t="str">
        <f>"000380"</f>
        <v>0</v>
      </c>
      <c r="G272" t="s">
        <v>18359</v>
      </c>
    </row>
    <row r="273" spans="1:7">
      <c r="A273">
        <v>272</v>
      </c>
      <c r="B273" t="str">
        <f>"027080"</f>
        <v>0</v>
      </c>
      <c r="C273" t="s">
        <v>18723</v>
      </c>
      <c r="D273" t="s">
        <v>18724</v>
      </c>
      <c r="E273" t="str">
        <f>"1449900085633"</f>
        <v>0</v>
      </c>
      <c r="F273" t="str">
        <f>"000380"</f>
        <v>0</v>
      </c>
      <c r="G273" t="s">
        <v>18359</v>
      </c>
    </row>
    <row r="274" spans="1:7">
      <c r="A274">
        <v>273</v>
      </c>
      <c r="B274" t="str">
        <f>"027497"</f>
        <v>0</v>
      </c>
      <c r="C274" t="s">
        <v>2476</v>
      </c>
      <c r="D274" t="s">
        <v>18725</v>
      </c>
      <c r="E274" t="str">
        <f>"1409900103364"</f>
        <v>0</v>
      </c>
      <c r="F274" t="str">
        <f>"000380"</f>
        <v>0</v>
      </c>
      <c r="G274" t="s">
        <v>18359</v>
      </c>
    </row>
    <row r="275" spans="1:7">
      <c r="A275">
        <v>274</v>
      </c>
      <c r="B275" t="str">
        <f>"007731"</f>
        <v>0</v>
      </c>
      <c r="C275" t="s">
        <v>18726</v>
      </c>
      <c r="D275" t="s">
        <v>18727</v>
      </c>
      <c r="E275" t="str">
        <f>"3300700446194"</f>
        <v>0</v>
      </c>
      <c r="F275" t="str">
        <f>"000380"</f>
        <v>0</v>
      </c>
      <c r="G275" t="s">
        <v>18359</v>
      </c>
    </row>
    <row r="276" spans="1:7">
      <c r="A276">
        <v>275</v>
      </c>
      <c r="B276" t="str">
        <f>"011343"</f>
        <v>0</v>
      </c>
      <c r="C276" t="s">
        <v>18728</v>
      </c>
      <c r="D276" t="s">
        <v>15084</v>
      </c>
      <c r="E276" t="str">
        <f>"3469900164068"</f>
        <v>0</v>
      </c>
      <c r="F276" t="str">
        <f>"000380"</f>
        <v>0</v>
      </c>
      <c r="G276" t="s">
        <v>18359</v>
      </c>
    </row>
    <row r="277" spans="1:7">
      <c r="A277">
        <v>276</v>
      </c>
      <c r="B277" t="str">
        <f>"012451"</f>
        <v>0</v>
      </c>
      <c r="C277" t="s">
        <v>13259</v>
      </c>
      <c r="D277" t="s">
        <v>9982</v>
      </c>
      <c r="E277" t="str">
        <f>"3461300160846"</f>
        <v>0</v>
      </c>
      <c r="F277" t="str">
        <f>"000380"</f>
        <v>0</v>
      </c>
      <c r="G277" t="s">
        <v>18359</v>
      </c>
    </row>
    <row r="278" spans="1:7">
      <c r="A278">
        <v>277</v>
      </c>
      <c r="B278" t="str">
        <f>"013223"</f>
        <v>0</v>
      </c>
      <c r="C278" t="s">
        <v>18729</v>
      </c>
      <c r="D278" t="s">
        <v>18730</v>
      </c>
      <c r="E278" t="str">
        <f>"5460600004101"</f>
        <v>0</v>
      </c>
      <c r="F278" t="str">
        <f>"000380"</f>
        <v>0</v>
      </c>
      <c r="G278" t="s">
        <v>18359</v>
      </c>
    </row>
    <row r="279" spans="1:7">
      <c r="A279">
        <v>278</v>
      </c>
      <c r="B279" t="str">
        <f>"014959"</f>
        <v>0</v>
      </c>
      <c r="C279" t="s">
        <v>18731</v>
      </c>
      <c r="D279" t="s">
        <v>18732</v>
      </c>
      <c r="E279" t="str">
        <f>"3460300062151"</f>
        <v>0</v>
      </c>
      <c r="F279" t="str">
        <f>"000380"</f>
        <v>0</v>
      </c>
      <c r="G279" t="s">
        <v>18359</v>
      </c>
    </row>
    <row r="280" spans="1:7">
      <c r="A280">
        <v>279</v>
      </c>
      <c r="B280" t="str">
        <f>"015636"</f>
        <v>0</v>
      </c>
      <c r="C280" t="s">
        <v>15887</v>
      </c>
      <c r="D280" t="s">
        <v>18733</v>
      </c>
      <c r="E280" t="str">
        <f>"3470600289771"</f>
        <v>0</v>
      </c>
      <c r="F280" t="str">
        <f>"000380"</f>
        <v>0</v>
      </c>
      <c r="G280" t="s">
        <v>18359</v>
      </c>
    </row>
    <row r="281" spans="1:7">
      <c r="A281">
        <v>280</v>
      </c>
      <c r="B281" t="str">
        <f>"015938"</f>
        <v>0</v>
      </c>
      <c r="C281" t="s">
        <v>17940</v>
      </c>
      <c r="D281" t="s">
        <v>18734</v>
      </c>
      <c r="E281" t="str">
        <f>"3460100286128"</f>
        <v>0</v>
      </c>
      <c r="F281" t="str">
        <f>"000380"</f>
        <v>0</v>
      </c>
      <c r="G281" t="s">
        <v>18359</v>
      </c>
    </row>
    <row r="282" spans="1:7">
      <c r="A282">
        <v>281</v>
      </c>
      <c r="B282" t="str">
        <f>"015940"</f>
        <v>0</v>
      </c>
      <c r="C282" t="s">
        <v>3799</v>
      </c>
      <c r="D282" t="s">
        <v>18735</v>
      </c>
      <c r="E282" t="str">
        <f>"3460200056329"</f>
        <v>0</v>
      </c>
      <c r="F282" t="str">
        <f>"000380"</f>
        <v>0</v>
      </c>
      <c r="G282" t="s">
        <v>18359</v>
      </c>
    </row>
    <row r="283" spans="1:7">
      <c r="A283">
        <v>282</v>
      </c>
      <c r="B283" t="str">
        <f>"016040"</f>
        <v>0</v>
      </c>
      <c r="C283" t="s">
        <v>326</v>
      </c>
      <c r="D283" t="s">
        <v>18736</v>
      </c>
      <c r="E283" t="str">
        <f>"5461400002025"</f>
        <v>0</v>
      </c>
      <c r="F283" t="str">
        <f>"000380"</f>
        <v>0</v>
      </c>
      <c r="G283" t="s">
        <v>18359</v>
      </c>
    </row>
    <row r="284" spans="1:7">
      <c r="A284">
        <v>283</v>
      </c>
      <c r="B284" t="str">
        <f>"016133"</f>
        <v>0</v>
      </c>
      <c r="C284" t="s">
        <v>156</v>
      </c>
      <c r="D284" t="s">
        <v>18737</v>
      </c>
      <c r="E284" t="str">
        <f>"3469900191243"</f>
        <v>0</v>
      </c>
      <c r="F284" t="str">
        <f>"000380"</f>
        <v>0</v>
      </c>
      <c r="G284" t="s">
        <v>18359</v>
      </c>
    </row>
    <row r="285" spans="1:7">
      <c r="A285">
        <v>284</v>
      </c>
      <c r="B285" t="str">
        <f>"016272"</f>
        <v>0</v>
      </c>
      <c r="C285" t="s">
        <v>8172</v>
      </c>
      <c r="D285" t="s">
        <v>18738</v>
      </c>
      <c r="E285" t="str">
        <f>"3460600621449"</f>
        <v>0</v>
      </c>
      <c r="F285" t="str">
        <f>"000380"</f>
        <v>0</v>
      </c>
      <c r="G285" t="s">
        <v>18359</v>
      </c>
    </row>
    <row r="286" spans="1:7">
      <c r="A286">
        <v>285</v>
      </c>
      <c r="B286" t="str">
        <f>"016349"</f>
        <v>0</v>
      </c>
      <c r="C286" t="s">
        <v>18739</v>
      </c>
      <c r="D286" t="s">
        <v>2444</v>
      </c>
      <c r="E286" t="str">
        <f>"3320200030002"</f>
        <v>0</v>
      </c>
      <c r="F286" t="str">
        <f>"000380"</f>
        <v>0</v>
      </c>
      <c r="G286" t="s">
        <v>18359</v>
      </c>
    </row>
    <row r="287" spans="1:7">
      <c r="A287">
        <v>286</v>
      </c>
      <c r="B287" t="str">
        <f>"016498"</f>
        <v>0</v>
      </c>
      <c r="C287" t="s">
        <v>466</v>
      </c>
      <c r="D287" t="s">
        <v>18740</v>
      </c>
      <c r="E287" t="str">
        <f>"3469900046774"</f>
        <v>0</v>
      </c>
      <c r="F287" t="str">
        <f>"000380"</f>
        <v>0</v>
      </c>
      <c r="G287" t="s">
        <v>18359</v>
      </c>
    </row>
    <row r="288" spans="1:7">
      <c r="A288">
        <v>287</v>
      </c>
      <c r="B288" t="str">
        <f>"016605"</f>
        <v>0</v>
      </c>
      <c r="C288" t="s">
        <v>800</v>
      </c>
      <c r="D288" t="s">
        <v>18741</v>
      </c>
      <c r="E288" t="str">
        <f>"3460700210416"</f>
        <v>0</v>
      </c>
      <c r="F288" t="str">
        <f>"000380"</f>
        <v>0</v>
      </c>
      <c r="G288" t="s">
        <v>18359</v>
      </c>
    </row>
    <row r="289" spans="1:7">
      <c r="A289">
        <v>288</v>
      </c>
      <c r="B289" t="str">
        <f>"016628"</f>
        <v>0</v>
      </c>
      <c r="C289" t="s">
        <v>3534</v>
      </c>
      <c r="D289" t="s">
        <v>18742</v>
      </c>
      <c r="E289" t="str">
        <f>"3460700207938"</f>
        <v>0</v>
      </c>
      <c r="F289" t="str">
        <f>"000380"</f>
        <v>0</v>
      </c>
      <c r="G289" t="s">
        <v>18359</v>
      </c>
    </row>
    <row r="290" spans="1:7">
      <c r="A290">
        <v>289</v>
      </c>
      <c r="B290" t="str">
        <f>"016777"</f>
        <v>0</v>
      </c>
      <c r="C290" t="s">
        <v>18743</v>
      </c>
      <c r="D290" t="s">
        <v>18744</v>
      </c>
      <c r="E290" t="str">
        <f>"3450101275529"</f>
        <v>0</v>
      </c>
      <c r="F290" t="str">
        <f>"000380"</f>
        <v>0</v>
      </c>
      <c r="G290" t="s">
        <v>18359</v>
      </c>
    </row>
    <row r="291" spans="1:7">
      <c r="A291">
        <v>290</v>
      </c>
      <c r="B291" t="str">
        <f>"016954"</f>
        <v>0</v>
      </c>
      <c r="C291" t="s">
        <v>653</v>
      </c>
      <c r="D291" t="s">
        <v>18745</v>
      </c>
      <c r="E291" t="str">
        <f>"3460700012681"</f>
        <v>0</v>
      </c>
      <c r="F291" t="str">
        <f>"000380"</f>
        <v>0</v>
      </c>
      <c r="G291" t="s">
        <v>18359</v>
      </c>
    </row>
    <row r="292" spans="1:7">
      <c r="A292">
        <v>291</v>
      </c>
      <c r="B292" t="str">
        <f>"017784"</f>
        <v>0</v>
      </c>
      <c r="C292" t="s">
        <v>18746</v>
      </c>
      <c r="D292" t="s">
        <v>18747</v>
      </c>
      <c r="E292" t="str">
        <f>"3460500960853"</f>
        <v>0</v>
      </c>
      <c r="F292" t="str">
        <f>"000380"</f>
        <v>0</v>
      </c>
      <c r="G292" t="s">
        <v>18359</v>
      </c>
    </row>
    <row r="293" spans="1:7">
      <c r="A293">
        <v>292</v>
      </c>
      <c r="B293" t="str">
        <f>"018314"</f>
        <v>0</v>
      </c>
      <c r="C293" t="s">
        <v>18748</v>
      </c>
      <c r="D293" t="s">
        <v>18749</v>
      </c>
      <c r="E293" t="str">
        <f>"3451300042631"</f>
        <v>0</v>
      </c>
      <c r="F293" t="str">
        <f>"000380"</f>
        <v>0</v>
      </c>
      <c r="G293" t="s">
        <v>18359</v>
      </c>
    </row>
    <row r="294" spans="1:7">
      <c r="A294">
        <v>293</v>
      </c>
      <c r="B294" t="str">
        <f>"018789"</f>
        <v>0</v>
      </c>
      <c r="C294" t="s">
        <v>18750</v>
      </c>
      <c r="D294" t="s">
        <v>18751</v>
      </c>
      <c r="E294" t="str">
        <f>"3460500056227"</f>
        <v>0</v>
      </c>
      <c r="F294" t="str">
        <f>"000380"</f>
        <v>0</v>
      </c>
      <c r="G294" t="s">
        <v>18359</v>
      </c>
    </row>
    <row r="295" spans="1:7">
      <c r="A295">
        <v>294</v>
      </c>
      <c r="B295" t="str">
        <f>"019060"</f>
        <v>0</v>
      </c>
      <c r="C295" t="s">
        <v>488</v>
      </c>
      <c r="D295" t="s">
        <v>18737</v>
      </c>
      <c r="E295" t="str">
        <f>"3250200388536"</f>
        <v>0</v>
      </c>
      <c r="F295" t="str">
        <f>"000380"</f>
        <v>0</v>
      </c>
      <c r="G295" t="s">
        <v>18359</v>
      </c>
    </row>
    <row r="296" spans="1:7">
      <c r="A296">
        <v>295</v>
      </c>
      <c r="B296" t="str">
        <f>"019459"</f>
        <v>0</v>
      </c>
      <c r="C296" t="s">
        <v>1628</v>
      </c>
      <c r="D296" t="s">
        <v>18752</v>
      </c>
      <c r="E296" t="str">
        <f>"3470900224127"</f>
        <v>0</v>
      </c>
      <c r="F296" t="str">
        <f>"000380"</f>
        <v>0</v>
      </c>
      <c r="G296" t="s">
        <v>18359</v>
      </c>
    </row>
    <row r="297" spans="1:7">
      <c r="A297">
        <v>296</v>
      </c>
      <c r="B297" t="str">
        <f>"019501"</f>
        <v>0</v>
      </c>
      <c r="C297" t="s">
        <v>4018</v>
      </c>
      <c r="D297" t="s">
        <v>18753</v>
      </c>
      <c r="E297" t="str">
        <f>"3461100084933"</f>
        <v>0</v>
      </c>
      <c r="F297" t="str">
        <f>"000380"</f>
        <v>0</v>
      </c>
      <c r="G297" t="s">
        <v>18359</v>
      </c>
    </row>
    <row r="298" spans="1:7">
      <c r="A298">
        <v>297</v>
      </c>
      <c r="B298" t="str">
        <f>"020845"</f>
        <v>0</v>
      </c>
      <c r="C298" t="s">
        <v>674</v>
      </c>
      <c r="D298" t="s">
        <v>18754</v>
      </c>
      <c r="E298" t="str">
        <f>"3461000467385"</f>
        <v>0</v>
      </c>
      <c r="F298" t="str">
        <f>"000380"</f>
        <v>0</v>
      </c>
      <c r="G298" t="s">
        <v>18359</v>
      </c>
    </row>
    <row r="299" spans="1:7">
      <c r="A299">
        <v>298</v>
      </c>
      <c r="B299" t="str">
        <f>"021135"</f>
        <v>0</v>
      </c>
      <c r="C299" t="s">
        <v>4783</v>
      </c>
      <c r="D299" t="s">
        <v>15236</v>
      </c>
      <c r="E299" t="str">
        <f>"3460700260308"</f>
        <v>0</v>
      </c>
      <c r="F299" t="str">
        <f>"000380"</f>
        <v>0</v>
      </c>
      <c r="G299" t="s">
        <v>18359</v>
      </c>
    </row>
    <row r="300" spans="1:7">
      <c r="A300">
        <v>299</v>
      </c>
      <c r="B300" t="str">
        <f>"021453"</f>
        <v>0</v>
      </c>
      <c r="C300" t="s">
        <v>76</v>
      </c>
      <c r="D300" t="s">
        <v>18755</v>
      </c>
      <c r="E300" t="str">
        <f>"3460100993487"</f>
        <v>0</v>
      </c>
      <c r="F300" t="str">
        <f>"000380"</f>
        <v>0</v>
      </c>
      <c r="G300" t="s">
        <v>18359</v>
      </c>
    </row>
    <row r="301" spans="1:7">
      <c r="A301">
        <v>300</v>
      </c>
      <c r="B301" t="str">
        <f>"021525"</f>
        <v>0</v>
      </c>
      <c r="C301" t="s">
        <v>15111</v>
      </c>
      <c r="D301" t="s">
        <v>18756</v>
      </c>
      <c r="E301" t="str">
        <f>"3460600013996"</f>
        <v>0</v>
      </c>
      <c r="F301" t="str">
        <f>"000380"</f>
        <v>0</v>
      </c>
      <c r="G301" t="s">
        <v>18359</v>
      </c>
    </row>
    <row r="302" spans="1:7">
      <c r="A302">
        <v>301</v>
      </c>
      <c r="B302" t="str">
        <f>"021537"</f>
        <v>0</v>
      </c>
      <c r="C302" t="s">
        <v>18757</v>
      </c>
      <c r="D302" t="s">
        <v>18758</v>
      </c>
      <c r="E302" t="str">
        <f>"3460300631988"</f>
        <v>0</v>
      </c>
      <c r="F302" t="str">
        <f>"000380"</f>
        <v>0</v>
      </c>
      <c r="G302" t="s">
        <v>18359</v>
      </c>
    </row>
    <row r="303" spans="1:7">
      <c r="A303">
        <v>302</v>
      </c>
      <c r="B303" t="str">
        <f>"021796"</f>
        <v>0</v>
      </c>
      <c r="C303" t="s">
        <v>28</v>
      </c>
      <c r="D303" t="s">
        <v>18759</v>
      </c>
      <c r="E303" t="str">
        <f>"3460700528599"</f>
        <v>0</v>
      </c>
      <c r="F303" t="str">
        <f>"000380"</f>
        <v>0</v>
      </c>
      <c r="G303" t="s">
        <v>18359</v>
      </c>
    </row>
    <row r="304" spans="1:7">
      <c r="A304">
        <v>303</v>
      </c>
      <c r="B304" t="str">
        <f>"021987"</f>
        <v>0</v>
      </c>
      <c r="C304" t="s">
        <v>18760</v>
      </c>
      <c r="D304" t="s">
        <v>18761</v>
      </c>
      <c r="E304" t="str">
        <f>"5461000012929"</f>
        <v>0</v>
      </c>
      <c r="F304" t="str">
        <f>"000380"</f>
        <v>0</v>
      </c>
      <c r="G304" t="s">
        <v>18359</v>
      </c>
    </row>
    <row r="305" spans="1:7">
      <c r="A305">
        <v>304</v>
      </c>
      <c r="B305" t="str">
        <f>"022194"</f>
        <v>0</v>
      </c>
      <c r="C305" t="s">
        <v>9067</v>
      </c>
      <c r="D305" t="s">
        <v>18762</v>
      </c>
      <c r="E305" t="str">
        <f>"3460200149581"</f>
        <v>0</v>
      </c>
      <c r="F305" t="str">
        <f>"000380"</f>
        <v>0</v>
      </c>
      <c r="G305" t="s">
        <v>18359</v>
      </c>
    </row>
    <row r="306" spans="1:7">
      <c r="A306">
        <v>305</v>
      </c>
      <c r="B306" t="str">
        <f>"022273"</f>
        <v>0</v>
      </c>
      <c r="C306" t="s">
        <v>18763</v>
      </c>
      <c r="D306" t="s">
        <v>18764</v>
      </c>
      <c r="E306" t="str">
        <f>"3461000546781"</f>
        <v>0</v>
      </c>
      <c r="F306" t="str">
        <f>"000380"</f>
        <v>0</v>
      </c>
      <c r="G306" t="s">
        <v>18359</v>
      </c>
    </row>
    <row r="307" spans="1:7">
      <c r="A307">
        <v>306</v>
      </c>
      <c r="B307" t="str">
        <f>"022319"</f>
        <v>0</v>
      </c>
      <c r="C307" t="s">
        <v>8085</v>
      </c>
      <c r="D307" t="s">
        <v>18765</v>
      </c>
      <c r="E307" t="str">
        <f>"3309900771763"</f>
        <v>0</v>
      </c>
      <c r="F307" t="str">
        <f>"000380"</f>
        <v>0</v>
      </c>
      <c r="G307" t="s">
        <v>18359</v>
      </c>
    </row>
    <row r="308" spans="1:7">
      <c r="A308">
        <v>307</v>
      </c>
      <c r="B308" t="str">
        <f>"022408"</f>
        <v>0</v>
      </c>
      <c r="C308" t="s">
        <v>7853</v>
      </c>
      <c r="D308" t="s">
        <v>18766</v>
      </c>
      <c r="E308" t="str">
        <f>"3461200298901"</f>
        <v>0</v>
      </c>
      <c r="F308" t="str">
        <f>"000380"</f>
        <v>0</v>
      </c>
      <c r="G308" t="s">
        <v>18359</v>
      </c>
    </row>
    <row r="309" spans="1:7">
      <c r="A309">
        <v>308</v>
      </c>
      <c r="B309" t="str">
        <f>"023412"</f>
        <v>0</v>
      </c>
      <c r="C309" t="s">
        <v>18767</v>
      </c>
      <c r="D309" t="s">
        <v>18768</v>
      </c>
      <c r="E309" t="str">
        <f>"3469900363800"</f>
        <v>0</v>
      </c>
      <c r="F309" t="str">
        <f>"000380"</f>
        <v>0</v>
      </c>
      <c r="G309" t="s">
        <v>18359</v>
      </c>
    </row>
    <row r="310" spans="1:7">
      <c r="A310">
        <v>309</v>
      </c>
      <c r="B310" t="str">
        <f>"023480"</f>
        <v>0</v>
      </c>
      <c r="C310" t="s">
        <v>1534</v>
      </c>
      <c r="D310" t="s">
        <v>18769</v>
      </c>
      <c r="E310" t="str">
        <f>"3460700299433"</f>
        <v>0</v>
      </c>
      <c r="F310" t="str">
        <f>"000380"</f>
        <v>0</v>
      </c>
      <c r="G310" t="s">
        <v>18359</v>
      </c>
    </row>
    <row r="311" spans="1:7">
      <c r="A311">
        <v>310</v>
      </c>
      <c r="B311" t="str">
        <f>"023733"</f>
        <v>0</v>
      </c>
      <c r="C311" t="s">
        <v>5633</v>
      </c>
      <c r="D311" t="s">
        <v>18770</v>
      </c>
      <c r="E311" t="str">
        <f>"1460700012847"</f>
        <v>0</v>
      </c>
      <c r="F311" t="str">
        <f>"000380"</f>
        <v>0</v>
      </c>
      <c r="G311" t="s">
        <v>18359</v>
      </c>
    </row>
    <row r="312" spans="1:7">
      <c r="A312">
        <v>311</v>
      </c>
      <c r="B312" t="str">
        <f>"024726"</f>
        <v>0</v>
      </c>
      <c r="C312" t="s">
        <v>18771</v>
      </c>
      <c r="D312" t="s">
        <v>18772</v>
      </c>
      <c r="E312" t="str">
        <f>"3460200217420"</f>
        <v>0</v>
      </c>
      <c r="F312" t="str">
        <f>"000380"</f>
        <v>0</v>
      </c>
      <c r="G312" t="s">
        <v>18359</v>
      </c>
    </row>
    <row r="313" spans="1:7">
      <c r="A313">
        <v>312</v>
      </c>
      <c r="B313" t="str">
        <f>"025773"</f>
        <v>0</v>
      </c>
      <c r="C313" t="s">
        <v>18773</v>
      </c>
      <c r="D313" t="s">
        <v>2510</v>
      </c>
      <c r="E313" t="str">
        <f>"1461000017758"</f>
        <v>0</v>
      </c>
      <c r="F313" t="str">
        <f>"000380"</f>
        <v>0</v>
      </c>
      <c r="G313" t="s">
        <v>18359</v>
      </c>
    </row>
    <row r="314" spans="1:7">
      <c r="A314">
        <v>313</v>
      </c>
      <c r="B314" t="str">
        <f>"003543"</f>
        <v>0</v>
      </c>
      <c r="C314" t="s">
        <v>2239</v>
      </c>
      <c r="D314" t="s">
        <v>10179</v>
      </c>
      <c r="E314" t="str">
        <f>"3180500060570"</f>
        <v>0</v>
      </c>
      <c r="F314" t="str">
        <f>"000400"</f>
        <v>0</v>
      </c>
      <c r="G314" t="s">
        <v>18359</v>
      </c>
    </row>
    <row r="315" spans="1:7">
      <c r="A315">
        <v>314</v>
      </c>
      <c r="B315" t="str">
        <f>"005126"</f>
        <v>0</v>
      </c>
      <c r="C315" t="s">
        <v>6283</v>
      </c>
      <c r="D315" t="s">
        <v>18774</v>
      </c>
      <c r="E315" t="str">
        <f>"3629900010565"</f>
        <v>0</v>
      </c>
      <c r="F315" t="str">
        <f>"000400"</f>
        <v>0</v>
      </c>
      <c r="G315" t="s">
        <v>18359</v>
      </c>
    </row>
    <row r="316" spans="1:7">
      <c r="A316">
        <v>315</v>
      </c>
      <c r="B316" t="str">
        <f>"026088"</f>
        <v>0</v>
      </c>
      <c r="C316" t="s">
        <v>18775</v>
      </c>
      <c r="D316" t="s">
        <v>18776</v>
      </c>
      <c r="E316" t="str">
        <f>"1509901179754"</f>
        <v>0</v>
      </c>
      <c r="F316" t="str">
        <f>"000400"</f>
        <v>0</v>
      </c>
      <c r="G316" t="s">
        <v>18359</v>
      </c>
    </row>
    <row r="317" spans="1:7">
      <c r="A317">
        <v>316</v>
      </c>
      <c r="B317" t="str">
        <f>"026675"</f>
        <v>0</v>
      </c>
      <c r="C317" t="s">
        <v>18777</v>
      </c>
      <c r="D317" t="s">
        <v>18778</v>
      </c>
      <c r="E317" t="str">
        <f>"1509900247730"</f>
        <v>0</v>
      </c>
      <c r="F317" t="str">
        <f>"000400"</f>
        <v>0</v>
      </c>
      <c r="G317" t="s">
        <v>18359</v>
      </c>
    </row>
    <row r="318" spans="1:7">
      <c r="A318">
        <v>317</v>
      </c>
      <c r="B318" t="str">
        <f>"026883"</f>
        <v>0</v>
      </c>
      <c r="C318" t="s">
        <v>18779</v>
      </c>
      <c r="D318" t="s">
        <v>7833</v>
      </c>
      <c r="E318" t="str">
        <f>"1600100314603"</f>
        <v>0</v>
      </c>
      <c r="F318" t="str">
        <f>"000400"</f>
        <v>0</v>
      </c>
      <c r="G318" t="s">
        <v>18359</v>
      </c>
    </row>
    <row r="319" spans="1:7">
      <c r="A319">
        <v>318</v>
      </c>
      <c r="B319" t="str">
        <f>"008715"</f>
        <v>0</v>
      </c>
      <c r="C319" t="s">
        <v>460</v>
      </c>
      <c r="D319" t="s">
        <v>18780</v>
      </c>
      <c r="E319" t="str">
        <f>"3510400023709"</f>
        <v>0</v>
      </c>
      <c r="F319" t="str">
        <f>"000400"</f>
        <v>0</v>
      </c>
      <c r="G319" t="s">
        <v>18359</v>
      </c>
    </row>
    <row r="320" spans="1:7">
      <c r="A320">
        <v>319</v>
      </c>
      <c r="B320" t="str">
        <f>"008911"</f>
        <v>0</v>
      </c>
      <c r="C320" t="s">
        <v>16226</v>
      </c>
      <c r="D320" t="s">
        <v>2591</v>
      </c>
      <c r="E320" t="str">
        <f>"3600100908917"</f>
        <v>0</v>
      </c>
      <c r="F320" t="str">
        <f>"000400"</f>
        <v>0</v>
      </c>
      <c r="G320" t="s">
        <v>18359</v>
      </c>
    </row>
    <row r="321" spans="1:7">
      <c r="A321">
        <v>320</v>
      </c>
      <c r="B321" t="str">
        <f>"009663"</f>
        <v>0</v>
      </c>
      <c r="C321" t="s">
        <v>18781</v>
      </c>
      <c r="D321" t="s">
        <v>1850</v>
      </c>
      <c r="E321" t="str">
        <f>"3510200382721"</f>
        <v>0</v>
      </c>
      <c r="F321" t="str">
        <f>"000400"</f>
        <v>0</v>
      </c>
      <c r="G321" t="s">
        <v>18359</v>
      </c>
    </row>
    <row r="322" spans="1:7">
      <c r="A322">
        <v>321</v>
      </c>
      <c r="B322" t="str">
        <f>"009733"</f>
        <v>0</v>
      </c>
      <c r="C322" t="s">
        <v>2655</v>
      </c>
      <c r="D322" t="s">
        <v>18782</v>
      </c>
      <c r="E322" t="str">
        <f>"3410600685471"</f>
        <v>0</v>
      </c>
      <c r="F322" t="str">
        <f>"000400"</f>
        <v>0</v>
      </c>
      <c r="G322" t="s">
        <v>18359</v>
      </c>
    </row>
    <row r="323" spans="1:7">
      <c r="A323">
        <v>322</v>
      </c>
      <c r="B323" t="str">
        <f>"010071"</f>
        <v>0</v>
      </c>
      <c r="C323" t="s">
        <v>520</v>
      </c>
      <c r="D323" t="s">
        <v>16816</v>
      </c>
      <c r="E323" t="str">
        <f>"3490200104501"</f>
        <v>0</v>
      </c>
      <c r="F323" t="str">
        <f>"000400"</f>
        <v>0</v>
      </c>
      <c r="G323" t="s">
        <v>18359</v>
      </c>
    </row>
    <row r="324" spans="1:7">
      <c r="A324">
        <v>323</v>
      </c>
      <c r="B324" t="str">
        <f>"011634"</f>
        <v>0</v>
      </c>
      <c r="C324" t="s">
        <v>8482</v>
      </c>
      <c r="D324" t="s">
        <v>18783</v>
      </c>
      <c r="E324" t="str">
        <f>"3300600409050"</f>
        <v>0</v>
      </c>
      <c r="F324" t="str">
        <f>"000400"</f>
        <v>0</v>
      </c>
      <c r="G324" t="s">
        <v>18359</v>
      </c>
    </row>
    <row r="325" spans="1:7">
      <c r="A325">
        <v>324</v>
      </c>
      <c r="B325" t="str">
        <f>"012471"</f>
        <v>0</v>
      </c>
      <c r="C325" t="s">
        <v>92</v>
      </c>
      <c r="D325" t="s">
        <v>18784</v>
      </c>
      <c r="E325" t="str">
        <f>"3500700079939"</f>
        <v>0</v>
      </c>
      <c r="F325" t="str">
        <f>"000400"</f>
        <v>0</v>
      </c>
      <c r="G325" t="s">
        <v>18359</v>
      </c>
    </row>
    <row r="326" spans="1:7">
      <c r="A326">
        <v>325</v>
      </c>
      <c r="B326" t="str">
        <f>"014443"</f>
        <v>0</v>
      </c>
      <c r="C326" t="s">
        <v>8631</v>
      </c>
      <c r="D326" t="s">
        <v>18785</v>
      </c>
      <c r="E326" t="str">
        <f>"3560100072968"</f>
        <v>0</v>
      </c>
      <c r="F326" t="str">
        <f>"000400"</f>
        <v>0</v>
      </c>
      <c r="G326" t="s">
        <v>18359</v>
      </c>
    </row>
    <row r="327" spans="1:7">
      <c r="A327">
        <v>326</v>
      </c>
      <c r="B327" t="str">
        <f>"014669"</f>
        <v>0</v>
      </c>
      <c r="C327" t="s">
        <v>2262</v>
      </c>
      <c r="D327" t="s">
        <v>2654</v>
      </c>
      <c r="E327" t="str">
        <f>"5650190012230"</f>
        <v>0</v>
      </c>
      <c r="F327" t="str">
        <f>"000400"</f>
        <v>0</v>
      </c>
      <c r="G327" t="s">
        <v>18359</v>
      </c>
    </row>
    <row r="328" spans="1:7">
      <c r="A328">
        <v>327</v>
      </c>
      <c r="B328" t="str">
        <f>"015047"</f>
        <v>0</v>
      </c>
      <c r="C328" t="s">
        <v>8857</v>
      </c>
      <c r="D328" t="s">
        <v>18786</v>
      </c>
      <c r="E328" t="str">
        <f>"3500200719246"</f>
        <v>0</v>
      </c>
      <c r="F328" t="str">
        <f>"000400"</f>
        <v>0</v>
      </c>
      <c r="G328" t="s">
        <v>18359</v>
      </c>
    </row>
    <row r="329" spans="1:7">
      <c r="A329">
        <v>328</v>
      </c>
      <c r="B329" t="str">
        <f>"016460"</f>
        <v>0</v>
      </c>
      <c r="C329" t="s">
        <v>10549</v>
      </c>
      <c r="D329" t="s">
        <v>18787</v>
      </c>
      <c r="E329" t="str">
        <f>"3510600492109"</f>
        <v>0</v>
      </c>
      <c r="F329" t="str">
        <f>"000400"</f>
        <v>0</v>
      </c>
      <c r="G329" t="s">
        <v>18359</v>
      </c>
    </row>
    <row r="330" spans="1:7">
      <c r="A330">
        <v>329</v>
      </c>
      <c r="B330" t="str">
        <f>"016629"</f>
        <v>0</v>
      </c>
      <c r="C330" t="s">
        <v>18788</v>
      </c>
      <c r="D330" t="s">
        <v>18789</v>
      </c>
      <c r="E330" t="str">
        <f>"3430500087513"</f>
        <v>0</v>
      </c>
      <c r="F330" t="str">
        <f>"000400"</f>
        <v>0</v>
      </c>
      <c r="G330" t="s">
        <v>18359</v>
      </c>
    </row>
    <row r="331" spans="1:7">
      <c r="A331">
        <v>330</v>
      </c>
      <c r="B331" t="str">
        <f>"017624"</f>
        <v>0</v>
      </c>
      <c r="C331" t="s">
        <v>18790</v>
      </c>
      <c r="D331" t="s">
        <v>18791</v>
      </c>
      <c r="E331" t="str">
        <f>"3550600388182"</f>
        <v>0</v>
      </c>
      <c r="F331" t="str">
        <f>"000400"</f>
        <v>0</v>
      </c>
      <c r="G331" t="s">
        <v>18359</v>
      </c>
    </row>
    <row r="332" spans="1:7">
      <c r="A332">
        <v>331</v>
      </c>
      <c r="B332" t="str">
        <f>"018195"</f>
        <v>0</v>
      </c>
      <c r="C332" t="s">
        <v>239</v>
      </c>
      <c r="D332" t="s">
        <v>18792</v>
      </c>
      <c r="E332" t="str">
        <f>"3620500138515"</f>
        <v>0</v>
      </c>
      <c r="F332" t="str">
        <f>"000400"</f>
        <v>0</v>
      </c>
      <c r="G332" t="s">
        <v>18359</v>
      </c>
    </row>
    <row r="333" spans="1:7">
      <c r="A333">
        <v>332</v>
      </c>
      <c r="B333" t="str">
        <f>"018439"</f>
        <v>0</v>
      </c>
      <c r="C333" t="s">
        <v>18793</v>
      </c>
      <c r="D333" t="s">
        <v>18794</v>
      </c>
      <c r="E333" t="str">
        <f>"3640200082328"</f>
        <v>0</v>
      </c>
      <c r="F333" t="str">
        <f>"000400"</f>
        <v>0</v>
      </c>
      <c r="G333" t="s">
        <v>18359</v>
      </c>
    </row>
    <row r="334" spans="1:7">
      <c r="A334">
        <v>333</v>
      </c>
      <c r="B334" t="str">
        <f>"019031"</f>
        <v>0</v>
      </c>
      <c r="C334" t="s">
        <v>18795</v>
      </c>
      <c r="D334" t="s">
        <v>3641</v>
      </c>
      <c r="E334" t="str">
        <f>"3629900140523"</f>
        <v>0</v>
      </c>
      <c r="F334" t="str">
        <f>"000400"</f>
        <v>0</v>
      </c>
      <c r="G334" t="s">
        <v>18359</v>
      </c>
    </row>
    <row r="335" spans="1:7">
      <c r="A335">
        <v>334</v>
      </c>
      <c r="B335" t="str">
        <f>"019225"</f>
        <v>0</v>
      </c>
      <c r="C335" t="s">
        <v>18796</v>
      </c>
      <c r="D335" t="s">
        <v>18797</v>
      </c>
      <c r="E335" t="str">
        <f>"3620100666565"</f>
        <v>0</v>
      </c>
      <c r="F335" t="str">
        <f>"000400"</f>
        <v>0</v>
      </c>
      <c r="G335" t="s">
        <v>18359</v>
      </c>
    </row>
    <row r="336" spans="1:7">
      <c r="A336">
        <v>335</v>
      </c>
      <c r="B336" t="str">
        <f>"019511"</f>
        <v>0</v>
      </c>
      <c r="C336" t="s">
        <v>2762</v>
      </c>
      <c r="D336" t="s">
        <v>17300</v>
      </c>
      <c r="E336" t="str">
        <f>"3620100682951"</f>
        <v>0</v>
      </c>
      <c r="F336" t="str">
        <f>"000400"</f>
        <v>0</v>
      </c>
      <c r="G336" t="s">
        <v>18359</v>
      </c>
    </row>
    <row r="337" spans="1:7">
      <c r="A337">
        <v>336</v>
      </c>
      <c r="B337" t="str">
        <f>"020210"</f>
        <v>0</v>
      </c>
      <c r="C337" t="s">
        <v>11920</v>
      </c>
      <c r="D337" t="s">
        <v>18798</v>
      </c>
      <c r="E337" t="str">
        <f>"3620500077354"</f>
        <v>0</v>
      </c>
      <c r="F337" t="str">
        <f>"000400"</f>
        <v>0</v>
      </c>
      <c r="G337" t="s">
        <v>18359</v>
      </c>
    </row>
    <row r="338" spans="1:7">
      <c r="A338">
        <v>337</v>
      </c>
      <c r="B338" t="str">
        <f>"020561"</f>
        <v>0</v>
      </c>
      <c r="C338" t="s">
        <v>18799</v>
      </c>
      <c r="D338" t="s">
        <v>18800</v>
      </c>
      <c r="E338" t="str">
        <f>"3509900857992"</f>
        <v>0</v>
      </c>
      <c r="F338" t="str">
        <f>"000400"</f>
        <v>0</v>
      </c>
      <c r="G338" t="s">
        <v>18359</v>
      </c>
    </row>
    <row r="339" spans="1:7">
      <c r="A339">
        <v>338</v>
      </c>
      <c r="B339" t="str">
        <f>"020959"</f>
        <v>0</v>
      </c>
      <c r="C339" t="s">
        <v>18801</v>
      </c>
      <c r="D339" t="s">
        <v>18802</v>
      </c>
      <c r="E339" t="str">
        <f>"3620101605675"</f>
        <v>0</v>
      </c>
      <c r="F339" t="str">
        <f>"000400"</f>
        <v>0</v>
      </c>
      <c r="G339" t="s">
        <v>18359</v>
      </c>
    </row>
    <row r="340" spans="1:7">
      <c r="A340">
        <v>339</v>
      </c>
      <c r="B340" t="str">
        <f>"021456"</f>
        <v>0</v>
      </c>
      <c r="C340" t="s">
        <v>18803</v>
      </c>
      <c r="D340" t="s">
        <v>18804</v>
      </c>
      <c r="E340" t="str">
        <f>"3841600232377"</f>
        <v>0</v>
      </c>
      <c r="F340" t="str">
        <f>"000400"</f>
        <v>0</v>
      </c>
      <c r="G340" t="s">
        <v>18359</v>
      </c>
    </row>
    <row r="341" spans="1:7">
      <c r="A341">
        <v>340</v>
      </c>
      <c r="B341" t="str">
        <f>"000845"</f>
        <v>0</v>
      </c>
      <c r="C341" t="s">
        <v>2303</v>
      </c>
      <c r="D341" t="s">
        <v>18805</v>
      </c>
      <c r="E341" t="str">
        <f>"3409900029161"</f>
        <v>0</v>
      </c>
      <c r="F341" t="str">
        <f>"000430"</f>
        <v>0</v>
      </c>
      <c r="G341" t="s">
        <v>18359</v>
      </c>
    </row>
    <row r="342" spans="1:7">
      <c r="A342">
        <v>341</v>
      </c>
      <c r="B342" t="str">
        <f>"003117"</f>
        <v>0</v>
      </c>
      <c r="C342" t="s">
        <v>7515</v>
      </c>
      <c r="D342" t="s">
        <v>18806</v>
      </c>
      <c r="E342" t="str">
        <f>"3401600093001"</f>
        <v>0</v>
      </c>
      <c r="F342" t="str">
        <f>"000430"</f>
        <v>0</v>
      </c>
      <c r="G342" t="s">
        <v>18359</v>
      </c>
    </row>
    <row r="343" spans="1:7">
      <c r="A343">
        <v>342</v>
      </c>
      <c r="B343" t="str">
        <f>"003119"</f>
        <v>0</v>
      </c>
      <c r="C343" t="s">
        <v>2262</v>
      </c>
      <c r="D343" t="s">
        <v>5454</v>
      </c>
      <c r="E343" t="str">
        <f>"3401800026219"</f>
        <v>0</v>
      </c>
      <c r="F343" t="str">
        <f>"000430"</f>
        <v>0</v>
      </c>
      <c r="G343" t="s">
        <v>18359</v>
      </c>
    </row>
    <row r="344" spans="1:7">
      <c r="A344">
        <v>343</v>
      </c>
      <c r="B344" t="str">
        <f>"004245"</f>
        <v>0</v>
      </c>
      <c r="C344" t="s">
        <v>18807</v>
      </c>
      <c r="D344" t="s">
        <v>18808</v>
      </c>
      <c r="E344" t="str">
        <f>"3350200068573"</f>
        <v>0</v>
      </c>
      <c r="F344" t="str">
        <f>"000430"</f>
        <v>0</v>
      </c>
      <c r="G344" t="s">
        <v>18359</v>
      </c>
    </row>
    <row r="345" spans="1:7">
      <c r="A345">
        <v>344</v>
      </c>
      <c r="B345" t="str">
        <f>"005062"</f>
        <v>0</v>
      </c>
      <c r="C345" t="s">
        <v>4062</v>
      </c>
      <c r="D345" t="s">
        <v>2757</v>
      </c>
      <c r="E345" t="str">
        <f>"3401800020822"</f>
        <v>0</v>
      </c>
      <c r="F345" t="str">
        <f>"000430"</f>
        <v>0</v>
      </c>
      <c r="G345" t="s">
        <v>18359</v>
      </c>
    </row>
    <row r="346" spans="1:7">
      <c r="A346">
        <v>345</v>
      </c>
      <c r="B346" t="str">
        <f>"005274"</f>
        <v>0</v>
      </c>
      <c r="C346" t="s">
        <v>590</v>
      </c>
      <c r="D346" t="s">
        <v>18809</v>
      </c>
      <c r="E346" t="str">
        <f>"3400100640665"</f>
        <v>0</v>
      </c>
      <c r="F346" t="str">
        <f>"000430"</f>
        <v>0</v>
      </c>
      <c r="G346" t="s">
        <v>18359</v>
      </c>
    </row>
    <row r="347" spans="1:7">
      <c r="A347">
        <v>346</v>
      </c>
      <c r="B347" t="str">
        <f>"007155"</f>
        <v>0</v>
      </c>
      <c r="C347" t="s">
        <v>6323</v>
      </c>
      <c r="D347" t="s">
        <v>3300</v>
      </c>
      <c r="E347" t="str">
        <f>"3401800087099"</f>
        <v>0</v>
      </c>
      <c r="F347" t="str">
        <f>"000430"</f>
        <v>0</v>
      </c>
      <c r="G347" t="s">
        <v>18359</v>
      </c>
    </row>
    <row r="348" spans="1:7">
      <c r="A348">
        <v>347</v>
      </c>
      <c r="B348" t="str">
        <f>"007825"</f>
        <v>0</v>
      </c>
      <c r="C348" t="s">
        <v>18810</v>
      </c>
      <c r="D348" t="s">
        <v>18811</v>
      </c>
      <c r="E348" t="str">
        <f>"3411100407325"</f>
        <v>0</v>
      </c>
      <c r="F348" t="str">
        <f>"000430"</f>
        <v>0</v>
      </c>
      <c r="G348" t="s">
        <v>18359</v>
      </c>
    </row>
    <row r="349" spans="1:7">
      <c r="A349">
        <v>348</v>
      </c>
      <c r="B349" t="str">
        <f>"009623"</f>
        <v>0</v>
      </c>
      <c r="C349" t="s">
        <v>5955</v>
      </c>
      <c r="D349" t="s">
        <v>18812</v>
      </c>
      <c r="E349" t="str">
        <f>"3409900674503"</f>
        <v>0</v>
      </c>
      <c r="F349" t="str">
        <f>"000430"</f>
        <v>0</v>
      </c>
      <c r="G349" t="s">
        <v>18359</v>
      </c>
    </row>
    <row r="350" spans="1:7">
      <c r="A350">
        <v>349</v>
      </c>
      <c r="B350" t="str">
        <f>"010115"</f>
        <v>0</v>
      </c>
      <c r="C350" t="s">
        <v>2303</v>
      </c>
      <c r="D350" t="s">
        <v>4735</v>
      </c>
      <c r="E350" t="str">
        <f>"3401900305501"</f>
        <v>0</v>
      </c>
      <c r="F350" t="str">
        <f>"000430"</f>
        <v>0</v>
      </c>
      <c r="G350" t="s">
        <v>18359</v>
      </c>
    </row>
    <row r="351" spans="1:7">
      <c r="A351">
        <v>350</v>
      </c>
      <c r="B351" t="str">
        <f>"014019"</f>
        <v>0</v>
      </c>
      <c r="C351" t="s">
        <v>189</v>
      </c>
      <c r="D351" t="s">
        <v>18813</v>
      </c>
      <c r="E351" t="str">
        <f>"3329900144378"</f>
        <v>0</v>
      </c>
      <c r="F351" t="str">
        <f>"000430"</f>
        <v>0</v>
      </c>
      <c r="G351" t="s">
        <v>18359</v>
      </c>
    </row>
    <row r="352" spans="1:7">
      <c r="A352">
        <v>351</v>
      </c>
      <c r="B352" t="str">
        <f>"021910"</f>
        <v>0</v>
      </c>
      <c r="C352" t="s">
        <v>6327</v>
      </c>
      <c r="D352" t="s">
        <v>1716</v>
      </c>
      <c r="E352" t="str">
        <f>"3250700026765"</f>
        <v>0</v>
      </c>
      <c r="F352" t="str">
        <f>"000430"</f>
        <v>0</v>
      </c>
      <c r="G352" t="s">
        <v>18359</v>
      </c>
    </row>
    <row r="353" spans="1:7">
      <c r="A353">
        <v>352</v>
      </c>
      <c r="B353" t="str">
        <f>"011170"</f>
        <v>0</v>
      </c>
      <c r="C353" t="s">
        <v>587</v>
      </c>
      <c r="D353" t="s">
        <v>18814</v>
      </c>
      <c r="E353" t="str">
        <f>"3401600702237"</f>
        <v>0</v>
      </c>
      <c r="F353" t="str">
        <f>"000430"</f>
        <v>0</v>
      </c>
      <c r="G353" t="s">
        <v>18359</v>
      </c>
    </row>
    <row r="354" spans="1:7">
      <c r="A354">
        <v>353</v>
      </c>
      <c r="B354" t="str">
        <f>"015637"</f>
        <v>0</v>
      </c>
      <c r="C354" t="s">
        <v>574</v>
      </c>
      <c r="D354" t="s">
        <v>16025</v>
      </c>
      <c r="E354" t="str">
        <f>"3510600329054"</f>
        <v>0</v>
      </c>
      <c r="F354" t="str">
        <f>"000430"</f>
        <v>0</v>
      </c>
      <c r="G354" t="s">
        <v>18359</v>
      </c>
    </row>
    <row r="355" spans="1:7">
      <c r="A355">
        <v>354</v>
      </c>
      <c r="B355" t="str">
        <f>"016154"</f>
        <v>0</v>
      </c>
      <c r="C355" t="s">
        <v>18815</v>
      </c>
      <c r="D355" t="s">
        <v>18816</v>
      </c>
      <c r="E355" t="str">
        <f>"3401400184950"</f>
        <v>0</v>
      </c>
      <c r="F355" t="str">
        <f>"000430"</f>
        <v>0</v>
      </c>
      <c r="G355" t="s">
        <v>18359</v>
      </c>
    </row>
    <row r="356" spans="1:7">
      <c r="A356">
        <v>355</v>
      </c>
      <c r="B356" t="str">
        <f>"016366"</f>
        <v>0</v>
      </c>
      <c r="C356" t="s">
        <v>18817</v>
      </c>
      <c r="D356" t="s">
        <v>18818</v>
      </c>
      <c r="E356" t="str">
        <f>"3361000521941"</f>
        <v>0</v>
      </c>
      <c r="F356" t="str">
        <f>"000430"</f>
        <v>0</v>
      </c>
      <c r="G356" t="s">
        <v>18359</v>
      </c>
    </row>
    <row r="357" spans="1:7">
      <c r="A357">
        <v>356</v>
      </c>
      <c r="B357" t="str">
        <f>"016722"</f>
        <v>0</v>
      </c>
      <c r="C357" t="s">
        <v>2345</v>
      </c>
      <c r="D357" t="s">
        <v>18819</v>
      </c>
      <c r="E357" t="str">
        <f>"3400100815163"</f>
        <v>0</v>
      </c>
      <c r="F357" t="str">
        <f>"000430"</f>
        <v>0</v>
      </c>
      <c r="G357" t="s">
        <v>18359</v>
      </c>
    </row>
    <row r="358" spans="1:7">
      <c r="A358">
        <v>357</v>
      </c>
      <c r="B358" t="str">
        <f>"016865"</f>
        <v>0</v>
      </c>
      <c r="C358" t="s">
        <v>3801</v>
      </c>
      <c r="D358" t="s">
        <v>18820</v>
      </c>
      <c r="E358" t="str">
        <f>"3401500421376"</f>
        <v>0</v>
      </c>
      <c r="F358" t="str">
        <f>"000430"</f>
        <v>0</v>
      </c>
      <c r="G358" t="s">
        <v>18359</v>
      </c>
    </row>
    <row r="359" spans="1:7">
      <c r="A359">
        <v>358</v>
      </c>
      <c r="B359" t="str">
        <f>"016868"</f>
        <v>0</v>
      </c>
      <c r="C359" t="s">
        <v>3815</v>
      </c>
      <c r="D359" t="s">
        <v>18821</v>
      </c>
      <c r="E359" t="str">
        <f>"3401600036105"</f>
        <v>0</v>
      </c>
      <c r="F359" t="str">
        <f>"000430"</f>
        <v>0</v>
      </c>
      <c r="G359" t="s">
        <v>18359</v>
      </c>
    </row>
    <row r="360" spans="1:7">
      <c r="A360">
        <v>359</v>
      </c>
      <c r="B360" t="str">
        <f>"016896"</f>
        <v>0</v>
      </c>
      <c r="C360" t="s">
        <v>2223</v>
      </c>
      <c r="D360" t="s">
        <v>6605</v>
      </c>
      <c r="E360" t="str">
        <f>"3401800382376"</f>
        <v>0</v>
      </c>
      <c r="F360" t="str">
        <f>"000430"</f>
        <v>0</v>
      </c>
      <c r="G360" t="s">
        <v>18359</v>
      </c>
    </row>
    <row r="361" spans="1:7">
      <c r="A361">
        <v>360</v>
      </c>
      <c r="B361" t="str">
        <f>"017116"</f>
        <v>0</v>
      </c>
      <c r="C361" t="s">
        <v>4868</v>
      </c>
      <c r="D361" t="s">
        <v>4304</v>
      </c>
      <c r="E361" t="str">
        <f>"3360101332434"</f>
        <v>0</v>
      </c>
      <c r="F361" t="str">
        <f>"000430"</f>
        <v>0</v>
      </c>
      <c r="G361" t="s">
        <v>18359</v>
      </c>
    </row>
    <row r="362" spans="1:7">
      <c r="A362">
        <v>361</v>
      </c>
      <c r="B362" t="str">
        <f>"019115"</f>
        <v>0</v>
      </c>
      <c r="C362" t="s">
        <v>86</v>
      </c>
      <c r="D362" t="s">
        <v>18822</v>
      </c>
      <c r="E362" t="str">
        <f>"3401000012299"</f>
        <v>0</v>
      </c>
      <c r="F362" t="str">
        <f>"000430"</f>
        <v>0</v>
      </c>
      <c r="G362" t="s">
        <v>18359</v>
      </c>
    </row>
    <row r="363" spans="1:7">
      <c r="A363">
        <v>362</v>
      </c>
      <c r="B363" t="str">
        <f>"019554"</f>
        <v>0</v>
      </c>
      <c r="C363" t="s">
        <v>18823</v>
      </c>
      <c r="D363" t="s">
        <v>18824</v>
      </c>
      <c r="E363" t="str">
        <f>"3400100015183"</f>
        <v>0</v>
      </c>
      <c r="F363" t="str">
        <f>"000430"</f>
        <v>0</v>
      </c>
      <c r="G363" t="s">
        <v>18359</v>
      </c>
    </row>
    <row r="364" spans="1:7">
      <c r="A364">
        <v>363</v>
      </c>
      <c r="B364" t="str">
        <f>"019556"</f>
        <v>0</v>
      </c>
      <c r="C364" t="s">
        <v>18825</v>
      </c>
      <c r="D364" t="s">
        <v>18826</v>
      </c>
      <c r="E364" t="str">
        <f>"3401400151385"</f>
        <v>0</v>
      </c>
      <c r="F364" t="str">
        <f>"000430"</f>
        <v>0</v>
      </c>
      <c r="G364" t="s">
        <v>18359</v>
      </c>
    </row>
    <row r="365" spans="1:7">
      <c r="A365">
        <v>364</v>
      </c>
      <c r="B365" t="str">
        <f>"020228"</f>
        <v>0</v>
      </c>
      <c r="C365" t="s">
        <v>9503</v>
      </c>
      <c r="D365" t="s">
        <v>18827</v>
      </c>
      <c r="E365" t="str">
        <f>"3460300119063"</f>
        <v>0</v>
      </c>
      <c r="F365" t="str">
        <f>"000430"</f>
        <v>0</v>
      </c>
      <c r="G365" t="s">
        <v>18359</v>
      </c>
    </row>
    <row r="366" spans="1:7">
      <c r="A366">
        <v>365</v>
      </c>
      <c r="B366" t="str">
        <f>"020242"</f>
        <v>0</v>
      </c>
      <c r="C366" t="s">
        <v>18828</v>
      </c>
      <c r="D366" t="s">
        <v>18829</v>
      </c>
      <c r="E366" t="str">
        <f>"3401800327448"</f>
        <v>0</v>
      </c>
      <c r="F366" t="str">
        <f>"000430"</f>
        <v>0</v>
      </c>
      <c r="G366" t="s">
        <v>18359</v>
      </c>
    </row>
    <row r="367" spans="1:7">
      <c r="A367">
        <v>366</v>
      </c>
      <c r="B367" t="str">
        <f>"020276"</f>
        <v>0</v>
      </c>
      <c r="C367" t="s">
        <v>18830</v>
      </c>
      <c r="D367" t="s">
        <v>18831</v>
      </c>
      <c r="E367" t="str">
        <f>"3400100461965"</f>
        <v>0</v>
      </c>
      <c r="F367" t="str">
        <f>"000430"</f>
        <v>0</v>
      </c>
      <c r="G367" t="s">
        <v>18359</v>
      </c>
    </row>
    <row r="368" spans="1:7">
      <c r="A368">
        <v>367</v>
      </c>
      <c r="B368" t="str">
        <f>"020571"</f>
        <v>0</v>
      </c>
      <c r="C368" t="s">
        <v>18832</v>
      </c>
      <c r="D368" t="s">
        <v>18833</v>
      </c>
      <c r="E368" t="str">
        <f>"3409900307365"</f>
        <v>0</v>
      </c>
      <c r="F368" t="str">
        <f>"000430"</f>
        <v>0</v>
      </c>
      <c r="G368" t="s">
        <v>18359</v>
      </c>
    </row>
    <row r="369" spans="1:7">
      <c r="A369">
        <v>368</v>
      </c>
      <c r="B369" t="str">
        <f>"021221"</f>
        <v>0</v>
      </c>
      <c r="C369" t="s">
        <v>18834</v>
      </c>
      <c r="D369" t="s">
        <v>18835</v>
      </c>
      <c r="E369" t="str">
        <f>"5401599017544"</f>
        <v>0</v>
      </c>
      <c r="F369" t="str">
        <f>"000430"</f>
        <v>0</v>
      </c>
      <c r="G369" t="s">
        <v>18359</v>
      </c>
    </row>
    <row r="370" spans="1:7">
      <c r="A370">
        <v>369</v>
      </c>
      <c r="B370" t="str">
        <f>"021375"</f>
        <v>0</v>
      </c>
      <c r="C370" t="s">
        <v>18836</v>
      </c>
      <c r="D370" t="s">
        <v>18837</v>
      </c>
      <c r="E370" t="str">
        <f>"3401000337490"</f>
        <v>0</v>
      </c>
      <c r="F370" t="str">
        <f>"000430"</f>
        <v>0</v>
      </c>
      <c r="G370" t="s">
        <v>18359</v>
      </c>
    </row>
    <row r="371" spans="1:7">
      <c r="A371">
        <v>370</v>
      </c>
      <c r="B371" t="str">
        <f>"022236"</f>
        <v>0</v>
      </c>
      <c r="C371" t="s">
        <v>18838</v>
      </c>
      <c r="D371" t="s">
        <v>15982</v>
      </c>
      <c r="E371" t="str">
        <f>"3240400641235"</f>
        <v>0</v>
      </c>
      <c r="F371" t="str">
        <f>"000430"</f>
        <v>0</v>
      </c>
      <c r="G371" t="s">
        <v>18359</v>
      </c>
    </row>
    <row r="372" spans="1:7">
      <c r="A372">
        <v>371</v>
      </c>
      <c r="B372" t="str">
        <f>"022525"</f>
        <v>0</v>
      </c>
      <c r="C372" t="s">
        <v>14976</v>
      </c>
      <c r="D372" t="s">
        <v>18839</v>
      </c>
      <c r="E372" t="str">
        <f>"3401200334516"</f>
        <v>0</v>
      </c>
      <c r="F372" t="str">
        <f>"000430"</f>
        <v>0</v>
      </c>
      <c r="G372" t="s">
        <v>18359</v>
      </c>
    </row>
    <row r="373" spans="1:7">
      <c r="A373">
        <v>372</v>
      </c>
      <c r="B373" t="str">
        <f>"022652"</f>
        <v>0</v>
      </c>
      <c r="C373" t="s">
        <v>18840</v>
      </c>
      <c r="D373" t="s">
        <v>18841</v>
      </c>
      <c r="E373" t="str">
        <f>"3400101038853"</f>
        <v>0</v>
      </c>
      <c r="F373" t="str">
        <f>"000430"</f>
        <v>0</v>
      </c>
      <c r="G373" t="s">
        <v>18359</v>
      </c>
    </row>
    <row r="374" spans="1:7">
      <c r="A374">
        <v>373</v>
      </c>
      <c r="B374" t="str">
        <f>"023368"</f>
        <v>0</v>
      </c>
      <c r="C374" t="s">
        <v>18842</v>
      </c>
      <c r="D374" t="s">
        <v>12280</v>
      </c>
      <c r="E374" t="str">
        <f>"3400100051881"</f>
        <v>0</v>
      </c>
      <c r="F374" t="str">
        <f>"000430"</f>
        <v>0</v>
      </c>
      <c r="G374" t="s">
        <v>18359</v>
      </c>
    </row>
    <row r="375" spans="1:7">
      <c r="A375">
        <v>374</v>
      </c>
      <c r="B375" t="str">
        <f>"023867"</f>
        <v>0</v>
      </c>
      <c r="C375" t="s">
        <v>18843</v>
      </c>
      <c r="D375" t="s">
        <v>18844</v>
      </c>
      <c r="E375" t="str">
        <f>"3409800029525"</f>
        <v>0</v>
      </c>
      <c r="F375" t="str">
        <f>"000430"</f>
        <v>0</v>
      </c>
      <c r="G375" t="s">
        <v>18359</v>
      </c>
    </row>
    <row r="376" spans="1:7">
      <c r="A376">
        <v>375</v>
      </c>
      <c r="B376" t="str">
        <f>"024407"</f>
        <v>0</v>
      </c>
      <c r="C376" t="s">
        <v>18845</v>
      </c>
      <c r="D376" t="s">
        <v>18846</v>
      </c>
      <c r="E376" t="str">
        <f>"3471000006469"</f>
        <v>0</v>
      </c>
      <c r="F376" t="str">
        <f>"000430"</f>
        <v>0</v>
      </c>
      <c r="G376" t="s">
        <v>18359</v>
      </c>
    </row>
    <row r="377" spans="1:7">
      <c r="A377">
        <v>376</v>
      </c>
      <c r="B377" t="str">
        <f>"024699"</f>
        <v>0</v>
      </c>
      <c r="C377" t="s">
        <v>14740</v>
      </c>
      <c r="D377" t="s">
        <v>16195</v>
      </c>
      <c r="E377" t="str">
        <f>"1401600028734"</f>
        <v>0</v>
      </c>
      <c r="F377" t="str">
        <f>"000430"</f>
        <v>0</v>
      </c>
      <c r="G377" t="s">
        <v>18359</v>
      </c>
    </row>
    <row r="378" spans="1:7">
      <c r="A378">
        <v>377</v>
      </c>
      <c r="B378" t="str">
        <f>"024734"</f>
        <v>0</v>
      </c>
      <c r="C378" t="s">
        <v>18847</v>
      </c>
      <c r="D378" t="s">
        <v>12280</v>
      </c>
      <c r="E378" t="str">
        <f>"3330101047748"</f>
        <v>0</v>
      </c>
      <c r="F378" t="str">
        <f>"000430"</f>
        <v>0</v>
      </c>
      <c r="G378" t="s">
        <v>18359</v>
      </c>
    </row>
    <row r="379" spans="1:7">
      <c r="A379">
        <v>378</v>
      </c>
      <c r="B379" t="str">
        <f>"024872"</f>
        <v>0</v>
      </c>
      <c r="C379" t="s">
        <v>18848</v>
      </c>
      <c r="D379" t="s">
        <v>18849</v>
      </c>
      <c r="E379" t="str">
        <f>"3400300105712"</f>
        <v>0</v>
      </c>
      <c r="F379" t="str">
        <f>"000430"</f>
        <v>0</v>
      </c>
      <c r="G379" t="s">
        <v>18359</v>
      </c>
    </row>
    <row r="380" spans="1:7">
      <c r="A380">
        <v>379</v>
      </c>
      <c r="B380" t="str">
        <f>"024924"</f>
        <v>0</v>
      </c>
      <c r="C380" t="s">
        <v>18850</v>
      </c>
      <c r="D380" t="s">
        <v>18851</v>
      </c>
      <c r="E380" t="str">
        <f>"1400600127413"</f>
        <v>0</v>
      </c>
      <c r="F380" t="str">
        <f>"000430"</f>
        <v>0</v>
      </c>
      <c r="G380" t="s">
        <v>18359</v>
      </c>
    </row>
    <row r="381" spans="1:7">
      <c r="A381">
        <v>380</v>
      </c>
      <c r="B381" t="str">
        <f>"024925"</f>
        <v>0</v>
      </c>
      <c r="C381" t="s">
        <v>18852</v>
      </c>
      <c r="D381" t="s">
        <v>18853</v>
      </c>
      <c r="E381" t="str">
        <f>"3400101308729"</f>
        <v>0</v>
      </c>
      <c r="F381" t="str">
        <f>"000430"</f>
        <v>0</v>
      </c>
      <c r="G381" t="s">
        <v>18359</v>
      </c>
    </row>
    <row r="382" spans="1:7">
      <c r="A382">
        <v>381</v>
      </c>
      <c r="B382" t="str">
        <f>"025089"</f>
        <v>0</v>
      </c>
      <c r="C382" t="s">
        <v>18854</v>
      </c>
      <c r="D382" t="s">
        <v>18855</v>
      </c>
      <c r="E382" t="str">
        <f>"3320700479114"</f>
        <v>0</v>
      </c>
      <c r="F382" t="str">
        <f>"000430"</f>
        <v>0</v>
      </c>
      <c r="G382" t="s">
        <v>18359</v>
      </c>
    </row>
    <row r="383" spans="1:7">
      <c r="A383">
        <v>382</v>
      </c>
      <c r="B383" t="str">
        <f>"025231"</f>
        <v>0</v>
      </c>
      <c r="C383" t="s">
        <v>18856</v>
      </c>
      <c r="D383" t="s">
        <v>18857</v>
      </c>
      <c r="E383" t="str">
        <f>"3400100455868"</f>
        <v>0</v>
      </c>
      <c r="F383" t="str">
        <f>"000430"</f>
        <v>0</v>
      </c>
      <c r="G383" t="s">
        <v>18359</v>
      </c>
    </row>
    <row r="384" spans="1:7">
      <c r="A384">
        <v>383</v>
      </c>
      <c r="B384" t="str">
        <f>"025747"</f>
        <v>0</v>
      </c>
      <c r="C384" t="s">
        <v>18856</v>
      </c>
      <c r="D384" t="s">
        <v>18858</v>
      </c>
      <c r="E384" t="str">
        <f>"1409800156032"</f>
        <v>0</v>
      </c>
      <c r="F384" t="str">
        <f>"000430"</f>
        <v>0</v>
      </c>
      <c r="G384" t="s">
        <v>18359</v>
      </c>
    </row>
    <row r="385" spans="1:7">
      <c r="A385">
        <v>384</v>
      </c>
      <c r="B385" t="str">
        <f>"026604"</f>
        <v>0</v>
      </c>
      <c r="C385" t="s">
        <v>18859</v>
      </c>
      <c r="D385" t="s">
        <v>18860</v>
      </c>
      <c r="E385" t="str">
        <f>"1409900245339"</f>
        <v>0</v>
      </c>
      <c r="F385" t="str">
        <f>"000430"</f>
        <v>0</v>
      </c>
      <c r="G385" t="s">
        <v>18359</v>
      </c>
    </row>
    <row r="386" spans="1:7">
      <c r="A386">
        <v>385</v>
      </c>
      <c r="B386" t="str">
        <f>"026680"</f>
        <v>0</v>
      </c>
      <c r="C386" t="s">
        <v>15884</v>
      </c>
      <c r="D386" t="s">
        <v>18861</v>
      </c>
      <c r="E386" t="str">
        <f>"1400400135374"</f>
        <v>0</v>
      </c>
      <c r="F386" t="str">
        <f>"000430"</f>
        <v>0</v>
      </c>
      <c r="G386" t="s">
        <v>18359</v>
      </c>
    </row>
    <row r="387" spans="1:7">
      <c r="A387">
        <v>386</v>
      </c>
      <c r="B387" t="str">
        <f>"026681"</f>
        <v>0</v>
      </c>
      <c r="C387" t="s">
        <v>18862</v>
      </c>
      <c r="D387" t="s">
        <v>18863</v>
      </c>
      <c r="E387" t="str">
        <f>"1302000031540"</f>
        <v>0</v>
      </c>
      <c r="F387" t="str">
        <f>"000430"</f>
        <v>0</v>
      </c>
      <c r="G387" t="s">
        <v>18359</v>
      </c>
    </row>
    <row r="388" spans="1:7">
      <c r="A388">
        <v>387</v>
      </c>
      <c r="B388" t="str">
        <f>"027333"</f>
        <v>0</v>
      </c>
      <c r="C388" t="s">
        <v>18864</v>
      </c>
      <c r="D388" t="s">
        <v>18865</v>
      </c>
      <c r="E388" t="str">
        <f>"3409700305105"</f>
        <v>0</v>
      </c>
      <c r="F388" t="str">
        <f>"000430"</f>
        <v>0</v>
      </c>
      <c r="G388" t="s">
        <v>18359</v>
      </c>
    </row>
    <row r="389" spans="1:7">
      <c r="A389">
        <v>388</v>
      </c>
      <c r="B389" t="str">
        <f>"022237"</f>
        <v>0</v>
      </c>
      <c r="C389" t="s">
        <v>18866</v>
      </c>
      <c r="D389" t="s">
        <v>18867</v>
      </c>
      <c r="E389" t="str">
        <f>"3410101199032"</f>
        <v>0</v>
      </c>
      <c r="F389" t="str">
        <f>"000430"</f>
        <v>0</v>
      </c>
      <c r="G389" t="s">
        <v>18359</v>
      </c>
    </row>
    <row r="390" spans="1:7">
      <c r="A390">
        <v>389</v>
      </c>
      <c r="B390" t="str">
        <f>"016082"</f>
        <v>0</v>
      </c>
      <c r="C390" t="s">
        <v>2449</v>
      </c>
      <c r="D390" t="s">
        <v>18868</v>
      </c>
      <c r="E390" t="str">
        <f>"3330100525140"</f>
        <v>0</v>
      </c>
      <c r="F390" t="str">
        <f>"000430"</f>
        <v>0</v>
      </c>
      <c r="G390" t="s">
        <v>18359</v>
      </c>
    </row>
    <row r="391" spans="1:7">
      <c r="A391">
        <v>390</v>
      </c>
      <c r="B391" t="str">
        <f>"020491"</f>
        <v>0</v>
      </c>
      <c r="C391" t="s">
        <v>18869</v>
      </c>
      <c r="D391" t="s">
        <v>18870</v>
      </c>
      <c r="E391" t="str">
        <f>"3461400144737"</f>
        <v>0</v>
      </c>
      <c r="F391" t="str">
        <f>"000430"</f>
        <v>0</v>
      </c>
      <c r="G391" t="s">
        <v>18359</v>
      </c>
    </row>
    <row r="392" spans="1:7">
      <c r="A392">
        <v>391</v>
      </c>
      <c r="B392" t="str">
        <f>"016531"</f>
        <v>0</v>
      </c>
      <c r="C392" t="s">
        <v>10067</v>
      </c>
      <c r="D392" t="s">
        <v>13896</v>
      </c>
      <c r="E392" t="str">
        <f>"3471100110250"</f>
        <v>0</v>
      </c>
      <c r="F392" t="str">
        <f>"000430"</f>
        <v>0</v>
      </c>
      <c r="G392" t="s">
        <v>18359</v>
      </c>
    </row>
    <row r="393" spans="1:7">
      <c r="A393">
        <v>392</v>
      </c>
      <c r="B393" t="str">
        <f>"021376"</f>
        <v>0</v>
      </c>
      <c r="C393" t="s">
        <v>3090</v>
      </c>
      <c r="D393" t="s">
        <v>18871</v>
      </c>
      <c r="E393" t="str">
        <f>"3470100038965"</f>
        <v>0</v>
      </c>
      <c r="F393" t="str">
        <f>"000430"</f>
        <v>0</v>
      </c>
      <c r="G393" t="s">
        <v>18359</v>
      </c>
    </row>
    <row r="394" spans="1:7">
      <c r="A394">
        <v>393</v>
      </c>
      <c r="B394" t="str">
        <f>"026677"</f>
        <v>0</v>
      </c>
      <c r="C394" t="s">
        <v>7392</v>
      </c>
      <c r="D394" t="s">
        <v>18872</v>
      </c>
      <c r="E394" t="str">
        <f>"1509901389503"</f>
        <v>0</v>
      </c>
      <c r="F394" t="str">
        <f>"000430"</f>
        <v>0</v>
      </c>
      <c r="G394" t="s">
        <v>18359</v>
      </c>
    </row>
    <row r="395" spans="1:7">
      <c r="A395">
        <v>394</v>
      </c>
      <c r="B395" t="str">
        <f>"021564"</f>
        <v>0</v>
      </c>
      <c r="C395" t="s">
        <v>1617</v>
      </c>
      <c r="D395" t="s">
        <v>18873</v>
      </c>
      <c r="E395" t="str">
        <f>"3560600139859"</f>
        <v>0</v>
      </c>
      <c r="F395" t="str">
        <f>"000430"</f>
        <v>0</v>
      </c>
      <c r="G395" t="s">
        <v>18359</v>
      </c>
    </row>
    <row r="396" spans="1:7">
      <c r="A396">
        <v>395</v>
      </c>
      <c r="B396" t="str">
        <f>"016088"</f>
        <v>0</v>
      </c>
      <c r="C396" t="s">
        <v>1983</v>
      </c>
      <c r="D396" t="s">
        <v>18874</v>
      </c>
      <c r="E396" t="str">
        <f>"3450500501557"</f>
        <v>0</v>
      </c>
      <c r="F396" t="str">
        <f>"000430"</f>
        <v>0</v>
      </c>
      <c r="G396" t="s">
        <v>18359</v>
      </c>
    </row>
    <row r="397" spans="1:7">
      <c r="A397">
        <v>396</v>
      </c>
      <c r="B397" t="str">
        <f>"022188"</f>
        <v>0</v>
      </c>
      <c r="C397" t="s">
        <v>5392</v>
      </c>
      <c r="D397" t="s">
        <v>18875</v>
      </c>
      <c r="E397" t="str">
        <f>"3309700011838"</f>
        <v>0</v>
      </c>
      <c r="F397" t="str">
        <f>"000430"</f>
        <v>0</v>
      </c>
      <c r="G397" t="s">
        <v>18359</v>
      </c>
    </row>
    <row r="398" spans="1:7">
      <c r="A398">
        <v>397</v>
      </c>
      <c r="B398" t="str">
        <f>"016676"</f>
        <v>0</v>
      </c>
      <c r="C398" t="s">
        <v>5870</v>
      </c>
      <c r="D398" t="s">
        <v>18876</v>
      </c>
      <c r="E398" t="str">
        <f>"3400900601265"</f>
        <v>0</v>
      </c>
      <c r="F398" t="str">
        <f>"000430"</f>
        <v>0</v>
      </c>
      <c r="G398" t="s">
        <v>18359</v>
      </c>
    </row>
    <row r="399" spans="1:7">
      <c r="A399">
        <v>398</v>
      </c>
      <c r="B399" t="str">
        <f>"025031"</f>
        <v>0</v>
      </c>
      <c r="C399" t="s">
        <v>18877</v>
      </c>
      <c r="D399" t="s">
        <v>18878</v>
      </c>
      <c r="E399" t="str">
        <f>"3850300081861"</f>
        <v>0</v>
      </c>
      <c r="F399" t="str">
        <f>"000430"</f>
        <v>0</v>
      </c>
      <c r="G399" t="s">
        <v>18359</v>
      </c>
    </row>
    <row r="400" spans="1:7">
      <c r="A400">
        <v>399</v>
      </c>
      <c r="B400" t="str">
        <f>"017080"</f>
        <v>0</v>
      </c>
      <c r="C400" t="s">
        <v>50</v>
      </c>
      <c r="D400" t="s">
        <v>8917</v>
      </c>
      <c r="E400" t="str">
        <f>"3220100609522"</f>
        <v>0</v>
      </c>
      <c r="F400" t="str">
        <f>"000480"</f>
        <v>0</v>
      </c>
      <c r="G400" t="s">
        <v>18359</v>
      </c>
    </row>
    <row r="401" spans="1:7">
      <c r="A401">
        <v>400</v>
      </c>
      <c r="B401" t="str">
        <f>"018303"</f>
        <v>0</v>
      </c>
      <c r="C401" t="s">
        <v>1988</v>
      </c>
      <c r="D401" t="s">
        <v>18879</v>
      </c>
      <c r="E401" t="str">
        <f>"3229700083384"</f>
        <v>0</v>
      </c>
      <c r="F401" t="str">
        <f>"000480"</f>
        <v>0</v>
      </c>
      <c r="G401" t="s">
        <v>18359</v>
      </c>
    </row>
    <row r="402" spans="1:7">
      <c r="A402">
        <v>401</v>
      </c>
      <c r="B402" t="str">
        <f>"003933"</f>
        <v>0</v>
      </c>
      <c r="C402" t="s">
        <v>2349</v>
      </c>
      <c r="D402" t="s">
        <v>18880</v>
      </c>
      <c r="E402" t="str">
        <f>"3220100053184"</f>
        <v>0</v>
      </c>
      <c r="F402" t="str">
        <f>"000480"</f>
        <v>0</v>
      </c>
      <c r="G402" t="s">
        <v>18359</v>
      </c>
    </row>
    <row r="403" spans="1:7">
      <c r="A403">
        <v>402</v>
      </c>
      <c r="B403" t="str">
        <f>"011768"</f>
        <v>0</v>
      </c>
      <c r="C403" t="s">
        <v>18881</v>
      </c>
      <c r="D403" t="s">
        <v>18882</v>
      </c>
      <c r="E403" t="str">
        <f>"3220600001493"</f>
        <v>0</v>
      </c>
      <c r="F403" t="str">
        <f>"000480"</f>
        <v>0</v>
      </c>
      <c r="G403" t="s">
        <v>18359</v>
      </c>
    </row>
    <row r="404" spans="1:7">
      <c r="A404">
        <v>403</v>
      </c>
      <c r="B404" t="str">
        <f>"015135"</f>
        <v>0</v>
      </c>
      <c r="C404" t="s">
        <v>2424</v>
      </c>
      <c r="D404" t="s">
        <v>18883</v>
      </c>
      <c r="E404" t="str">
        <f>"3360100310461"</f>
        <v>0</v>
      </c>
      <c r="F404" t="str">
        <f>"000480"</f>
        <v>0</v>
      </c>
      <c r="G404" t="s">
        <v>18359</v>
      </c>
    </row>
    <row r="405" spans="1:7">
      <c r="A405">
        <v>404</v>
      </c>
      <c r="B405" t="str">
        <f>"025091"</f>
        <v>0</v>
      </c>
      <c r="C405" t="s">
        <v>13366</v>
      </c>
      <c r="D405" t="s">
        <v>18884</v>
      </c>
      <c r="E405" t="str">
        <f>"3440300552115"</f>
        <v>0</v>
      </c>
      <c r="F405" t="str">
        <f>"000480"</f>
        <v>0</v>
      </c>
      <c r="G405" t="s">
        <v>18359</v>
      </c>
    </row>
    <row r="406" spans="1:7">
      <c r="A406">
        <v>405</v>
      </c>
      <c r="B406" t="str">
        <f>"026632"</f>
        <v>0</v>
      </c>
      <c r="C406" t="s">
        <v>18885</v>
      </c>
      <c r="D406" t="s">
        <v>18886</v>
      </c>
      <c r="E406" t="str">
        <f>"1239900248526"</f>
        <v>0</v>
      </c>
      <c r="F406" t="str">
        <f>"000480"</f>
        <v>0</v>
      </c>
      <c r="G406" t="s">
        <v>18359</v>
      </c>
    </row>
    <row r="407" spans="1:7">
      <c r="A407">
        <v>406</v>
      </c>
      <c r="B407" t="str">
        <f>"010460"</f>
        <v>0</v>
      </c>
      <c r="C407" t="s">
        <v>15613</v>
      </c>
      <c r="D407" t="s">
        <v>18887</v>
      </c>
      <c r="E407" t="str">
        <f>"3210300210968"</f>
        <v>0</v>
      </c>
      <c r="F407" t="str">
        <f>"000480"</f>
        <v>0</v>
      </c>
      <c r="G407" t="s">
        <v>18359</v>
      </c>
    </row>
    <row r="408" spans="1:7">
      <c r="A408">
        <v>407</v>
      </c>
      <c r="B408" t="str">
        <f>"013118"</f>
        <v>0</v>
      </c>
      <c r="C408" t="s">
        <v>18888</v>
      </c>
      <c r="D408" t="s">
        <v>18889</v>
      </c>
      <c r="E408" t="str">
        <f>"3210500256198"</f>
        <v>0</v>
      </c>
      <c r="F408" t="str">
        <f>"000480"</f>
        <v>0</v>
      </c>
      <c r="G408" t="s">
        <v>18359</v>
      </c>
    </row>
    <row r="409" spans="1:7">
      <c r="A409">
        <v>408</v>
      </c>
      <c r="B409" t="str">
        <f>"022936"</f>
        <v>0</v>
      </c>
      <c r="C409" t="s">
        <v>18890</v>
      </c>
      <c r="D409" t="s">
        <v>18891</v>
      </c>
      <c r="E409" t="str">
        <f>"1219800020167"</f>
        <v>0</v>
      </c>
      <c r="F409" t="str">
        <f>"000480"</f>
        <v>0</v>
      </c>
      <c r="G409" t="s">
        <v>18359</v>
      </c>
    </row>
    <row r="410" spans="1:7">
      <c r="A410">
        <v>409</v>
      </c>
      <c r="B410" t="str">
        <f>"025973"</f>
        <v>0</v>
      </c>
      <c r="C410" t="s">
        <v>18892</v>
      </c>
      <c r="D410" t="s">
        <v>18893</v>
      </c>
      <c r="E410" t="str">
        <f>"3460700646290"</f>
        <v>0</v>
      </c>
      <c r="F410" t="str">
        <f>"000480"</f>
        <v>0</v>
      </c>
      <c r="G410" t="s">
        <v>18359</v>
      </c>
    </row>
    <row r="411" spans="1:7">
      <c r="A411">
        <v>410</v>
      </c>
      <c r="B411" t="str">
        <f>"012918"</f>
        <v>0</v>
      </c>
      <c r="C411" t="s">
        <v>36</v>
      </c>
      <c r="D411" t="s">
        <v>18894</v>
      </c>
      <c r="E411" t="str">
        <f>"3560300711956"</f>
        <v>0</v>
      </c>
      <c r="F411" t="str">
        <f>"000480"</f>
        <v>0</v>
      </c>
      <c r="G411" t="s">
        <v>18359</v>
      </c>
    </row>
    <row r="412" spans="1:7">
      <c r="A412">
        <v>411</v>
      </c>
      <c r="B412" t="str">
        <f>"016246"</f>
        <v>0</v>
      </c>
      <c r="C412" t="s">
        <v>18895</v>
      </c>
      <c r="D412" t="s">
        <v>18896</v>
      </c>
      <c r="E412" t="str">
        <f>"3570600104567"</f>
        <v>0</v>
      </c>
      <c r="F412" t="str">
        <f>"000480"</f>
        <v>0</v>
      </c>
      <c r="G412" t="s">
        <v>18359</v>
      </c>
    </row>
    <row r="413" spans="1:7">
      <c r="A413">
        <v>412</v>
      </c>
      <c r="B413" t="str">
        <f>"016679"</f>
        <v>0</v>
      </c>
      <c r="C413" t="s">
        <v>18897</v>
      </c>
      <c r="D413" t="s">
        <v>14169</v>
      </c>
      <c r="E413" t="str">
        <f>"5220190010206"</f>
        <v>0</v>
      </c>
      <c r="F413" t="str">
        <f>"000480"</f>
        <v>0</v>
      </c>
      <c r="G413" t="s">
        <v>18359</v>
      </c>
    </row>
    <row r="414" spans="1:7">
      <c r="A414">
        <v>413</v>
      </c>
      <c r="B414" t="str">
        <f>"017209"</f>
        <v>0</v>
      </c>
      <c r="C414" t="s">
        <v>18898</v>
      </c>
      <c r="D414" t="s">
        <v>1767</v>
      </c>
      <c r="E414" t="str">
        <f>"3200300146194"</f>
        <v>0</v>
      </c>
      <c r="F414" t="str">
        <f>"000480"</f>
        <v>0</v>
      </c>
      <c r="G414" t="s">
        <v>18359</v>
      </c>
    </row>
    <row r="415" spans="1:7">
      <c r="A415">
        <v>414</v>
      </c>
      <c r="B415" t="str">
        <f>"017546"</f>
        <v>0</v>
      </c>
      <c r="C415" t="s">
        <v>1021</v>
      </c>
      <c r="D415" t="s">
        <v>18899</v>
      </c>
      <c r="E415" t="str">
        <f>"3341000437959"</f>
        <v>0</v>
      </c>
      <c r="F415" t="str">
        <f>"000480"</f>
        <v>0</v>
      </c>
      <c r="G415" t="s">
        <v>18359</v>
      </c>
    </row>
    <row r="416" spans="1:7">
      <c r="A416">
        <v>415</v>
      </c>
      <c r="B416" t="str">
        <f>"019378"</f>
        <v>0</v>
      </c>
      <c r="C416" t="s">
        <v>1857</v>
      </c>
      <c r="D416" t="s">
        <v>2658</v>
      </c>
      <c r="E416" t="str">
        <f>"3220200341653"</f>
        <v>0</v>
      </c>
      <c r="F416" t="str">
        <f>"000480"</f>
        <v>0</v>
      </c>
      <c r="G416" t="s">
        <v>18359</v>
      </c>
    </row>
    <row r="417" spans="1:7">
      <c r="A417">
        <v>416</v>
      </c>
      <c r="B417" t="str">
        <f>"019571"</f>
        <v>0</v>
      </c>
      <c r="C417" t="s">
        <v>6317</v>
      </c>
      <c r="D417" t="s">
        <v>14549</v>
      </c>
      <c r="E417" t="str">
        <f>"3220100174950"</f>
        <v>0</v>
      </c>
      <c r="F417" t="str">
        <f>"000480"</f>
        <v>0</v>
      </c>
      <c r="G417" t="s">
        <v>18359</v>
      </c>
    </row>
    <row r="418" spans="1:7">
      <c r="A418">
        <v>417</v>
      </c>
      <c r="B418" t="str">
        <f>"020704"</f>
        <v>0</v>
      </c>
      <c r="C418" t="s">
        <v>18900</v>
      </c>
      <c r="D418" t="s">
        <v>18901</v>
      </c>
      <c r="E418" t="str">
        <f>"3220100475712"</f>
        <v>0</v>
      </c>
      <c r="F418" t="str">
        <f>"000480"</f>
        <v>0</v>
      </c>
      <c r="G418" t="s">
        <v>18359</v>
      </c>
    </row>
    <row r="419" spans="1:7">
      <c r="A419">
        <v>418</v>
      </c>
      <c r="B419" t="str">
        <f>"020769"</f>
        <v>0</v>
      </c>
      <c r="C419" t="s">
        <v>18902</v>
      </c>
      <c r="D419" t="s">
        <v>18903</v>
      </c>
      <c r="E419" t="str">
        <f>"3361000286527"</f>
        <v>0</v>
      </c>
      <c r="F419" t="str">
        <f>"000480"</f>
        <v>0</v>
      </c>
      <c r="G419" t="s">
        <v>18359</v>
      </c>
    </row>
    <row r="420" spans="1:7">
      <c r="A420">
        <v>419</v>
      </c>
      <c r="B420" t="str">
        <f>"022012"</f>
        <v>0</v>
      </c>
      <c r="C420" t="s">
        <v>3176</v>
      </c>
      <c r="D420" t="s">
        <v>18904</v>
      </c>
      <c r="E420" t="str">
        <f>"3220500118569"</f>
        <v>0</v>
      </c>
      <c r="F420" t="str">
        <f>"000480"</f>
        <v>0</v>
      </c>
      <c r="G420" t="s">
        <v>18359</v>
      </c>
    </row>
    <row r="421" spans="1:7">
      <c r="A421">
        <v>420</v>
      </c>
      <c r="B421" t="str">
        <f>"025579"</f>
        <v>0</v>
      </c>
      <c r="C421" t="s">
        <v>18905</v>
      </c>
      <c r="D421" t="s">
        <v>18906</v>
      </c>
      <c r="E421" t="str">
        <f>"1229900274233"</f>
        <v>0</v>
      </c>
      <c r="F421" t="str">
        <f>"000480"</f>
        <v>0</v>
      </c>
      <c r="G421" t="s">
        <v>18359</v>
      </c>
    </row>
    <row r="422" spans="1:7">
      <c r="A422">
        <v>421</v>
      </c>
      <c r="B422" t="str">
        <f>"011288"</f>
        <v>0</v>
      </c>
      <c r="C422" t="s">
        <v>18907</v>
      </c>
      <c r="D422" t="s">
        <v>18908</v>
      </c>
      <c r="E422" t="str">
        <f>"3110200051605"</f>
        <v>0</v>
      </c>
      <c r="F422" t="str">
        <f>"000480"</f>
        <v>0</v>
      </c>
      <c r="G422" t="s">
        <v>18359</v>
      </c>
    </row>
    <row r="423" spans="1:7">
      <c r="A423">
        <v>422</v>
      </c>
      <c r="B423" t="str">
        <f>"013038"</f>
        <v>0</v>
      </c>
      <c r="C423" t="s">
        <v>6666</v>
      </c>
      <c r="D423" t="s">
        <v>18909</v>
      </c>
      <c r="E423" t="str">
        <f>"3240600019007"</f>
        <v>0</v>
      </c>
      <c r="F423" t="str">
        <f>"000550"</f>
        <v>0</v>
      </c>
      <c r="G423" t="s">
        <v>18359</v>
      </c>
    </row>
    <row r="424" spans="1:7">
      <c r="A424">
        <v>423</v>
      </c>
      <c r="B424" t="str">
        <f>"013144"</f>
        <v>0</v>
      </c>
      <c r="C424" t="s">
        <v>44</v>
      </c>
      <c r="D424" t="s">
        <v>18910</v>
      </c>
      <c r="E424" t="str">
        <f>"3240500226469"</f>
        <v>0</v>
      </c>
      <c r="F424" t="str">
        <f>"000550"</f>
        <v>0</v>
      </c>
      <c r="G424" t="s">
        <v>18359</v>
      </c>
    </row>
    <row r="425" spans="1:7">
      <c r="A425">
        <v>424</v>
      </c>
      <c r="B425" t="str">
        <f>"026295"</f>
        <v>0</v>
      </c>
      <c r="C425" t="s">
        <v>18911</v>
      </c>
      <c r="D425" t="s">
        <v>18912</v>
      </c>
      <c r="E425" t="str">
        <f>"1100701714881"</f>
        <v>0</v>
      </c>
      <c r="F425" t="str">
        <f>"000550"</f>
        <v>0</v>
      </c>
      <c r="G425" t="s">
        <v>18359</v>
      </c>
    </row>
    <row r="426" spans="1:7">
      <c r="A426">
        <v>425</v>
      </c>
      <c r="B426" t="str">
        <f>"024598"</f>
        <v>0</v>
      </c>
      <c r="C426" t="s">
        <v>18913</v>
      </c>
      <c r="D426" t="s">
        <v>18914</v>
      </c>
      <c r="E426" t="str">
        <f>"3101201054749"</f>
        <v>0</v>
      </c>
      <c r="F426" t="str">
        <f>"000550"</f>
        <v>0</v>
      </c>
      <c r="G426" t="s">
        <v>18359</v>
      </c>
    </row>
    <row r="427" spans="1:7">
      <c r="A427">
        <v>426</v>
      </c>
      <c r="B427" t="str">
        <f>"021647"</f>
        <v>0</v>
      </c>
      <c r="C427" t="s">
        <v>3103</v>
      </c>
      <c r="D427" t="s">
        <v>18915</v>
      </c>
      <c r="E427" t="str">
        <f>"3219900150182"</f>
        <v>0</v>
      </c>
      <c r="F427" t="str">
        <f>"000550"</f>
        <v>0</v>
      </c>
      <c r="G427" t="s">
        <v>18359</v>
      </c>
    </row>
    <row r="428" spans="1:7">
      <c r="A428">
        <v>427</v>
      </c>
      <c r="B428" t="str">
        <f>"013142"</f>
        <v>0</v>
      </c>
      <c r="C428" t="s">
        <v>17476</v>
      </c>
      <c r="D428" t="s">
        <v>75</v>
      </c>
      <c r="E428" t="str">
        <f>"3820500161329"</f>
        <v>0</v>
      </c>
      <c r="F428" t="str">
        <f>"000550"</f>
        <v>0</v>
      </c>
      <c r="G428" t="s">
        <v>18359</v>
      </c>
    </row>
    <row r="429" spans="1:7">
      <c r="A429">
        <v>428</v>
      </c>
      <c r="B429" t="str">
        <f>"013308"</f>
        <v>0</v>
      </c>
      <c r="C429" t="s">
        <v>18916</v>
      </c>
      <c r="D429" t="s">
        <v>3543</v>
      </c>
      <c r="E429" t="str">
        <f>"3610500001285"</f>
        <v>0</v>
      </c>
      <c r="F429" t="str">
        <f>"000550"</f>
        <v>0</v>
      </c>
      <c r="G429" t="s">
        <v>18359</v>
      </c>
    </row>
    <row r="430" spans="1:7">
      <c r="A430">
        <v>429</v>
      </c>
      <c r="B430" t="str">
        <f>"014671"</f>
        <v>0</v>
      </c>
      <c r="C430" t="s">
        <v>68</v>
      </c>
      <c r="D430" t="s">
        <v>3558</v>
      </c>
      <c r="E430" t="str">
        <f>"3860700088153"</f>
        <v>0</v>
      </c>
      <c r="F430" t="str">
        <f>"000550"</f>
        <v>0</v>
      </c>
      <c r="G430" t="s">
        <v>18359</v>
      </c>
    </row>
    <row r="431" spans="1:7">
      <c r="A431">
        <v>430</v>
      </c>
      <c r="B431" t="str">
        <f>"017303"</f>
        <v>0</v>
      </c>
      <c r="C431" t="s">
        <v>2766</v>
      </c>
      <c r="D431" t="s">
        <v>1959</v>
      </c>
      <c r="E431" t="str">
        <f>"4240800003391"</f>
        <v>0</v>
      </c>
      <c r="F431" t="str">
        <f>"000550"</f>
        <v>0</v>
      </c>
      <c r="G431" t="s">
        <v>18359</v>
      </c>
    </row>
    <row r="432" spans="1:7">
      <c r="A432">
        <v>431</v>
      </c>
      <c r="B432" t="str">
        <f>"019364"</f>
        <v>0</v>
      </c>
      <c r="C432" t="s">
        <v>130</v>
      </c>
      <c r="D432" t="s">
        <v>18917</v>
      </c>
      <c r="E432" t="str">
        <f>"3240900118418"</f>
        <v>0</v>
      </c>
      <c r="F432" t="str">
        <f>"000550"</f>
        <v>0</v>
      </c>
      <c r="G432" t="s">
        <v>18359</v>
      </c>
    </row>
    <row r="433" spans="1:7">
      <c r="A433">
        <v>432</v>
      </c>
      <c r="B433" t="str">
        <f>"020066"</f>
        <v>0</v>
      </c>
      <c r="C433" t="s">
        <v>18918</v>
      </c>
      <c r="D433" t="s">
        <v>18919</v>
      </c>
      <c r="E433" t="str">
        <f>"3240500402879"</f>
        <v>0</v>
      </c>
      <c r="F433" t="str">
        <f>"000550"</f>
        <v>0</v>
      </c>
      <c r="G433" t="s">
        <v>18359</v>
      </c>
    </row>
    <row r="434" spans="1:7">
      <c r="A434">
        <v>433</v>
      </c>
      <c r="B434" t="str">
        <f>"020225"</f>
        <v>0</v>
      </c>
      <c r="C434" t="s">
        <v>554</v>
      </c>
      <c r="D434" t="s">
        <v>18920</v>
      </c>
      <c r="E434" t="str">
        <f>"3240600299808"</f>
        <v>0</v>
      </c>
      <c r="F434" t="str">
        <f>"000550"</f>
        <v>0</v>
      </c>
      <c r="G434" t="s">
        <v>18359</v>
      </c>
    </row>
    <row r="435" spans="1:7">
      <c r="A435">
        <v>434</v>
      </c>
      <c r="B435" t="str">
        <f>"020878"</f>
        <v>0</v>
      </c>
      <c r="C435" t="s">
        <v>3883</v>
      </c>
      <c r="D435" t="s">
        <v>18921</v>
      </c>
      <c r="E435" t="str">
        <f>"3240500257950"</f>
        <v>0</v>
      </c>
      <c r="F435" t="str">
        <f>"000550"</f>
        <v>0</v>
      </c>
      <c r="G435" t="s">
        <v>18359</v>
      </c>
    </row>
    <row r="436" spans="1:7">
      <c r="A436">
        <v>435</v>
      </c>
      <c r="B436" t="str">
        <f>"021629"</f>
        <v>0</v>
      </c>
      <c r="C436" t="s">
        <v>3283</v>
      </c>
      <c r="D436" t="s">
        <v>18922</v>
      </c>
      <c r="E436" t="str">
        <f>"3240200020024"</f>
        <v>0</v>
      </c>
      <c r="F436" t="str">
        <f>"000550"</f>
        <v>0</v>
      </c>
      <c r="G436" t="s">
        <v>18359</v>
      </c>
    </row>
    <row r="437" spans="1:7">
      <c r="A437">
        <v>436</v>
      </c>
      <c r="B437" t="str">
        <f>"024927"</f>
        <v>0</v>
      </c>
      <c r="C437" t="s">
        <v>18923</v>
      </c>
      <c r="D437" t="s">
        <v>18924</v>
      </c>
      <c r="E437" t="str">
        <f>"1100700030392"</f>
        <v>0</v>
      </c>
      <c r="F437" t="str">
        <f>"000550"</f>
        <v>0</v>
      </c>
      <c r="G437" t="s">
        <v>18359</v>
      </c>
    </row>
    <row r="438" spans="1:7">
      <c r="A438">
        <v>437</v>
      </c>
      <c r="B438" t="str">
        <f>"025556"</f>
        <v>0</v>
      </c>
      <c r="C438" t="s">
        <v>1402</v>
      </c>
      <c r="D438" t="s">
        <v>18925</v>
      </c>
      <c r="E438" t="str">
        <f>"3240100119401"</f>
        <v>0</v>
      </c>
      <c r="F438" t="str">
        <f>"000550"</f>
        <v>0</v>
      </c>
      <c r="G438" t="s">
        <v>18359</v>
      </c>
    </row>
    <row r="439" spans="1:7">
      <c r="A439">
        <v>438</v>
      </c>
      <c r="B439" t="str">
        <f>"015498"</f>
        <v>0</v>
      </c>
      <c r="C439" t="s">
        <v>18926</v>
      </c>
      <c r="D439" t="s">
        <v>11283</v>
      </c>
      <c r="E439" t="str">
        <f>"3101000185668"</f>
        <v>0</v>
      </c>
      <c r="F439" t="str">
        <f>"000550"</f>
        <v>0</v>
      </c>
      <c r="G439" t="s">
        <v>18359</v>
      </c>
    </row>
    <row r="440" spans="1:7">
      <c r="A440">
        <v>439</v>
      </c>
      <c r="B440" t="str">
        <f>"025575"</f>
        <v>0</v>
      </c>
      <c r="C440" t="s">
        <v>4197</v>
      </c>
      <c r="D440" t="s">
        <v>18927</v>
      </c>
      <c r="E440" t="str">
        <f>"1120300002863"</f>
        <v>0</v>
      </c>
      <c r="F440" t="str">
        <f>"000550"</f>
        <v>0</v>
      </c>
      <c r="G440" t="s">
        <v>18359</v>
      </c>
    </row>
    <row r="441" spans="1:7">
      <c r="A441">
        <v>440</v>
      </c>
      <c r="B441" t="str">
        <f>"023317"</f>
        <v>0</v>
      </c>
      <c r="C441" t="s">
        <v>18928</v>
      </c>
      <c r="D441" t="s">
        <v>18929</v>
      </c>
      <c r="E441" t="str">
        <f>"3450300171031"</f>
        <v>0</v>
      </c>
      <c r="F441" t="str">
        <f>"000550"</f>
        <v>0</v>
      </c>
      <c r="G441" t="s">
        <v>18359</v>
      </c>
    </row>
    <row r="442" spans="1:7">
      <c r="A442">
        <v>441</v>
      </c>
      <c r="B442" t="str">
        <f>"026303"</f>
        <v>0</v>
      </c>
      <c r="C442" t="s">
        <v>993</v>
      </c>
      <c r="D442" t="s">
        <v>18930</v>
      </c>
      <c r="E442" t="str">
        <f>"1570500173765"</f>
        <v>0</v>
      </c>
      <c r="F442" t="str">
        <f>"000550"</f>
        <v>0</v>
      </c>
      <c r="G442" t="s">
        <v>18359</v>
      </c>
    </row>
    <row r="443" spans="1:7">
      <c r="A443">
        <v>442</v>
      </c>
      <c r="B443" t="str">
        <f>"000706"</f>
        <v>0</v>
      </c>
      <c r="C443" t="s">
        <v>694</v>
      </c>
      <c r="D443" t="s">
        <v>3863</v>
      </c>
      <c r="E443" t="str">
        <f>"3200100906926"</f>
        <v>0</v>
      </c>
      <c r="F443" t="str">
        <f>"000570"</f>
        <v>0</v>
      </c>
      <c r="G443" t="s">
        <v>18359</v>
      </c>
    </row>
    <row r="444" spans="1:7">
      <c r="A444">
        <v>443</v>
      </c>
      <c r="B444" t="str">
        <f>"006971"</f>
        <v>0</v>
      </c>
      <c r="C444" t="s">
        <v>18931</v>
      </c>
      <c r="D444" t="s">
        <v>18932</v>
      </c>
      <c r="E444" t="str">
        <f>"3209900364735"</f>
        <v>0</v>
      </c>
      <c r="F444" t="str">
        <f>"000570"</f>
        <v>0</v>
      </c>
      <c r="G444" t="s">
        <v>18359</v>
      </c>
    </row>
    <row r="445" spans="1:7">
      <c r="A445">
        <v>444</v>
      </c>
      <c r="B445" t="str">
        <f>"012060"</f>
        <v>0</v>
      </c>
      <c r="C445" t="s">
        <v>2349</v>
      </c>
      <c r="D445" t="s">
        <v>18933</v>
      </c>
      <c r="E445" t="str">
        <f>"3209900018314"</f>
        <v>0</v>
      </c>
      <c r="F445" t="str">
        <f>"000570"</f>
        <v>0</v>
      </c>
      <c r="G445" t="s">
        <v>18359</v>
      </c>
    </row>
    <row r="446" spans="1:7">
      <c r="A446">
        <v>445</v>
      </c>
      <c r="B446" t="str">
        <f>"012181"</f>
        <v>0</v>
      </c>
      <c r="C446" t="s">
        <v>10831</v>
      </c>
      <c r="D446" t="s">
        <v>18934</v>
      </c>
      <c r="E446" t="str">
        <f>"3200400535133"</f>
        <v>0</v>
      </c>
      <c r="F446" t="str">
        <f>"000570"</f>
        <v>0</v>
      </c>
      <c r="G446" t="s">
        <v>18359</v>
      </c>
    </row>
    <row r="447" spans="1:7">
      <c r="A447">
        <v>446</v>
      </c>
      <c r="B447" t="str">
        <f>"013086"</f>
        <v>0</v>
      </c>
      <c r="C447" t="s">
        <v>106</v>
      </c>
      <c r="D447" t="s">
        <v>18935</v>
      </c>
      <c r="E447" t="str">
        <f>"3200600861166"</f>
        <v>0</v>
      </c>
      <c r="F447" t="str">
        <f>"000570"</f>
        <v>0</v>
      </c>
      <c r="G447" t="s">
        <v>18359</v>
      </c>
    </row>
    <row r="448" spans="1:7">
      <c r="A448">
        <v>447</v>
      </c>
      <c r="B448" t="str">
        <f>"013145"</f>
        <v>0</v>
      </c>
      <c r="C448" t="s">
        <v>18936</v>
      </c>
      <c r="D448" t="s">
        <v>18937</v>
      </c>
      <c r="E448" t="str">
        <f>"3200700038879"</f>
        <v>0</v>
      </c>
      <c r="F448" t="str">
        <f>"000570"</f>
        <v>0</v>
      </c>
      <c r="G448" t="s">
        <v>18359</v>
      </c>
    </row>
    <row r="449" spans="1:7">
      <c r="A449">
        <v>448</v>
      </c>
      <c r="B449" t="str">
        <f>"015333"</f>
        <v>0</v>
      </c>
      <c r="C449" t="s">
        <v>4948</v>
      </c>
      <c r="D449" t="s">
        <v>3790</v>
      </c>
      <c r="E449" t="str">
        <f>"3660100416917"</f>
        <v>0</v>
      </c>
      <c r="F449" t="str">
        <f>"000570"</f>
        <v>0</v>
      </c>
      <c r="G449" t="s">
        <v>18359</v>
      </c>
    </row>
    <row r="450" spans="1:7">
      <c r="A450">
        <v>449</v>
      </c>
      <c r="B450" t="str">
        <f>"016533"</f>
        <v>0</v>
      </c>
      <c r="C450" t="s">
        <v>4465</v>
      </c>
      <c r="D450" t="s">
        <v>18938</v>
      </c>
      <c r="E450" t="str">
        <f>"3140400064352"</f>
        <v>0</v>
      </c>
      <c r="F450" t="str">
        <f>"000570"</f>
        <v>0</v>
      </c>
      <c r="G450" t="s">
        <v>18359</v>
      </c>
    </row>
    <row r="451" spans="1:7">
      <c r="A451">
        <v>450</v>
      </c>
      <c r="B451" t="str">
        <f>"023210"</f>
        <v>0</v>
      </c>
      <c r="C451" t="s">
        <v>18939</v>
      </c>
      <c r="D451" t="s">
        <v>18940</v>
      </c>
      <c r="E451" t="str">
        <f>"3209900154862"</f>
        <v>0</v>
      </c>
      <c r="F451" t="str">
        <f>"000570"</f>
        <v>0</v>
      </c>
      <c r="G451" t="s">
        <v>18359</v>
      </c>
    </row>
    <row r="452" spans="1:7">
      <c r="A452">
        <v>451</v>
      </c>
      <c r="B452" t="str">
        <f>"011241"</f>
        <v>0</v>
      </c>
      <c r="C452" t="s">
        <v>2262</v>
      </c>
      <c r="D452" t="s">
        <v>18941</v>
      </c>
      <c r="E452" t="str">
        <f>"3200100816226"</f>
        <v>0</v>
      </c>
      <c r="F452" t="str">
        <f>"000570"</f>
        <v>0</v>
      </c>
      <c r="G452" t="s">
        <v>18359</v>
      </c>
    </row>
    <row r="453" spans="1:7">
      <c r="A453">
        <v>452</v>
      </c>
      <c r="B453" t="str">
        <f>"018946"</f>
        <v>0</v>
      </c>
      <c r="C453" t="s">
        <v>18942</v>
      </c>
      <c r="D453" t="s">
        <v>18943</v>
      </c>
      <c r="E453" t="str">
        <f>"3200900144311"</f>
        <v>0</v>
      </c>
      <c r="F453" t="str">
        <f>"000570"</f>
        <v>0</v>
      </c>
      <c r="G453" t="s">
        <v>18359</v>
      </c>
    </row>
    <row r="454" spans="1:7">
      <c r="A454">
        <v>453</v>
      </c>
      <c r="B454" t="str">
        <f>"021269"</f>
        <v>0</v>
      </c>
      <c r="C454" t="s">
        <v>18944</v>
      </c>
      <c r="D454" t="s">
        <v>18945</v>
      </c>
      <c r="E454" t="str">
        <f>"3450600409024"</f>
        <v>0</v>
      </c>
      <c r="F454" t="str">
        <f>"000570"</f>
        <v>0</v>
      </c>
      <c r="G454" t="s">
        <v>18359</v>
      </c>
    </row>
    <row r="455" spans="1:7">
      <c r="A455">
        <v>454</v>
      </c>
      <c r="B455" t="str">
        <f>"022010"</f>
        <v>0</v>
      </c>
      <c r="C455" t="s">
        <v>18946</v>
      </c>
      <c r="D455" t="s">
        <v>18947</v>
      </c>
      <c r="E455" t="str">
        <f>"3269900005328"</f>
        <v>0</v>
      </c>
      <c r="F455" t="str">
        <f>"000570"</f>
        <v>0</v>
      </c>
      <c r="G455" t="s">
        <v>18359</v>
      </c>
    </row>
    <row r="456" spans="1:7">
      <c r="A456">
        <v>455</v>
      </c>
      <c r="B456" t="str">
        <f>"026104"</f>
        <v>0</v>
      </c>
      <c r="C456" t="s">
        <v>18948</v>
      </c>
      <c r="D456" t="s">
        <v>18949</v>
      </c>
      <c r="E456" t="str">
        <f>"1860400006287"</f>
        <v>0</v>
      </c>
      <c r="F456" t="str">
        <f>"000570"</f>
        <v>0</v>
      </c>
      <c r="G456" t="s">
        <v>18359</v>
      </c>
    </row>
    <row r="457" spans="1:7">
      <c r="A457">
        <v>456</v>
      </c>
      <c r="B457" t="str">
        <f>"026685"</f>
        <v>0</v>
      </c>
      <c r="C457" t="s">
        <v>18950</v>
      </c>
      <c r="D457" t="s">
        <v>18951</v>
      </c>
      <c r="E457" t="str">
        <f>"1549900165822"</f>
        <v>0</v>
      </c>
      <c r="F457" t="str">
        <f>"000570"</f>
        <v>0</v>
      </c>
      <c r="G457" t="s">
        <v>18359</v>
      </c>
    </row>
    <row r="458" spans="1:7">
      <c r="A458">
        <v>457</v>
      </c>
      <c r="B458" t="str">
        <f>"023354"</f>
        <v>0</v>
      </c>
      <c r="C458" t="s">
        <v>18952</v>
      </c>
      <c r="D458" t="s">
        <v>18953</v>
      </c>
      <c r="E458" t="str">
        <f>"3140100073402"</f>
        <v>0</v>
      </c>
      <c r="F458" t="str">
        <f>"000570"</f>
        <v>0</v>
      </c>
      <c r="G458" t="s">
        <v>18359</v>
      </c>
    </row>
    <row r="459" spans="1:7">
      <c r="A459">
        <v>458</v>
      </c>
      <c r="B459" t="str">
        <f>"010009"</f>
        <v>0</v>
      </c>
      <c r="C459" t="s">
        <v>755</v>
      </c>
      <c r="D459" t="s">
        <v>18954</v>
      </c>
      <c r="E459" t="str">
        <f>"3200900604738"</f>
        <v>0</v>
      </c>
      <c r="F459" t="str">
        <f>"000570"</f>
        <v>0</v>
      </c>
      <c r="G459" t="s">
        <v>18359</v>
      </c>
    </row>
    <row r="460" spans="1:7">
      <c r="A460">
        <v>459</v>
      </c>
      <c r="B460" t="str">
        <f>"013200"</f>
        <v>0</v>
      </c>
      <c r="C460" t="s">
        <v>18955</v>
      </c>
      <c r="D460" t="s">
        <v>18941</v>
      </c>
      <c r="E460" t="str">
        <f>"3900900300449"</f>
        <v>0</v>
      </c>
      <c r="F460" t="str">
        <f>"000570"</f>
        <v>0</v>
      </c>
      <c r="G460" t="s">
        <v>18359</v>
      </c>
    </row>
    <row r="461" spans="1:7">
      <c r="A461">
        <v>460</v>
      </c>
      <c r="B461" t="str">
        <f>"017118"</f>
        <v>0</v>
      </c>
      <c r="C461" t="s">
        <v>18956</v>
      </c>
      <c r="D461" t="s">
        <v>18957</v>
      </c>
      <c r="E461" t="str">
        <f>"3130300643571"</f>
        <v>0</v>
      </c>
      <c r="F461" t="str">
        <f>"000570"</f>
        <v>0</v>
      </c>
      <c r="G461" t="s">
        <v>18359</v>
      </c>
    </row>
    <row r="462" spans="1:7">
      <c r="A462">
        <v>461</v>
      </c>
      <c r="B462" t="str">
        <f>"017750"</f>
        <v>0</v>
      </c>
      <c r="C462" t="s">
        <v>305</v>
      </c>
      <c r="D462" t="s">
        <v>18958</v>
      </c>
      <c r="E462" t="str">
        <f>"3200100779029"</f>
        <v>0</v>
      </c>
      <c r="F462" t="str">
        <f>"000570"</f>
        <v>0</v>
      </c>
      <c r="G462" t="s">
        <v>18359</v>
      </c>
    </row>
    <row r="463" spans="1:7">
      <c r="A463">
        <v>462</v>
      </c>
      <c r="B463" t="str">
        <f>"017868"</f>
        <v>0</v>
      </c>
      <c r="C463" t="s">
        <v>18959</v>
      </c>
      <c r="D463" t="s">
        <v>18960</v>
      </c>
      <c r="E463" t="str">
        <f>"3321000389091"</f>
        <v>0</v>
      </c>
      <c r="F463" t="str">
        <f>"000570"</f>
        <v>0</v>
      </c>
      <c r="G463" t="s">
        <v>18359</v>
      </c>
    </row>
    <row r="464" spans="1:7">
      <c r="A464">
        <v>463</v>
      </c>
      <c r="B464" t="str">
        <f>"018235"</f>
        <v>0</v>
      </c>
      <c r="C464" t="s">
        <v>800</v>
      </c>
      <c r="D464" t="s">
        <v>18961</v>
      </c>
      <c r="E464" t="str">
        <f>"3400700820117"</f>
        <v>0</v>
      </c>
      <c r="F464" t="str">
        <f>"000570"</f>
        <v>0</v>
      </c>
      <c r="G464" t="s">
        <v>18359</v>
      </c>
    </row>
    <row r="465" spans="1:7">
      <c r="A465">
        <v>464</v>
      </c>
      <c r="B465" t="str">
        <f>"018826"</f>
        <v>0</v>
      </c>
      <c r="C465" t="s">
        <v>18962</v>
      </c>
      <c r="D465" t="s">
        <v>18963</v>
      </c>
      <c r="E465" t="str">
        <f>"3671000141445"</f>
        <v>0</v>
      </c>
      <c r="F465" t="str">
        <f>"000570"</f>
        <v>0</v>
      </c>
      <c r="G465" t="s">
        <v>18359</v>
      </c>
    </row>
    <row r="466" spans="1:7">
      <c r="A466">
        <v>465</v>
      </c>
      <c r="B466" t="str">
        <f>"019268"</f>
        <v>0</v>
      </c>
      <c r="C466" t="s">
        <v>18964</v>
      </c>
      <c r="D466" t="s">
        <v>18965</v>
      </c>
      <c r="E466" t="str">
        <f>"3200700607709"</f>
        <v>0</v>
      </c>
      <c r="F466" t="str">
        <f>"000570"</f>
        <v>0</v>
      </c>
      <c r="G466" t="s">
        <v>18359</v>
      </c>
    </row>
    <row r="467" spans="1:7">
      <c r="A467">
        <v>466</v>
      </c>
      <c r="B467" t="str">
        <f>"020131"</f>
        <v>0</v>
      </c>
      <c r="C467" t="s">
        <v>1781</v>
      </c>
      <c r="D467" t="s">
        <v>18966</v>
      </c>
      <c r="E467" t="str">
        <f>"3240500112421"</f>
        <v>0</v>
      </c>
      <c r="F467" t="str">
        <f>"000570"</f>
        <v>0</v>
      </c>
      <c r="G467" t="s">
        <v>18359</v>
      </c>
    </row>
    <row r="468" spans="1:7">
      <c r="A468">
        <v>467</v>
      </c>
      <c r="B468" t="str">
        <f>"020569"</f>
        <v>0</v>
      </c>
      <c r="C468" t="s">
        <v>4718</v>
      </c>
      <c r="D468" t="s">
        <v>18967</v>
      </c>
      <c r="E468" t="str">
        <f>"3730300256823"</f>
        <v>0</v>
      </c>
      <c r="F468" t="str">
        <f>"000570"</f>
        <v>0</v>
      </c>
      <c r="G468" t="s">
        <v>18359</v>
      </c>
    </row>
    <row r="469" spans="1:7">
      <c r="A469">
        <v>468</v>
      </c>
      <c r="B469" t="str">
        <f>"021309"</f>
        <v>0</v>
      </c>
      <c r="C469" t="s">
        <v>18968</v>
      </c>
      <c r="D469" t="s">
        <v>18969</v>
      </c>
      <c r="E469" t="str">
        <f>"3200900733414"</f>
        <v>0</v>
      </c>
      <c r="F469" t="str">
        <f>"000570"</f>
        <v>0</v>
      </c>
      <c r="G469" t="s">
        <v>18359</v>
      </c>
    </row>
    <row r="470" spans="1:7">
      <c r="A470">
        <v>469</v>
      </c>
      <c r="B470" t="str">
        <f>"026047"</f>
        <v>0</v>
      </c>
      <c r="C470" t="s">
        <v>18970</v>
      </c>
      <c r="D470" t="s">
        <v>18971</v>
      </c>
      <c r="E470" t="str">
        <f>"3200200556994"</f>
        <v>0</v>
      </c>
      <c r="F470" t="str">
        <f>"000570"</f>
        <v>0</v>
      </c>
      <c r="G470" t="s">
        <v>18359</v>
      </c>
    </row>
    <row r="471" spans="1:7">
      <c r="A471">
        <v>470</v>
      </c>
      <c r="B471" t="str">
        <f>"002627"</f>
        <v>0</v>
      </c>
      <c r="C471" t="s">
        <v>18972</v>
      </c>
      <c r="D471" t="s">
        <v>18973</v>
      </c>
      <c r="E471" t="str">
        <f>"3180100229755"</f>
        <v>0</v>
      </c>
      <c r="F471" t="str">
        <f>"000610"</f>
        <v>0</v>
      </c>
      <c r="G471" t="s">
        <v>18359</v>
      </c>
    </row>
    <row r="472" spans="1:7">
      <c r="A472">
        <v>471</v>
      </c>
      <c r="B472" t="str">
        <f>"002632"</f>
        <v>0</v>
      </c>
      <c r="C472" t="s">
        <v>11710</v>
      </c>
      <c r="D472" t="s">
        <v>18974</v>
      </c>
      <c r="E472" t="str">
        <f>"3180100088647"</f>
        <v>0</v>
      </c>
      <c r="F472" t="str">
        <f>"000610"</f>
        <v>0</v>
      </c>
      <c r="G472" t="s">
        <v>18359</v>
      </c>
    </row>
    <row r="473" spans="1:7">
      <c r="A473">
        <v>472</v>
      </c>
      <c r="B473" t="str">
        <f>"003946"</f>
        <v>0</v>
      </c>
      <c r="C473" t="s">
        <v>2241</v>
      </c>
      <c r="D473" t="s">
        <v>18975</v>
      </c>
      <c r="E473" t="str">
        <f>"3180500059539"</f>
        <v>0</v>
      </c>
      <c r="F473" t="str">
        <f>"000610"</f>
        <v>0</v>
      </c>
      <c r="G473" t="s">
        <v>18359</v>
      </c>
    </row>
    <row r="474" spans="1:7">
      <c r="A474">
        <v>473</v>
      </c>
      <c r="B474" t="str">
        <f>"013089"</f>
        <v>0</v>
      </c>
      <c r="C474" t="s">
        <v>18976</v>
      </c>
      <c r="D474" t="s">
        <v>18977</v>
      </c>
      <c r="E474" t="str">
        <f>"3601200412736"</f>
        <v>0</v>
      </c>
      <c r="F474" t="str">
        <f>"000610"</f>
        <v>0</v>
      </c>
      <c r="G474" t="s">
        <v>18359</v>
      </c>
    </row>
    <row r="475" spans="1:7">
      <c r="A475">
        <v>474</v>
      </c>
      <c r="B475" t="str">
        <f>"014789"</f>
        <v>0</v>
      </c>
      <c r="C475" t="s">
        <v>4059</v>
      </c>
      <c r="D475" t="s">
        <v>4129</v>
      </c>
      <c r="E475" t="str">
        <f>"3180100532393"</f>
        <v>0</v>
      </c>
      <c r="F475" t="str">
        <f>"000610"</f>
        <v>0</v>
      </c>
      <c r="G475" t="s">
        <v>18359</v>
      </c>
    </row>
    <row r="476" spans="1:7">
      <c r="A476">
        <v>475</v>
      </c>
      <c r="B476" t="str">
        <f>"015073"</f>
        <v>0</v>
      </c>
      <c r="C476" t="s">
        <v>3082</v>
      </c>
      <c r="D476" t="s">
        <v>18978</v>
      </c>
      <c r="E476" t="str">
        <f>"3180400372979"</f>
        <v>0</v>
      </c>
      <c r="F476" t="str">
        <f>"000610"</f>
        <v>0</v>
      </c>
      <c r="G476" t="s">
        <v>18359</v>
      </c>
    </row>
    <row r="477" spans="1:7">
      <c r="A477">
        <v>476</v>
      </c>
      <c r="B477" t="str">
        <f>"023189"</f>
        <v>0</v>
      </c>
      <c r="C477" t="s">
        <v>6998</v>
      </c>
      <c r="D477" t="s">
        <v>18979</v>
      </c>
      <c r="E477" t="str">
        <f>"3180500315705"</f>
        <v>0</v>
      </c>
      <c r="F477" t="str">
        <f>"000610"</f>
        <v>0</v>
      </c>
      <c r="G477" t="s">
        <v>18359</v>
      </c>
    </row>
    <row r="478" spans="1:7">
      <c r="A478">
        <v>477</v>
      </c>
      <c r="B478" t="str">
        <f>"012703"</f>
        <v>0</v>
      </c>
      <c r="C478" t="s">
        <v>4651</v>
      </c>
      <c r="D478" t="s">
        <v>17528</v>
      </c>
      <c r="E478" t="str">
        <f>"3180100221550"</f>
        <v>0</v>
      </c>
      <c r="F478" t="str">
        <f>"000610"</f>
        <v>0</v>
      </c>
      <c r="G478" t="s">
        <v>18359</v>
      </c>
    </row>
    <row r="479" spans="1:7">
      <c r="A479">
        <v>478</v>
      </c>
      <c r="B479" t="str">
        <f>"012704"</f>
        <v>0</v>
      </c>
      <c r="C479" t="s">
        <v>14053</v>
      </c>
      <c r="D479" t="s">
        <v>18980</v>
      </c>
      <c r="E479" t="str">
        <f>"3180400238725"</f>
        <v>0</v>
      </c>
      <c r="F479" t="str">
        <f>"000610"</f>
        <v>0</v>
      </c>
      <c r="G479" t="s">
        <v>18359</v>
      </c>
    </row>
    <row r="480" spans="1:7">
      <c r="A480">
        <v>479</v>
      </c>
      <c r="B480" t="str">
        <f>"016936"</f>
        <v>0</v>
      </c>
      <c r="C480" t="s">
        <v>878</v>
      </c>
      <c r="D480" t="s">
        <v>18981</v>
      </c>
      <c r="E480" t="str">
        <f>"3180100086024"</f>
        <v>0</v>
      </c>
      <c r="F480" t="str">
        <f>"000610"</f>
        <v>0</v>
      </c>
      <c r="G480" t="s">
        <v>18359</v>
      </c>
    </row>
    <row r="481" spans="1:7">
      <c r="A481">
        <v>480</v>
      </c>
      <c r="B481" t="str">
        <f>"017119"</f>
        <v>0</v>
      </c>
      <c r="C481" t="s">
        <v>3894</v>
      </c>
      <c r="D481" t="s">
        <v>18982</v>
      </c>
      <c r="E481" t="str">
        <f>"3180400410404"</f>
        <v>0</v>
      </c>
      <c r="F481" t="str">
        <f>"000610"</f>
        <v>0</v>
      </c>
      <c r="G481" t="s">
        <v>18359</v>
      </c>
    </row>
    <row r="482" spans="1:7">
      <c r="A482">
        <v>481</v>
      </c>
      <c r="B482" t="str">
        <f>"019286"</f>
        <v>0</v>
      </c>
      <c r="C482" t="s">
        <v>2014</v>
      </c>
      <c r="D482" t="s">
        <v>18983</v>
      </c>
      <c r="E482" t="str">
        <f>"3189900156971"</f>
        <v>0</v>
      </c>
      <c r="F482" t="str">
        <f>"000610"</f>
        <v>0</v>
      </c>
      <c r="G482" t="s">
        <v>18359</v>
      </c>
    </row>
    <row r="483" spans="1:7">
      <c r="A483">
        <v>482</v>
      </c>
      <c r="B483" t="str">
        <f>"022276"</f>
        <v>0</v>
      </c>
      <c r="C483" t="s">
        <v>18984</v>
      </c>
      <c r="D483" t="s">
        <v>18985</v>
      </c>
      <c r="E483" t="str">
        <f>"3180400388085"</f>
        <v>0</v>
      </c>
      <c r="F483" t="str">
        <f>"000610"</f>
        <v>0</v>
      </c>
      <c r="G483" t="s">
        <v>18359</v>
      </c>
    </row>
    <row r="484" spans="1:7">
      <c r="A484">
        <v>483</v>
      </c>
      <c r="B484" t="str">
        <f>"024820"</f>
        <v>0</v>
      </c>
      <c r="C484" t="s">
        <v>3171</v>
      </c>
      <c r="D484" t="s">
        <v>18986</v>
      </c>
      <c r="E484" t="str">
        <f>"3570300672497"</f>
        <v>0</v>
      </c>
      <c r="F484" t="str">
        <f>"000610"</f>
        <v>0</v>
      </c>
      <c r="G484" t="s">
        <v>18359</v>
      </c>
    </row>
    <row r="485" spans="1:7">
      <c r="A485">
        <v>484</v>
      </c>
      <c r="B485" t="str">
        <f>"026308"</f>
        <v>0</v>
      </c>
      <c r="C485" t="s">
        <v>18987</v>
      </c>
      <c r="D485" t="s">
        <v>4155</v>
      </c>
      <c r="E485" t="str">
        <f>"1100701211129"</f>
        <v>0</v>
      </c>
      <c r="F485" t="str">
        <f>"000610"</f>
        <v>0</v>
      </c>
      <c r="G485" t="s">
        <v>18359</v>
      </c>
    </row>
    <row r="486" spans="1:7">
      <c r="A486">
        <v>485</v>
      </c>
      <c r="B486" t="str">
        <f>"022306"</f>
        <v>0</v>
      </c>
      <c r="C486" t="s">
        <v>5667</v>
      </c>
      <c r="D486" t="s">
        <v>18988</v>
      </c>
      <c r="E486" t="str">
        <f>"1549900017432"</f>
        <v>0</v>
      </c>
      <c r="F486" t="str">
        <f>"000610"</f>
        <v>0</v>
      </c>
      <c r="G486" t="s">
        <v>18359</v>
      </c>
    </row>
    <row r="487" spans="1:7">
      <c r="A487">
        <v>486</v>
      </c>
      <c r="B487" t="str">
        <f>"013422"</f>
        <v>0</v>
      </c>
      <c r="C487" t="s">
        <v>482</v>
      </c>
      <c r="D487" t="s">
        <v>18989</v>
      </c>
      <c r="E487" t="str">
        <f>"3170200057239"</f>
        <v>0</v>
      </c>
      <c r="F487" t="str">
        <f>"000610"</f>
        <v>0</v>
      </c>
      <c r="G487" t="s">
        <v>18359</v>
      </c>
    </row>
    <row r="488" spans="1:7">
      <c r="A488">
        <v>487</v>
      </c>
      <c r="B488" t="str">
        <f>"010523"</f>
        <v>0</v>
      </c>
      <c r="C488" t="s">
        <v>2216</v>
      </c>
      <c r="D488" t="s">
        <v>18990</v>
      </c>
      <c r="E488" t="str">
        <f>"3180100402732"</f>
        <v>0</v>
      </c>
      <c r="F488" t="str">
        <f>"000610"</f>
        <v>0</v>
      </c>
      <c r="G488" t="s">
        <v>18359</v>
      </c>
    </row>
    <row r="489" spans="1:7">
      <c r="A489">
        <v>488</v>
      </c>
      <c r="B489" t="str">
        <f>"010606"</f>
        <v>0</v>
      </c>
      <c r="C489" t="s">
        <v>587</v>
      </c>
      <c r="D489" t="s">
        <v>3923</v>
      </c>
      <c r="E489" t="str">
        <f>"5180499001915"</f>
        <v>0</v>
      </c>
      <c r="F489" t="str">
        <f>"000610"</f>
        <v>0</v>
      </c>
      <c r="G489" t="s">
        <v>18359</v>
      </c>
    </row>
    <row r="490" spans="1:7">
      <c r="A490">
        <v>489</v>
      </c>
      <c r="B490" t="str">
        <f>"015499"</f>
        <v>0</v>
      </c>
      <c r="C490" t="s">
        <v>18991</v>
      </c>
      <c r="D490" t="s">
        <v>18655</v>
      </c>
      <c r="E490" t="str">
        <f>"3900900407944"</f>
        <v>0</v>
      </c>
      <c r="F490" t="str">
        <f>"000610"</f>
        <v>0</v>
      </c>
      <c r="G490" t="s">
        <v>18359</v>
      </c>
    </row>
    <row r="491" spans="1:7">
      <c r="A491">
        <v>490</v>
      </c>
      <c r="B491" t="str">
        <f>"016176"</f>
        <v>0</v>
      </c>
      <c r="C491" t="s">
        <v>18992</v>
      </c>
      <c r="D491" t="s">
        <v>18993</v>
      </c>
      <c r="E491" t="str">
        <f>"3180400089355"</f>
        <v>0</v>
      </c>
      <c r="F491" t="str">
        <f>"000610"</f>
        <v>0</v>
      </c>
      <c r="G491" t="s">
        <v>18359</v>
      </c>
    </row>
    <row r="492" spans="1:7">
      <c r="A492">
        <v>491</v>
      </c>
      <c r="B492" t="str">
        <f>"020779"</f>
        <v>0</v>
      </c>
      <c r="C492" t="s">
        <v>18994</v>
      </c>
      <c r="D492" t="s">
        <v>18995</v>
      </c>
      <c r="E492" t="str">
        <f>"3180100026544"</f>
        <v>0</v>
      </c>
      <c r="F492" t="str">
        <f>"000610"</f>
        <v>0</v>
      </c>
      <c r="G492" t="s">
        <v>18359</v>
      </c>
    </row>
    <row r="493" spans="1:7">
      <c r="A493">
        <v>492</v>
      </c>
      <c r="B493" t="str">
        <f>"020960"</f>
        <v>0</v>
      </c>
      <c r="C493" t="s">
        <v>18996</v>
      </c>
      <c r="D493" t="s">
        <v>15680</v>
      </c>
      <c r="E493" t="str">
        <f>"3189900104025"</f>
        <v>0</v>
      </c>
      <c r="F493" t="str">
        <f>"000610"</f>
        <v>0</v>
      </c>
      <c r="G493" t="s">
        <v>18359</v>
      </c>
    </row>
    <row r="494" spans="1:7">
      <c r="A494">
        <v>493</v>
      </c>
      <c r="B494" t="str">
        <f>"021461"</f>
        <v>0</v>
      </c>
      <c r="C494" t="s">
        <v>3331</v>
      </c>
      <c r="D494" t="s">
        <v>18997</v>
      </c>
      <c r="E494" t="str">
        <f>"3180200233924"</f>
        <v>0</v>
      </c>
      <c r="F494" t="str">
        <f>"000610"</f>
        <v>0</v>
      </c>
      <c r="G494" t="s">
        <v>18359</v>
      </c>
    </row>
    <row r="495" spans="1:7">
      <c r="A495">
        <v>494</v>
      </c>
      <c r="B495" t="str">
        <f>"022611"</f>
        <v>0</v>
      </c>
      <c r="C495" t="s">
        <v>18998</v>
      </c>
      <c r="D495" t="s">
        <v>4192</v>
      </c>
      <c r="E495" t="str">
        <f>"3189900046092"</f>
        <v>0</v>
      </c>
      <c r="F495" t="str">
        <f>"000610"</f>
        <v>0</v>
      </c>
      <c r="G495" t="s">
        <v>18359</v>
      </c>
    </row>
    <row r="496" spans="1:7">
      <c r="A496">
        <v>495</v>
      </c>
      <c r="B496" t="str">
        <f>"022995"</f>
        <v>0</v>
      </c>
      <c r="C496" t="s">
        <v>7975</v>
      </c>
      <c r="D496" t="s">
        <v>18999</v>
      </c>
      <c r="E496" t="str">
        <f>"1189900008879"</f>
        <v>0</v>
      </c>
      <c r="F496" t="str">
        <f>"000610"</f>
        <v>0</v>
      </c>
      <c r="G496" t="s">
        <v>18359</v>
      </c>
    </row>
    <row r="497" spans="1:7">
      <c r="A497">
        <v>496</v>
      </c>
      <c r="B497" t="str">
        <f>"026021"</f>
        <v>0</v>
      </c>
      <c r="C497" t="s">
        <v>3620</v>
      </c>
      <c r="D497" t="s">
        <v>19000</v>
      </c>
      <c r="E497" t="str">
        <f>"1170600102243"</f>
        <v>0</v>
      </c>
      <c r="F497" t="str">
        <f>"000610"</f>
        <v>0</v>
      </c>
      <c r="G497" t="s">
        <v>18359</v>
      </c>
    </row>
    <row r="498" spans="1:7">
      <c r="A498">
        <v>497</v>
      </c>
      <c r="B498" t="str">
        <f>"026107"</f>
        <v>0</v>
      </c>
      <c r="C498" t="s">
        <v>19001</v>
      </c>
      <c r="D498" t="s">
        <v>19002</v>
      </c>
      <c r="E498" t="str">
        <f>"3100900573108"</f>
        <v>0</v>
      </c>
      <c r="F498" t="str">
        <f>"000610"</f>
        <v>0</v>
      </c>
      <c r="G498" t="s">
        <v>18359</v>
      </c>
    </row>
    <row r="499" spans="1:7">
      <c r="A499">
        <v>498</v>
      </c>
      <c r="B499" t="str">
        <f>"017776"</f>
        <v>0</v>
      </c>
      <c r="C499" t="s">
        <v>4039</v>
      </c>
      <c r="D499" t="s">
        <v>19003</v>
      </c>
      <c r="E499" t="str">
        <f>"3170100138610"</f>
        <v>0</v>
      </c>
      <c r="F499" t="str">
        <f>"000610"</f>
        <v>0</v>
      </c>
      <c r="G499" t="s">
        <v>18359</v>
      </c>
    </row>
    <row r="500" spans="1:7">
      <c r="A500">
        <v>499</v>
      </c>
      <c r="B500" t="str">
        <f>"016052"</f>
        <v>0</v>
      </c>
      <c r="C500" t="s">
        <v>8726</v>
      </c>
      <c r="D500" t="s">
        <v>19004</v>
      </c>
      <c r="E500" t="str">
        <f>"3610400068795"</f>
        <v>0</v>
      </c>
      <c r="F500" t="str">
        <f>"000610"</f>
        <v>0</v>
      </c>
      <c r="G500" t="s">
        <v>18359</v>
      </c>
    </row>
    <row r="501" spans="1:7">
      <c r="A501">
        <v>500</v>
      </c>
      <c r="B501" t="str">
        <f>"017773"</f>
        <v>0</v>
      </c>
      <c r="C501" t="s">
        <v>7140</v>
      </c>
      <c r="D501" t="s">
        <v>19005</v>
      </c>
      <c r="E501" t="str">
        <f>"3101600986149"</f>
        <v>0</v>
      </c>
      <c r="F501" t="str">
        <f>"000610"</f>
        <v>0</v>
      </c>
      <c r="G501" t="s">
        <v>18359</v>
      </c>
    </row>
    <row r="502" spans="1:7">
      <c r="A502">
        <v>501</v>
      </c>
      <c r="B502" t="str">
        <f>"022158"</f>
        <v>0</v>
      </c>
      <c r="C502" t="s">
        <v>19006</v>
      </c>
      <c r="D502" t="s">
        <v>19007</v>
      </c>
      <c r="E502" t="str">
        <f>"3190900333701"</f>
        <v>0</v>
      </c>
      <c r="F502" t="str">
        <f>"000610"</f>
        <v>0</v>
      </c>
      <c r="G502" t="s">
        <v>18359</v>
      </c>
    </row>
    <row r="503" spans="1:7">
      <c r="A503">
        <v>502</v>
      </c>
      <c r="B503" t="str">
        <f>"023320"</f>
        <v>0</v>
      </c>
      <c r="C503" t="s">
        <v>19008</v>
      </c>
      <c r="D503" t="s">
        <v>19009</v>
      </c>
      <c r="E503" t="str">
        <f>"1600100090373"</f>
        <v>0</v>
      </c>
      <c r="F503" t="str">
        <f>"000610"</f>
        <v>0</v>
      </c>
      <c r="G503" t="s">
        <v>18359</v>
      </c>
    </row>
    <row r="504" spans="1:7">
      <c r="A504">
        <v>503</v>
      </c>
      <c r="B504" t="str">
        <f>"021989"</f>
        <v>0</v>
      </c>
      <c r="C504" t="s">
        <v>19010</v>
      </c>
      <c r="D504" t="s">
        <v>19011</v>
      </c>
      <c r="E504" t="str">
        <f>"3610400419687"</f>
        <v>0</v>
      </c>
      <c r="F504" t="str">
        <f>"000610"</f>
        <v>0</v>
      </c>
      <c r="G504" t="s">
        <v>18359</v>
      </c>
    </row>
    <row r="505" spans="1:7">
      <c r="A505">
        <v>504</v>
      </c>
      <c r="B505" t="str">
        <f>"015539"</f>
        <v>0</v>
      </c>
      <c r="C505" t="s">
        <v>314</v>
      </c>
      <c r="D505" t="s">
        <v>18977</v>
      </c>
      <c r="E505" t="str">
        <f>"3800200247651"</f>
        <v>0</v>
      </c>
      <c r="F505" t="str">
        <f>"000610"</f>
        <v>0</v>
      </c>
      <c r="G505" t="s">
        <v>18359</v>
      </c>
    </row>
    <row r="506" spans="1:7">
      <c r="A506">
        <v>505</v>
      </c>
      <c r="B506" t="str">
        <f>"017878"</f>
        <v>0</v>
      </c>
      <c r="C506" t="s">
        <v>7552</v>
      </c>
      <c r="D506" t="s">
        <v>16123</v>
      </c>
      <c r="E506" t="str">
        <f>"3179900030498"</f>
        <v>0</v>
      </c>
      <c r="F506" t="str">
        <f>"000610"</f>
        <v>0</v>
      </c>
      <c r="G506" t="s">
        <v>18359</v>
      </c>
    </row>
    <row r="507" spans="1:7">
      <c r="A507">
        <v>506</v>
      </c>
      <c r="B507" t="str">
        <f>"025532"</f>
        <v>0</v>
      </c>
      <c r="C507" t="s">
        <v>19012</v>
      </c>
      <c r="D507" t="s">
        <v>19013</v>
      </c>
      <c r="E507" t="str">
        <f>"1179900158196"</f>
        <v>0</v>
      </c>
      <c r="F507" t="str">
        <f>"000610"</f>
        <v>0</v>
      </c>
      <c r="G507" t="s">
        <v>18359</v>
      </c>
    </row>
    <row r="508" spans="1:7">
      <c r="A508">
        <v>507</v>
      </c>
      <c r="B508" t="str">
        <f>"022424"</f>
        <v>0</v>
      </c>
      <c r="C508" t="s">
        <v>5629</v>
      </c>
      <c r="D508" t="s">
        <v>19014</v>
      </c>
      <c r="E508" t="str">
        <f>"3180100440740"</f>
        <v>0</v>
      </c>
      <c r="F508" t="str">
        <f>"000610"</f>
        <v>0</v>
      </c>
      <c r="G508" t="s">
        <v>18359</v>
      </c>
    </row>
    <row r="509" spans="1:7">
      <c r="A509">
        <v>508</v>
      </c>
      <c r="B509" t="str">
        <f>"025531"</f>
        <v>0</v>
      </c>
      <c r="C509" t="s">
        <v>19015</v>
      </c>
      <c r="D509" t="s">
        <v>19016</v>
      </c>
      <c r="E509" t="str">
        <f>"3480500343234"</f>
        <v>0</v>
      </c>
      <c r="F509" t="str">
        <f>"000610"</f>
        <v>0</v>
      </c>
      <c r="G509" t="s">
        <v>18359</v>
      </c>
    </row>
    <row r="510" spans="1:7">
      <c r="A510">
        <v>509</v>
      </c>
      <c r="B510" t="str">
        <f>"021051"</f>
        <v>0</v>
      </c>
      <c r="C510" t="s">
        <v>279</v>
      </c>
      <c r="D510" t="s">
        <v>19017</v>
      </c>
      <c r="E510" t="str">
        <f>"3600700776507"</f>
        <v>0</v>
      </c>
      <c r="F510" t="str">
        <f>"000610"</f>
        <v>0</v>
      </c>
      <c r="G510" t="s">
        <v>18359</v>
      </c>
    </row>
    <row r="511" spans="1:7">
      <c r="A511">
        <v>510</v>
      </c>
      <c r="B511" t="str">
        <f>"026160"</f>
        <v>0</v>
      </c>
      <c r="C511" t="s">
        <v>16388</v>
      </c>
      <c r="D511" t="s">
        <v>19018</v>
      </c>
      <c r="E511" t="str">
        <f>"1600100282299"</f>
        <v>0</v>
      </c>
      <c r="F511" t="str">
        <f>"000610"</f>
        <v>0</v>
      </c>
      <c r="G511" t="s">
        <v>18359</v>
      </c>
    </row>
    <row r="512" spans="1:7">
      <c r="A512">
        <v>511</v>
      </c>
      <c r="B512" t="str">
        <f>"005073"</f>
        <v>0</v>
      </c>
      <c r="C512" t="s">
        <v>19019</v>
      </c>
      <c r="D512" t="s">
        <v>19020</v>
      </c>
      <c r="E512" t="str">
        <f>"3360400237476"</f>
        <v>0</v>
      </c>
      <c r="F512" t="str">
        <f>"000650"</f>
        <v>0</v>
      </c>
      <c r="G512" t="s">
        <v>18359</v>
      </c>
    </row>
    <row r="513" spans="1:7">
      <c r="A513">
        <v>512</v>
      </c>
      <c r="B513" t="str">
        <f>"006968"</f>
        <v>0</v>
      </c>
      <c r="C513" t="s">
        <v>2305</v>
      </c>
      <c r="D513" t="s">
        <v>16232</v>
      </c>
      <c r="E513" t="str">
        <f>"3460800159463"</f>
        <v>0</v>
      </c>
      <c r="F513" t="str">
        <f>"000650"</f>
        <v>0</v>
      </c>
      <c r="G513" t="s">
        <v>18359</v>
      </c>
    </row>
    <row r="514" spans="1:7">
      <c r="A514">
        <v>513</v>
      </c>
      <c r="B514" t="str">
        <f>"011130"</f>
        <v>0</v>
      </c>
      <c r="C514" t="s">
        <v>19021</v>
      </c>
      <c r="D514" t="s">
        <v>19022</v>
      </c>
      <c r="E514" t="str">
        <f>"3300800140411"</f>
        <v>0</v>
      </c>
      <c r="F514" t="str">
        <f>"000650"</f>
        <v>0</v>
      </c>
      <c r="G514" t="s">
        <v>18359</v>
      </c>
    </row>
    <row r="515" spans="1:7">
      <c r="A515">
        <v>514</v>
      </c>
      <c r="B515" t="str">
        <f>"014241"</f>
        <v>0</v>
      </c>
      <c r="C515" t="s">
        <v>1944</v>
      </c>
      <c r="D515" t="s">
        <v>4353</v>
      </c>
      <c r="E515" t="str">
        <f>"3360500637905"</f>
        <v>0</v>
      </c>
      <c r="F515" t="str">
        <f>"000650"</f>
        <v>0</v>
      </c>
      <c r="G515" t="s">
        <v>18359</v>
      </c>
    </row>
    <row r="516" spans="1:7">
      <c r="A516">
        <v>515</v>
      </c>
      <c r="B516" t="str">
        <f>"014996"</f>
        <v>0</v>
      </c>
      <c r="C516" t="s">
        <v>19023</v>
      </c>
      <c r="D516" t="s">
        <v>19024</v>
      </c>
      <c r="E516" t="str">
        <f>"3360600622837"</f>
        <v>0</v>
      </c>
      <c r="F516" t="str">
        <f>"000650"</f>
        <v>0</v>
      </c>
      <c r="G516" t="s">
        <v>18359</v>
      </c>
    </row>
    <row r="517" spans="1:7">
      <c r="A517">
        <v>516</v>
      </c>
      <c r="B517" t="str">
        <f>"016966"</f>
        <v>0</v>
      </c>
      <c r="C517" t="s">
        <v>13317</v>
      </c>
      <c r="D517" t="s">
        <v>19025</v>
      </c>
      <c r="E517" t="str">
        <f>"3360700010531"</f>
        <v>0</v>
      </c>
      <c r="F517" t="str">
        <f>"000650"</f>
        <v>0</v>
      </c>
      <c r="G517" t="s">
        <v>18359</v>
      </c>
    </row>
    <row r="518" spans="1:7">
      <c r="A518">
        <v>517</v>
      </c>
      <c r="B518" t="str">
        <f>"017197"</f>
        <v>0</v>
      </c>
      <c r="C518" t="s">
        <v>19026</v>
      </c>
      <c r="D518" t="s">
        <v>2895</v>
      </c>
      <c r="E518" t="str">
        <f>"3301700737874"</f>
        <v>0</v>
      </c>
      <c r="F518" t="str">
        <f>"000650"</f>
        <v>0</v>
      </c>
      <c r="G518" t="s">
        <v>18359</v>
      </c>
    </row>
    <row r="519" spans="1:7">
      <c r="A519">
        <v>518</v>
      </c>
      <c r="B519" t="str">
        <f>"018074"</f>
        <v>0</v>
      </c>
      <c r="C519" t="s">
        <v>2758</v>
      </c>
      <c r="D519" t="s">
        <v>19027</v>
      </c>
      <c r="E519" t="str">
        <f>"3369900120339"</f>
        <v>0</v>
      </c>
      <c r="F519" t="str">
        <f>"000650"</f>
        <v>0</v>
      </c>
      <c r="G519" t="s">
        <v>18359</v>
      </c>
    </row>
    <row r="520" spans="1:7">
      <c r="A520">
        <v>519</v>
      </c>
      <c r="B520" t="str">
        <f>"020105"</f>
        <v>0</v>
      </c>
      <c r="C520" t="s">
        <v>19028</v>
      </c>
      <c r="D520" t="s">
        <v>19029</v>
      </c>
      <c r="E520" t="str">
        <f>"3369900066717"</f>
        <v>0</v>
      </c>
      <c r="F520" t="str">
        <f>"000650"</f>
        <v>0</v>
      </c>
      <c r="G520" t="s">
        <v>18359</v>
      </c>
    </row>
    <row r="521" spans="1:7">
      <c r="A521">
        <v>520</v>
      </c>
      <c r="B521" t="str">
        <f>"024165"</f>
        <v>0</v>
      </c>
      <c r="C521" t="s">
        <v>19030</v>
      </c>
      <c r="D521" t="s">
        <v>19031</v>
      </c>
      <c r="E521" t="str">
        <f>"1300800047066"</f>
        <v>0</v>
      </c>
      <c r="F521" t="str">
        <f>"000650"</f>
        <v>0</v>
      </c>
      <c r="G521" t="s">
        <v>18359</v>
      </c>
    </row>
    <row r="522" spans="1:7">
      <c r="A522">
        <v>521</v>
      </c>
      <c r="B522" t="str">
        <f>"026962"</f>
        <v>0</v>
      </c>
      <c r="C522" t="s">
        <v>19032</v>
      </c>
      <c r="D522" t="s">
        <v>19033</v>
      </c>
      <c r="E522" t="str">
        <f>"1300600086572"</f>
        <v>0</v>
      </c>
      <c r="F522" t="str">
        <f>"000650"</f>
        <v>0</v>
      </c>
      <c r="G522" t="s">
        <v>18359</v>
      </c>
    </row>
    <row r="523" spans="1:7">
      <c r="A523">
        <v>522</v>
      </c>
      <c r="B523" t="str">
        <f>"010827"</f>
        <v>0</v>
      </c>
      <c r="C523" t="s">
        <v>148</v>
      </c>
      <c r="D523" t="s">
        <v>19034</v>
      </c>
      <c r="E523" t="str">
        <f>"3411200126778"</f>
        <v>0</v>
      </c>
      <c r="F523" t="str">
        <f>"000650"</f>
        <v>0</v>
      </c>
      <c r="G523" t="s">
        <v>18359</v>
      </c>
    </row>
    <row r="524" spans="1:7">
      <c r="A524">
        <v>523</v>
      </c>
      <c r="B524" t="str">
        <f>"015399"</f>
        <v>0</v>
      </c>
      <c r="C524" t="s">
        <v>11678</v>
      </c>
      <c r="D524" t="s">
        <v>4312</v>
      </c>
      <c r="E524" t="str">
        <f>"3360101252562"</f>
        <v>0</v>
      </c>
      <c r="F524" t="str">
        <f>"000650"</f>
        <v>0</v>
      </c>
      <c r="G524" t="s">
        <v>18359</v>
      </c>
    </row>
    <row r="525" spans="1:7">
      <c r="A525">
        <v>524</v>
      </c>
      <c r="B525" t="str">
        <f>"016589"</f>
        <v>0</v>
      </c>
      <c r="C525" t="s">
        <v>46</v>
      </c>
      <c r="D525" t="s">
        <v>19035</v>
      </c>
      <c r="E525" t="str">
        <f>"3369900130920"</f>
        <v>0</v>
      </c>
      <c r="F525" t="str">
        <f>"000650"</f>
        <v>0</v>
      </c>
      <c r="G525" t="s">
        <v>18359</v>
      </c>
    </row>
    <row r="526" spans="1:7">
      <c r="A526">
        <v>525</v>
      </c>
      <c r="B526" t="str">
        <f>"016939"</f>
        <v>0</v>
      </c>
      <c r="C526" t="s">
        <v>19036</v>
      </c>
      <c r="D526" t="s">
        <v>19037</v>
      </c>
      <c r="E526" t="str">
        <f>"3360101269023"</f>
        <v>0</v>
      </c>
      <c r="F526" t="str">
        <f>"000650"</f>
        <v>0</v>
      </c>
      <c r="G526" t="s">
        <v>18359</v>
      </c>
    </row>
    <row r="527" spans="1:7">
      <c r="A527">
        <v>526</v>
      </c>
      <c r="B527" t="str">
        <f>"017057"</f>
        <v>0</v>
      </c>
      <c r="C527" t="s">
        <v>76</v>
      </c>
      <c r="D527" t="s">
        <v>19038</v>
      </c>
      <c r="E527" t="str">
        <f>"3360600858016"</f>
        <v>0</v>
      </c>
      <c r="F527" t="str">
        <f>"000650"</f>
        <v>0</v>
      </c>
      <c r="G527" t="s">
        <v>18359</v>
      </c>
    </row>
    <row r="528" spans="1:7">
      <c r="A528">
        <v>527</v>
      </c>
      <c r="B528" t="str">
        <f>"017509"</f>
        <v>0</v>
      </c>
      <c r="C528" t="s">
        <v>881</v>
      </c>
      <c r="D528" t="s">
        <v>19039</v>
      </c>
      <c r="E528" t="str">
        <f>"3360300107341"</f>
        <v>0</v>
      </c>
      <c r="F528" t="str">
        <f>"000650"</f>
        <v>0</v>
      </c>
      <c r="G528" t="s">
        <v>18359</v>
      </c>
    </row>
    <row r="529" spans="1:7">
      <c r="A529">
        <v>528</v>
      </c>
      <c r="B529" t="str">
        <f>"017986"</f>
        <v>0</v>
      </c>
      <c r="C529" t="s">
        <v>11284</v>
      </c>
      <c r="D529" t="s">
        <v>19040</v>
      </c>
      <c r="E529" t="str">
        <f>"3360300237661"</f>
        <v>0</v>
      </c>
      <c r="F529" t="str">
        <f>"000650"</f>
        <v>0</v>
      </c>
      <c r="G529" t="s">
        <v>18359</v>
      </c>
    </row>
    <row r="530" spans="1:7">
      <c r="A530">
        <v>529</v>
      </c>
      <c r="B530" t="str">
        <f>"018486"</f>
        <v>0</v>
      </c>
      <c r="C530" t="s">
        <v>19041</v>
      </c>
      <c r="D530" t="s">
        <v>19042</v>
      </c>
      <c r="E530" t="str">
        <f>"3400400790077"</f>
        <v>0</v>
      </c>
      <c r="F530" t="str">
        <f>"000650"</f>
        <v>0</v>
      </c>
      <c r="G530" t="s">
        <v>18359</v>
      </c>
    </row>
    <row r="531" spans="1:7">
      <c r="A531">
        <v>530</v>
      </c>
      <c r="B531" t="str">
        <f>"018996"</f>
        <v>0</v>
      </c>
      <c r="C531" t="s">
        <v>9111</v>
      </c>
      <c r="D531" t="s">
        <v>19043</v>
      </c>
      <c r="E531" t="str">
        <f>"3369900030658"</f>
        <v>0</v>
      </c>
      <c r="F531" t="str">
        <f>"000650"</f>
        <v>0</v>
      </c>
      <c r="G531" t="s">
        <v>18359</v>
      </c>
    </row>
    <row r="532" spans="1:7">
      <c r="A532">
        <v>531</v>
      </c>
      <c r="B532" t="str">
        <f>"019338"</f>
        <v>0</v>
      </c>
      <c r="C532" t="s">
        <v>518</v>
      </c>
      <c r="D532" t="s">
        <v>19044</v>
      </c>
      <c r="E532" t="str">
        <f>"3360100343351"</f>
        <v>0</v>
      </c>
      <c r="F532" t="str">
        <f>"000650"</f>
        <v>0</v>
      </c>
      <c r="G532" t="s">
        <v>18359</v>
      </c>
    </row>
    <row r="533" spans="1:7">
      <c r="A533">
        <v>532</v>
      </c>
      <c r="B533" t="str">
        <f>"019420"</f>
        <v>0</v>
      </c>
      <c r="C533" t="s">
        <v>19045</v>
      </c>
      <c r="D533" t="s">
        <v>19046</v>
      </c>
      <c r="E533" t="str">
        <f>"3360200160216"</f>
        <v>0</v>
      </c>
      <c r="F533" t="str">
        <f>"000650"</f>
        <v>0</v>
      </c>
      <c r="G533" t="s">
        <v>18359</v>
      </c>
    </row>
    <row r="534" spans="1:7">
      <c r="A534">
        <v>533</v>
      </c>
      <c r="B534" t="str">
        <f>"021353"</f>
        <v>0</v>
      </c>
      <c r="C534" t="s">
        <v>330</v>
      </c>
      <c r="D534" t="s">
        <v>4436</v>
      </c>
      <c r="E534" t="str">
        <f>"3341800033208"</f>
        <v>0</v>
      </c>
      <c r="F534" t="str">
        <f>"000650"</f>
        <v>0</v>
      </c>
      <c r="G534" t="s">
        <v>18359</v>
      </c>
    </row>
    <row r="535" spans="1:7">
      <c r="A535">
        <v>534</v>
      </c>
      <c r="B535" t="str">
        <f>"021463"</f>
        <v>0</v>
      </c>
      <c r="C535" t="s">
        <v>19047</v>
      </c>
      <c r="D535" t="s">
        <v>19048</v>
      </c>
      <c r="E535" t="str">
        <f>"3360400024502"</f>
        <v>0</v>
      </c>
      <c r="F535" t="str">
        <f>"000650"</f>
        <v>0</v>
      </c>
      <c r="G535" t="s">
        <v>18359</v>
      </c>
    </row>
    <row r="536" spans="1:7">
      <c r="A536">
        <v>535</v>
      </c>
      <c r="B536" t="str">
        <f>"021969"</f>
        <v>0</v>
      </c>
      <c r="C536" t="s">
        <v>462</v>
      </c>
      <c r="D536" t="s">
        <v>19049</v>
      </c>
      <c r="E536" t="str">
        <f>"5361290010976"</f>
        <v>0</v>
      </c>
      <c r="F536" t="str">
        <f>"000650"</f>
        <v>0</v>
      </c>
      <c r="G536" t="s">
        <v>18359</v>
      </c>
    </row>
    <row r="537" spans="1:7">
      <c r="A537">
        <v>536</v>
      </c>
      <c r="B537" t="str">
        <f>"022734"</f>
        <v>0</v>
      </c>
      <c r="C537" t="s">
        <v>19050</v>
      </c>
      <c r="D537" t="s">
        <v>19051</v>
      </c>
      <c r="E537" t="str">
        <f>"3360101475154"</f>
        <v>0</v>
      </c>
      <c r="F537" t="str">
        <f>"000650"</f>
        <v>0</v>
      </c>
      <c r="G537" t="s">
        <v>18359</v>
      </c>
    </row>
    <row r="538" spans="1:7">
      <c r="A538">
        <v>537</v>
      </c>
      <c r="B538" t="str">
        <f>"025679"</f>
        <v>0</v>
      </c>
      <c r="C538" t="s">
        <v>19052</v>
      </c>
      <c r="D538" t="s">
        <v>19053</v>
      </c>
      <c r="E538" t="str">
        <f>"1360500160452"</f>
        <v>0</v>
      </c>
      <c r="F538" t="str">
        <f>"000650"</f>
        <v>0</v>
      </c>
      <c r="G538" t="s">
        <v>18359</v>
      </c>
    </row>
    <row r="539" spans="1:7">
      <c r="A539">
        <v>538</v>
      </c>
      <c r="B539" t="str">
        <f>"026566"</f>
        <v>0</v>
      </c>
      <c r="C539" t="s">
        <v>19054</v>
      </c>
      <c r="D539" t="s">
        <v>19055</v>
      </c>
      <c r="E539" t="str">
        <f>"1369900193348"</f>
        <v>0</v>
      </c>
      <c r="F539" t="str">
        <f>"000650"</f>
        <v>0</v>
      </c>
      <c r="G539" t="s">
        <v>18359</v>
      </c>
    </row>
    <row r="540" spans="1:7">
      <c r="A540">
        <v>539</v>
      </c>
      <c r="B540" t="str">
        <f>"002484"</f>
        <v>0</v>
      </c>
      <c r="C540" t="s">
        <v>403</v>
      </c>
      <c r="D540" t="s">
        <v>19056</v>
      </c>
      <c r="E540" t="str">
        <f>"3709900384073"</f>
        <v>0</v>
      </c>
      <c r="F540" t="str">
        <f>"000680"</f>
        <v>0</v>
      </c>
      <c r="G540" t="s">
        <v>18359</v>
      </c>
    </row>
    <row r="541" spans="1:7">
      <c r="A541">
        <v>540</v>
      </c>
      <c r="B541" t="str">
        <f>"004780"</f>
        <v>0</v>
      </c>
      <c r="C541" t="s">
        <v>429</v>
      </c>
      <c r="D541" t="s">
        <v>4594</v>
      </c>
      <c r="E541" t="str">
        <f>"3770400311893"</f>
        <v>0</v>
      </c>
      <c r="F541" t="str">
        <f>"000680"</f>
        <v>0</v>
      </c>
      <c r="G541" t="s">
        <v>18359</v>
      </c>
    </row>
    <row r="542" spans="1:7">
      <c r="A542">
        <v>541</v>
      </c>
      <c r="B542" t="str">
        <f>"004898"</f>
        <v>0</v>
      </c>
      <c r="C542" t="s">
        <v>887</v>
      </c>
      <c r="D542" t="s">
        <v>19057</v>
      </c>
      <c r="E542" t="str">
        <f>"3860600024757"</f>
        <v>0</v>
      </c>
      <c r="F542" t="str">
        <f>"000680"</f>
        <v>0</v>
      </c>
      <c r="G542" t="s">
        <v>18359</v>
      </c>
    </row>
    <row r="543" spans="1:7">
      <c r="A543">
        <v>542</v>
      </c>
      <c r="B543" t="str">
        <f>"005325"</f>
        <v>0</v>
      </c>
      <c r="C543" t="s">
        <v>460</v>
      </c>
      <c r="D543" t="s">
        <v>19058</v>
      </c>
      <c r="E543" t="str">
        <f>"3860100267685"</f>
        <v>0</v>
      </c>
      <c r="F543" t="str">
        <f>"000680"</f>
        <v>0</v>
      </c>
      <c r="G543" t="s">
        <v>18359</v>
      </c>
    </row>
    <row r="544" spans="1:7">
      <c r="A544">
        <v>543</v>
      </c>
      <c r="B544" t="str">
        <f>"007134"</f>
        <v>0</v>
      </c>
      <c r="C544" t="s">
        <v>433</v>
      </c>
      <c r="D544" t="s">
        <v>19059</v>
      </c>
      <c r="E544" t="str">
        <f>"3860200119718"</f>
        <v>0</v>
      </c>
      <c r="F544" t="str">
        <f>"000680"</f>
        <v>0</v>
      </c>
      <c r="G544" t="s">
        <v>18359</v>
      </c>
    </row>
    <row r="545" spans="1:7">
      <c r="A545">
        <v>544</v>
      </c>
      <c r="B545" t="str">
        <f>"008840"</f>
        <v>0</v>
      </c>
      <c r="C545" t="s">
        <v>587</v>
      </c>
      <c r="D545" t="s">
        <v>19060</v>
      </c>
      <c r="E545" t="str">
        <f>"3249800043686"</f>
        <v>0</v>
      </c>
      <c r="F545" t="str">
        <f>"000680"</f>
        <v>0</v>
      </c>
      <c r="G545" t="s">
        <v>18359</v>
      </c>
    </row>
    <row r="546" spans="1:7">
      <c r="A546">
        <v>545</v>
      </c>
      <c r="B546" t="str">
        <f>"009441"</f>
        <v>0</v>
      </c>
      <c r="C546" t="s">
        <v>832</v>
      </c>
      <c r="D546" t="s">
        <v>13781</v>
      </c>
      <c r="E546" t="str">
        <f>"3860300037608"</f>
        <v>0</v>
      </c>
      <c r="F546" t="str">
        <f>"000680"</f>
        <v>0</v>
      </c>
      <c r="G546" t="s">
        <v>18359</v>
      </c>
    </row>
    <row r="547" spans="1:7">
      <c r="A547">
        <v>546</v>
      </c>
      <c r="B547" t="str">
        <f>"011378"</f>
        <v>0</v>
      </c>
      <c r="C547" t="s">
        <v>19061</v>
      </c>
      <c r="D547" t="s">
        <v>4730</v>
      </c>
      <c r="E547" t="str">
        <f>"5770600010435"</f>
        <v>0</v>
      </c>
      <c r="F547" t="str">
        <f>"000680"</f>
        <v>0</v>
      </c>
      <c r="G547" t="s">
        <v>18359</v>
      </c>
    </row>
    <row r="548" spans="1:7">
      <c r="A548">
        <v>547</v>
      </c>
      <c r="B548" t="str">
        <f>"013186"</f>
        <v>0</v>
      </c>
      <c r="C548" t="s">
        <v>8081</v>
      </c>
      <c r="D548" t="s">
        <v>19062</v>
      </c>
      <c r="E548" t="str">
        <f>"3100200371243"</f>
        <v>0</v>
      </c>
      <c r="F548" t="str">
        <f>"000680"</f>
        <v>0</v>
      </c>
      <c r="G548" t="s">
        <v>18359</v>
      </c>
    </row>
    <row r="549" spans="1:7">
      <c r="A549">
        <v>548</v>
      </c>
      <c r="B549" t="str">
        <f>"013376"</f>
        <v>0</v>
      </c>
      <c r="C549" t="s">
        <v>19063</v>
      </c>
      <c r="D549" t="s">
        <v>2390</v>
      </c>
      <c r="E549" t="str">
        <f>"5860400010350"</f>
        <v>0</v>
      </c>
      <c r="F549" t="str">
        <f>"000680"</f>
        <v>0</v>
      </c>
      <c r="G549" t="s">
        <v>18359</v>
      </c>
    </row>
    <row r="550" spans="1:7">
      <c r="A550">
        <v>549</v>
      </c>
      <c r="B550" t="str">
        <f>"014895"</f>
        <v>0</v>
      </c>
      <c r="C550" t="s">
        <v>5261</v>
      </c>
      <c r="D550" t="s">
        <v>19064</v>
      </c>
      <c r="E550" t="str">
        <f>"3900100369291"</f>
        <v>0</v>
      </c>
      <c r="F550" t="str">
        <f>"000680"</f>
        <v>0</v>
      </c>
      <c r="G550" t="s">
        <v>18359</v>
      </c>
    </row>
    <row r="551" spans="1:7">
      <c r="A551">
        <v>550</v>
      </c>
      <c r="B551" t="str">
        <f>"015788"</f>
        <v>0</v>
      </c>
      <c r="C551" t="s">
        <v>130</v>
      </c>
      <c r="D551" t="s">
        <v>7336</v>
      </c>
      <c r="E551" t="str">
        <f>"3860700027111"</f>
        <v>0</v>
      </c>
      <c r="F551" t="str">
        <f>"000680"</f>
        <v>0</v>
      </c>
      <c r="G551" t="s">
        <v>18359</v>
      </c>
    </row>
    <row r="552" spans="1:7">
      <c r="A552">
        <v>551</v>
      </c>
      <c r="B552" t="str">
        <f>"018932"</f>
        <v>0</v>
      </c>
      <c r="C552" t="s">
        <v>19065</v>
      </c>
      <c r="D552" t="s">
        <v>4601</v>
      </c>
      <c r="E552" t="str">
        <f>"3860600023521"</f>
        <v>0</v>
      </c>
      <c r="F552" t="str">
        <f>"000680"</f>
        <v>0</v>
      </c>
      <c r="G552" t="s">
        <v>18359</v>
      </c>
    </row>
    <row r="553" spans="1:7">
      <c r="A553">
        <v>552</v>
      </c>
      <c r="B553" t="str">
        <f>"021019"</f>
        <v>0</v>
      </c>
      <c r="C553" t="s">
        <v>2298</v>
      </c>
      <c r="D553" t="s">
        <v>19066</v>
      </c>
      <c r="E553" t="str">
        <f>"3860200005526"</f>
        <v>0</v>
      </c>
      <c r="F553" t="str">
        <f>"000680"</f>
        <v>0</v>
      </c>
      <c r="G553" t="s">
        <v>18359</v>
      </c>
    </row>
    <row r="554" spans="1:7">
      <c r="A554">
        <v>553</v>
      </c>
      <c r="B554" t="str">
        <f>"022475"</f>
        <v>0</v>
      </c>
      <c r="C554" t="s">
        <v>44</v>
      </c>
      <c r="D554" t="s">
        <v>19067</v>
      </c>
      <c r="E554" t="str">
        <f>"3800900119192"</f>
        <v>0</v>
      </c>
      <c r="F554" t="str">
        <f>"000680"</f>
        <v>0</v>
      </c>
      <c r="G554" t="s">
        <v>18359</v>
      </c>
    </row>
    <row r="555" spans="1:7">
      <c r="A555">
        <v>554</v>
      </c>
      <c r="B555" t="str">
        <f>"007520"</f>
        <v>0</v>
      </c>
      <c r="C555" t="s">
        <v>19068</v>
      </c>
      <c r="D555" t="s">
        <v>19069</v>
      </c>
      <c r="E555" t="str">
        <f>"5860790000524"</f>
        <v>0</v>
      </c>
      <c r="F555" t="str">
        <f>"000680"</f>
        <v>0</v>
      </c>
      <c r="G555" t="s">
        <v>18359</v>
      </c>
    </row>
    <row r="556" spans="1:7">
      <c r="A556">
        <v>555</v>
      </c>
      <c r="B556" t="str">
        <f>"007912"</f>
        <v>0</v>
      </c>
      <c r="C556" t="s">
        <v>46</v>
      </c>
      <c r="D556" t="s">
        <v>19070</v>
      </c>
      <c r="E556" t="str">
        <f>"3869900071724"</f>
        <v>0</v>
      </c>
      <c r="F556" t="str">
        <f>"000680"</f>
        <v>0</v>
      </c>
      <c r="G556" t="s">
        <v>18359</v>
      </c>
    </row>
    <row r="557" spans="1:7">
      <c r="A557">
        <v>556</v>
      </c>
      <c r="B557" t="str">
        <f>"016726"</f>
        <v>0</v>
      </c>
      <c r="C557" t="s">
        <v>17405</v>
      </c>
      <c r="D557" t="s">
        <v>19071</v>
      </c>
      <c r="E557" t="str">
        <f>"3860700318876"</f>
        <v>0</v>
      </c>
      <c r="F557" t="str">
        <f>"000680"</f>
        <v>0</v>
      </c>
      <c r="G557" t="s">
        <v>18359</v>
      </c>
    </row>
    <row r="558" spans="1:7">
      <c r="A558">
        <v>557</v>
      </c>
      <c r="B558" t="str">
        <f>"002008"</f>
        <v>0</v>
      </c>
      <c r="C558" t="s">
        <v>1697</v>
      </c>
      <c r="D558" t="s">
        <v>19072</v>
      </c>
      <c r="E558" t="str">
        <f>"3860100352858"</f>
        <v>0</v>
      </c>
      <c r="F558" t="str">
        <f>"000680"</f>
        <v>0</v>
      </c>
      <c r="G558" t="s">
        <v>18359</v>
      </c>
    </row>
    <row r="559" spans="1:7">
      <c r="A559">
        <v>558</v>
      </c>
      <c r="B559" t="str">
        <f>"008993"</f>
        <v>0</v>
      </c>
      <c r="C559" t="s">
        <v>6206</v>
      </c>
      <c r="D559" t="s">
        <v>4580</v>
      </c>
      <c r="E559" t="str">
        <f>"3869900086071"</f>
        <v>0</v>
      </c>
      <c r="F559" t="str">
        <f>"000680"</f>
        <v>0</v>
      </c>
      <c r="G559" t="s">
        <v>18359</v>
      </c>
    </row>
    <row r="560" spans="1:7">
      <c r="A560">
        <v>559</v>
      </c>
      <c r="B560" t="str">
        <f>"014907"</f>
        <v>0</v>
      </c>
      <c r="C560" t="s">
        <v>19073</v>
      </c>
      <c r="D560" t="s">
        <v>19074</v>
      </c>
      <c r="E560" t="str">
        <f>"3860800040438"</f>
        <v>0</v>
      </c>
      <c r="F560" t="str">
        <f>"000680"</f>
        <v>0</v>
      </c>
      <c r="G560" t="s">
        <v>18359</v>
      </c>
    </row>
    <row r="561" spans="1:7">
      <c r="A561">
        <v>560</v>
      </c>
      <c r="B561" t="str">
        <f>"018589"</f>
        <v>0</v>
      </c>
      <c r="C561" t="s">
        <v>468</v>
      </c>
      <c r="D561" t="s">
        <v>19075</v>
      </c>
      <c r="E561" t="str">
        <f>"3960600331314"</f>
        <v>0</v>
      </c>
      <c r="F561" t="str">
        <f>"000680"</f>
        <v>0</v>
      </c>
      <c r="G561" t="s">
        <v>18359</v>
      </c>
    </row>
    <row r="562" spans="1:7">
      <c r="A562">
        <v>561</v>
      </c>
      <c r="B562" t="str">
        <f>"025247"</f>
        <v>0</v>
      </c>
      <c r="C562" t="s">
        <v>19076</v>
      </c>
      <c r="D562" t="s">
        <v>19077</v>
      </c>
      <c r="E562" t="str">
        <f>"3102200944806"</f>
        <v>0</v>
      </c>
      <c r="F562" t="str">
        <f>"000680"</f>
        <v>0</v>
      </c>
      <c r="G562" t="s">
        <v>18359</v>
      </c>
    </row>
    <row r="563" spans="1:7">
      <c r="A563">
        <v>562</v>
      </c>
      <c r="B563" t="str">
        <f>"020426"</f>
        <v>0</v>
      </c>
      <c r="C563" t="s">
        <v>18828</v>
      </c>
      <c r="D563" t="s">
        <v>19078</v>
      </c>
      <c r="E563" t="str">
        <f>"3110400405044"</f>
        <v>0</v>
      </c>
      <c r="F563" t="str">
        <f>"000680"</f>
        <v>0</v>
      </c>
      <c r="G563" t="s">
        <v>18359</v>
      </c>
    </row>
    <row r="564" spans="1:7">
      <c r="A564">
        <v>563</v>
      </c>
      <c r="B564" t="str">
        <f>"026318"</f>
        <v>0</v>
      </c>
      <c r="C564" t="s">
        <v>19079</v>
      </c>
      <c r="D564" t="s">
        <v>19080</v>
      </c>
      <c r="E564" t="str">
        <f>"1770200057806"</f>
        <v>0</v>
      </c>
      <c r="F564" t="str">
        <f>"000680"</f>
        <v>0</v>
      </c>
      <c r="G564" t="s">
        <v>18359</v>
      </c>
    </row>
    <row r="565" spans="1:7">
      <c r="A565">
        <v>564</v>
      </c>
      <c r="B565" t="str">
        <f>"012358"</f>
        <v>0</v>
      </c>
      <c r="C565" t="s">
        <v>338</v>
      </c>
      <c r="D565" t="s">
        <v>14275</v>
      </c>
      <c r="E565" t="str">
        <f>"3140700036648"</f>
        <v>0</v>
      </c>
      <c r="F565" t="str">
        <f>"000680"</f>
        <v>0</v>
      </c>
      <c r="G565" t="s">
        <v>18359</v>
      </c>
    </row>
    <row r="566" spans="1:7">
      <c r="A566">
        <v>565</v>
      </c>
      <c r="B566" t="str">
        <f>"021147"</f>
        <v>0</v>
      </c>
      <c r="C566" t="s">
        <v>19081</v>
      </c>
      <c r="D566" t="s">
        <v>19082</v>
      </c>
      <c r="E566" t="str">
        <f>"3860100100004"</f>
        <v>0</v>
      </c>
      <c r="F566" t="str">
        <f>"000680"</f>
        <v>0</v>
      </c>
      <c r="G566" t="s">
        <v>18359</v>
      </c>
    </row>
    <row r="567" spans="1:7">
      <c r="A567">
        <v>566</v>
      </c>
      <c r="B567" t="str">
        <f>"023200"</f>
        <v>0</v>
      </c>
      <c r="C567" t="s">
        <v>19083</v>
      </c>
      <c r="D567" t="s">
        <v>19084</v>
      </c>
      <c r="E567" t="str">
        <f>"3800500252383"</f>
        <v>0</v>
      </c>
      <c r="F567" t="str">
        <f>"000680"</f>
        <v>0</v>
      </c>
      <c r="G567" t="s">
        <v>18359</v>
      </c>
    </row>
    <row r="568" spans="1:7">
      <c r="A568">
        <v>567</v>
      </c>
      <c r="B568" t="str">
        <f>"024602"</f>
        <v>0</v>
      </c>
      <c r="C568" t="s">
        <v>4917</v>
      </c>
      <c r="D568" t="s">
        <v>19085</v>
      </c>
      <c r="E568" t="str">
        <f>"4809900002569"</f>
        <v>0</v>
      </c>
      <c r="F568" t="str">
        <f>"000680"</f>
        <v>0</v>
      </c>
      <c r="G568" t="s">
        <v>18359</v>
      </c>
    </row>
    <row r="569" spans="1:7">
      <c r="A569">
        <v>568</v>
      </c>
      <c r="B569" t="str">
        <f>"027338"</f>
        <v>0</v>
      </c>
      <c r="C569" t="s">
        <v>11136</v>
      </c>
      <c r="D569" t="s">
        <v>16820</v>
      </c>
      <c r="E569" t="str">
        <f>"1100700014231"</f>
        <v>0</v>
      </c>
      <c r="F569" t="str">
        <f>"000680"</f>
        <v>0</v>
      </c>
      <c r="G569" t="s">
        <v>18359</v>
      </c>
    </row>
    <row r="570" spans="1:7">
      <c r="A570">
        <v>569</v>
      </c>
      <c r="B570" t="str">
        <f>"013436"</f>
        <v>0</v>
      </c>
      <c r="C570" t="s">
        <v>239</v>
      </c>
      <c r="D570" t="s">
        <v>19086</v>
      </c>
      <c r="E570" t="str">
        <f>"3901200095797"</f>
        <v>0</v>
      </c>
      <c r="F570" t="str">
        <f>"000680"</f>
        <v>0</v>
      </c>
      <c r="G570" t="s">
        <v>18359</v>
      </c>
    </row>
    <row r="571" spans="1:7">
      <c r="A571">
        <v>570</v>
      </c>
      <c r="B571" t="str">
        <f>"004155"</f>
        <v>0</v>
      </c>
      <c r="C571" t="s">
        <v>686</v>
      </c>
      <c r="D571" t="s">
        <v>19087</v>
      </c>
      <c r="E571" t="str">
        <f>"3570500319693"</f>
        <v>0</v>
      </c>
      <c r="F571" t="str">
        <f>"000710"</f>
        <v>0</v>
      </c>
      <c r="G571" t="s">
        <v>18359</v>
      </c>
    </row>
    <row r="572" spans="1:7">
      <c r="A572">
        <v>571</v>
      </c>
      <c r="B572" t="str">
        <f>"006651"</f>
        <v>0</v>
      </c>
      <c r="C572" t="s">
        <v>326</v>
      </c>
      <c r="D572" t="s">
        <v>4867</v>
      </c>
      <c r="E572" t="str">
        <f>"3339900086181"</f>
        <v>0</v>
      </c>
      <c r="F572" t="str">
        <f>"000710"</f>
        <v>0</v>
      </c>
      <c r="G572" t="s">
        <v>18359</v>
      </c>
    </row>
    <row r="573" spans="1:7">
      <c r="A573">
        <v>572</v>
      </c>
      <c r="B573" t="str">
        <f>"010156"</f>
        <v>0</v>
      </c>
      <c r="C573" t="s">
        <v>2758</v>
      </c>
      <c r="D573" t="s">
        <v>19088</v>
      </c>
      <c r="E573" t="str">
        <f>"3510200255401"</f>
        <v>0</v>
      </c>
      <c r="F573" t="str">
        <f>"000710"</f>
        <v>0</v>
      </c>
      <c r="G573" t="s">
        <v>18359</v>
      </c>
    </row>
    <row r="574" spans="1:7">
      <c r="A574">
        <v>573</v>
      </c>
      <c r="B574" t="str">
        <f>"012237"</f>
        <v>0</v>
      </c>
      <c r="C574" t="s">
        <v>19089</v>
      </c>
      <c r="D574" t="s">
        <v>19090</v>
      </c>
      <c r="E574" t="str">
        <f>"3570400736501"</f>
        <v>0</v>
      </c>
      <c r="F574" t="str">
        <f>"000710"</f>
        <v>0</v>
      </c>
      <c r="G574" t="s">
        <v>18359</v>
      </c>
    </row>
    <row r="575" spans="1:7">
      <c r="A575">
        <v>574</v>
      </c>
      <c r="B575" t="str">
        <f>"012408"</f>
        <v>0</v>
      </c>
      <c r="C575" t="s">
        <v>14552</v>
      </c>
      <c r="D575" t="s">
        <v>19091</v>
      </c>
      <c r="E575" t="str">
        <f>"5560100013160"</f>
        <v>0</v>
      </c>
      <c r="F575" t="str">
        <f>"000710"</f>
        <v>0</v>
      </c>
      <c r="G575" t="s">
        <v>18359</v>
      </c>
    </row>
    <row r="576" spans="1:7">
      <c r="A576">
        <v>575</v>
      </c>
      <c r="B576" t="str">
        <f>"012477"</f>
        <v>0</v>
      </c>
      <c r="C576" t="s">
        <v>2434</v>
      </c>
      <c r="D576" t="s">
        <v>8311</v>
      </c>
      <c r="E576" t="str">
        <f>"3570200692194"</f>
        <v>0</v>
      </c>
      <c r="F576" t="str">
        <f>"000710"</f>
        <v>0</v>
      </c>
      <c r="G576" t="s">
        <v>18359</v>
      </c>
    </row>
    <row r="577" spans="1:7">
      <c r="A577">
        <v>576</v>
      </c>
      <c r="B577" t="str">
        <f>"012836"</f>
        <v>0</v>
      </c>
      <c r="C577" t="s">
        <v>19092</v>
      </c>
      <c r="D577" t="s">
        <v>19093</v>
      </c>
      <c r="E577" t="str">
        <f>"3570100090320"</f>
        <v>0</v>
      </c>
      <c r="F577" t="str">
        <f>"000710"</f>
        <v>0</v>
      </c>
      <c r="G577" t="s">
        <v>18359</v>
      </c>
    </row>
    <row r="578" spans="1:7">
      <c r="A578">
        <v>577</v>
      </c>
      <c r="B578" t="str">
        <f>"012838"</f>
        <v>0</v>
      </c>
      <c r="C578" t="s">
        <v>19094</v>
      </c>
      <c r="D578" t="s">
        <v>19095</v>
      </c>
      <c r="E578" t="str">
        <f>"3570700160353"</f>
        <v>0</v>
      </c>
      <c r="F578" t="str">
        <f>"000710"</f>
        <v>0</v>
      </c>
      <c r="G578" t="s">
        <v>18359</v>
      </c>
    </row>
    <row r="579" spans="1:7">
      <c r="A579">
        <v>578</v>
      </c>
      <c r="B579" t="str">
        <f>"012839"</f>
        <v>0</v>
      </c>
      <c r="C579" t="s">
        <v>494</v>
      </c>
      <c r="D579" t="s">
        <v>4834</v>
      </c>
      <c r="E579" t="str">
        <f>"3579900280431"</f>
        <v>0</v>
      </c>
      <c r="F579" t="str">
        <f>"000710"</f>
        <v>0</v>
      </c>
      <c r="G579" t="s">
        <v>18359</v>
      </c>
    </row>
    <row r="580" spans="1:7">
      <c r="A580">
        <v>579</v>
      </c>
      <c r="B580" t="str">
        <f>"013108"</f>
        <v>0</v>
      </c>
      <c r="C580" t="s">
        <v>273</v>
      </c>
      <c r="D580" t="s">
        <v>19096</v>
      </c>
      <c r="E580" t="str">
        <f>"3570900102110"</f>
        <v>0</v>
      </c>
      <c r="F580" t="str">
        <f>"000710"</f>
        <v>0</v>
      </c>
      <c r="G580" t="s">
        <v>18359</v>
      </c>
    </row>
    <row r="581" spans="1:7">
      <c r="A581">
        <v>580</v>
      </c>
      <c r="B581" t="str">
        <f>"013605"</f>
        <v>0</v>
      </c>
      <c r="C581" t="s">
        <v>590</v>
      </c>
      <c r="D581" t="s">
        <v>19097</v>
      </c>
      <c r="E581" t="str">
        <f>"3570100998674"</f>
        <v>0</v>
      </c>
      <c r="F581" t="str">
        <f>"000710"</f>
        <v>0</v>
      </c>
      <c r="G581" t="s">
        <v>18359</v>
      </c>
    </row>
    <row r="582" spans="1:7">
      <c r="A582">
        <v>581</v>
      </c>
      <c r="B582" t="str">
        <f>"013705"</f>
        <v>0</v>
      </c>
      <c r="C582" t="s">
        <v>6768</v>
      </c>
      <c r="D582" t="s">
        <v>19098</v>
      </c>
      <c r="E582" t="str">
        <f>"3570100925821"</f>
        <v>0</v>
      </c>
      <c r="F582" t="str">
        <f>"000710"</f>
        <v>0</v>
      </c>
      <c r="G582" t="s">
        <v>18359</v>
      </c>
    </row>
    <row r="583" spans="1:7">
      <c r="A583">
        <v>582</v>
      </c>
      <c r="B583" t="str">
        <f>"014792"</f>
        <v>0</v>
      </c>
      <c r="C583" t="s">
        <v>19099</v>
      </c>
      <c r="D583" t="s">
        <v>3806</v>
      </c>
      <c r="E583" t="str">
        <f>"3571000351254"</f>
        <v>0</v>
      </c>
      <c r="F583" t="str">
        <f>"000710"</f>
        <v>0</v>
      </c>
      <c r="G583" t="s">
        <v>18359</v>
      </c>
    </row>
    <row r="584" spans="1:7">
      <c r="A584">
        <v>583</v>
      </c>
      <c r="B584" t="str">
        <f>"015076"</f>
        <v>0</v>
      </c>
      <c r="C584" t="s">
        <v>14819</v>
      </c>
      <c r="D584" t="s">
        <v>19100</v>
      </c>
      <c r="E584" t="str">
        <f>"3100600695259"</f>
        <v>0</v>
      </c>
      <c r="F584" t="str">
        <f>"000710"</f>
        <v>0</v>
      </c>
      <c r="G584" t="s">
        <v>18359</v>
      </c>
    </row>
    <row r="585" spans="1:7">
      <c r="A585">
        <v>584</v>
      </c>
      <c r="B585" t="str">
        <f>"015666"</f>
        <v>0</v>
      </c>
      <c r="C585" t="s">
        <v>4225</v>
      </c>
      <c r="D585" t="s">
        <v>19101</v>
      </c>
      <c r="E585" t="str">
        <f>"3579900269322"</f>
        <v>0</v>
      </c>
      <c r="F585" t="str">
        <f>"000710"</f>
        <v>0</v>
      </c>
      <c r="G585" t="s">
        <v>18359</v>
      </c>
    </row>
    <row r="586" spans="1:7">
      <c r="A586">
        <v>585</v>
      </c>
      <c r="B586" t="str">
        <f>"019265"</f>
        <v>0</v>
      </c>
      <c r="C586" t="s">
        <v>9819</v>
      </c>
      <c r="D586" t="s">
        <v>19102</v>
      </c>
      <c r="E586" t="str">
        <f>"3569900140761"</f>
        <v>0</v>
      </c>
      <c r="F586" t="str">
        <f>"000710"</f>
        <v>0</v>
      </c>
      <c r="G586" t="s">
        <v>18359</v>
      </c>
    </row>
    <row r="587" spans="1:7">
      <c r="A587">
        <v>586</v>
      </c>
      <c r="B587" t="str">
        <f>"025383"</f>
        <v>0</v>
      </c>
      <c r="C587" t="s">
        <v>19103</v>
      </c>
      <c r="D587" t="s">
        <v>19104</v>
      </c>
      <c r="E587" t="str">
        <f>"3560200347781"</f>
        <v>0</v>
      </c>
      <c r="F587" t="str">
        <f>"000710"</f>
        <v>0</v>
      </c>
      <c r="G587" t="s">
        <v>18359</v>
      </c>
    </row>
    <row r="588" spans="1:7">
      <c r="A588">
        <v>587</v>
      </c>
      <c r="B588" t="str">
        <f>"003646"</f>
        <v>0</v>
      </c>
      <c r="C588" t="s">
        <v>4779</v>
      </c>
      <c r="D588" t="s">
        <v>5239</v>
      </c>
      <c r="E588" t="str">
        <f>"3570100517382"</f>
        <v>0</v>
      </c>
      <c r="F588" t="str">
        <f>"000710"</f>
        <v>0</v>
      </c>
      <c r="G588" t="s">
        <v>18359</v>
      </c>
    </row>
    <row r="589" spans="1:7">
      <c r="A589">
        <v>588</v>
      </c>
      <c r="B589" t="str">
        <f>"004397"</f>
        <v>0</v>
      </c>
      <c r="C589" t="s">
        <v>19105</v>
      </c>
      <c r="D589" t="s">
        <v>19106</v>
      </c>
      <c r="E589" t="str">
        <f>"3579900051114"</f>
        <v>0</v>
      </c>
      <c r="F589" t="str">
        <f>"000710"</f>
        <v>0</v>
      </c>
      <c r="G589" t="s">
        <v>18359</v>
      </c>
    </row>
    <row r="590" spans="1:7">
      <c r="A590">
        <v>589</v>
      </c>
      <c r="B590" t="str">
        <f>"006098"</f>
        <v>0</v>
      </c>
      <c r="C590" t="s">
        <v>32</v>
      </c>
      <c r="D590" t="s">
        <v>19107</v>
      </c>
      <c r="E590" t="str">
        <f>"3579900298098"</f>
        <v>0</v>
      </c>
      <c r="F590" t="str">
        <f>"000710"</f>
        <v>0</v>
      </c>
      <c r="G590" t="s">
        <v>18359</v>
      </c>
    </row>
    <row r="591" spans="1:7">
      <c r="A591">
        <v>590</v>
      </c>
      <c r="B591" t="str">
        <f>"015530"</f>
        <v>0</v>
      </c>
      <c r="C591" t="s">
        <v>9057</v>
      </c>
      <c r="D591" t="s">
        <v>19108</v>
      </c>
      <c r="E591" t="str">
        <f>"5570590006688"</f>
        <v>0</v>
      </c>
      <c r="F591" t="str">
        <f>"000710"</f>
        <v>0</v>
      </c>
      <c r="G591" t="s">
        <v>18359</v>
      </c>
    </row>
    <row r="592" spans="1:7">
      <c r="A592">
        <v>591</v>
      </c>
      <c r="B592" t="str">
        <f>"015531"</f>
        <v>0</v>
      </c>
      <c r="C592" t="s">
        <v>1735</v>
      </c>
      <c r="D592" t="s">
        <v>19109</v>
      </c>
      <c r="E592" t="str">
        <f>"3570101159455"</f>
        <v>0</v>
      </c>
      <c r="F592" t="str">
        <f>"000710"</f>
        <v>0</v>
      </c>
      <c r="G592" t="s">
        <v>18359</v>
      </c>
    </row>
    <row r="593" spans="1:7">
      <c r="A593">
        <v>592</v>
      </c>
      <c r="B593" t="str">
        <f>"019509"</f>
        <v>0</v>
      </c>
      <c r="C593" t="s">
        <v>8520</v>
      </c>
      <c r="D593" t="s">
        <v>19110</v>
      </c>
      <c r="E593" t="str">
        <f>"3570900027631"</f>
        <v>0</v>
      </c>
      <c r="F593" t="str">
        <f>"000710"</f>
        <v>0</v>
      </c>
      <c r="G593" t="s">
        <v>18359</v>
      </c>
    </row>
    <row r="594" spans="1:7">
      <c r="A594">
        <v>593</v>
      </c>
      <c r="B594" t="str">
        <f>"011701"</f>
        <v>0</v>
      </c>
      <c r="C594" t="s">
        <v>2320</v>
      </c>
      <c r="D594" t="s">
        <v>4879</v>
      </c>
      <c r="E594" t="str">
        <f>"3579900097980"</f>
        <v>0</v>
      </c>
      <c r="F594" t="str">
        <f>"000710"</f>
        <v>0</v>
      </c>
      <c r="G594" t="s">
        <v>18359</v>
      </c>
    </row>
    <row r="595" spans="1:7">
      <c r="A595">
        <v>594</v>
      </c>
      <c r="B595" t="str">
        <f>"020711"</f>
        <v>0</v>
      </c>
      <c r="C595" t="s">
        <v>19111</v>
      </c>
      <c r="D595" t="s">
        <v>19112</v>
      </c>
      <c r="E595" t="str">
        <f>"3321000030336"</f>
        <v>0</v>
      </c>
      <c r="F595" t="str">
        <f>"000710"</f>
        <v>0</v>
      </c>
      <c r="G595" t="s">
        <v>18359</v>
      </c>
    </row>
    <row r="596" spans="1:7">
      <c r="A596">
        <v>595</v>
      </c>
      <c r="B596" t="str">
        <f>"015254"</f>
        <v>0</v>
      </c>
      <c r="C596" t="s">
        <v>19113</v>
      </c>
      <c r="D596" t="s">
        <v>2326</v>
      </c>
      <c r="E596" t="str">
        <f>"3570101135840"</f>
        <v>0</v>
      </c>
      <c r="F596" t="str">
        <f>"000710"</f>
        <v>0</v>
      </c>
      <c r="G596" t="s">
        <v>18359</v>
      </c>
    </row>
    <row r="597" spans="1:7">
      <c r="A597">
        <v>596</v>
      </c>
      <c r="B597" t="str">
        <f>"021839"</f>
        <v>0</v>
      </c>
      <c r="C597" t="s">
        <v>44</v>
      </c>
      <c r="D597" t="s">
        <v>19114</v>
      </c>
      <c r="E597" t="str">
        <f>"3501300103078"</f>
        <v>0</v>
      </c>
      <c r="F597" t="str">
        <f>"000710"</f>
        <v>0</v>
      </c>
      <c r="G597" t="s">
        <v>18359</v>
      </c>
    </row>
    <row r="598" spans="1:7">
      <c r="A598">
        <v>597</v>
      </c>
      <c r="B598" t="str">
        <f>"023821"</f>
        <v>0</v>
      </c>
      <c r="C598" t="s">
        <v>19115</v>
      </c>
      <c r="D598" t="s">
        <v>19116</v>
      </c>
      <c r="E598" t="str">
        <f>"1509900437440"</f>
        <v>0</v>
      </c>
      <c r="F598" t="str">
        <f>"000710"</f>
        <v>0</v>
      </c>
      <c r="G598" t="s">
        <v>18359</v>
      </c>
    </row>
    <row r="599" spans="1:7">
      <c r="A599">
        <v>598</v>
      </c>
      <c r="B599" t="str">
        <f>"024606"</f>
        <v>0</v>
      </c>
      <c r="C599" t="s">
        <v>19117</v>
      </c>
      <c r="D599" t="s">
        <v>19118</v>
      </c>
      <c r="E599" t="str">
        <f>"1509900164176"</f>
        <v>0</v>
      </c>
      <c r="F599" t="str">
        <f>"000710"</f>
        <v>0</v>
      </c>
      <c r="G599" t="s">
        <v>18359</v>
      </c>
    </row>
    <row r="600" spans="1:7">
      <c r="A600">
        <v>599</v>
      </c>
      <c r="B600" t="str">
        <f>"024611"</f>
        <v>0</v>
      </c>
      <c r="C600" t="s">
        <v>19119</v>
      </c>
      <c r="D600" t="s">
        <v>19120</v>
      </c>
      <c r="E600" t="str">
        <f>"3500901085456"</f>
        <v>0</v>
      </c>
      <c r="F600" t="str">
        <f>"000710"</f>
        <v>0</v>
      </c>
      <c r="G600" t="s">
        <v>18359</v>
      </c>
    </row>
    <row r="601" spans="1:7">
      <c r="A601">
        <v>600</v>
      </c>
      <c r="B601" t="str">
        <f>"024676"</f>
        <v>0</v>
      </c>
      <c r="C601" t="s">
        <v>19121</v>
      </c>
      <c r="D601" t="s">
        <v>19122</v>
      </c>
      <c r="E601" t="str">
        <f>"1521000003047"</f>
        <v>0</v>
      </c>
      <c r="F601" t="str">
        <f>"000710"</f>
        <v>0</v>
      </c>
      <c r="G601" t="s">
        <v>18359</v>
      </c>
    </row>
    <row r="602" spans="1:7">
      <c r="A602">
        <v>601</v>
      </c>
      <c r="B602" t="str">
        <f>"024933"</f>
        <v>0</v>
      </c>
      <c r="C602" t="s">
        <v>8918</v>
      </c>
      <c r="D602" t="s">
        <v>19123</v>
      </c>
      <c r="E602" t="str">
        <f>"3501200547276"</f>
        <v>0</v>
      </c>
      <c r="F602" t="str">
        <f>"000710"</f>
        <v>0</v>
      </c>
      <c r="G602" t="s">
        <v>18359</v>
      </c>
    </row>
    <row r="603" spans="1:7">
      <c r="A603">
        <v>602</v>
      </c>
      <c r="B603" t="str">
        <f>"025250"</f>
        <v>0</v>
      </c>
      <c r="C603" t="s">
        <v>14795</v>
      </c>
      <c r="D603" t="s">
        <v>19124</v>
      </c>
      <c r="E603" t="str">
        <f>"3500900272473"</f>
        <v>0</v>
      </c>
      <c r="F603" t="str">
        <f>"000710"</f>
        <v>0</v>
      </c>
      <c r="G603" t="s">
        <v>18359</v>
      </c>
    </row>
    <row r="604" spans="1:7">
      <c r="A604">
        <v>603</v>
      </c>
      <c r="B604" t="str">
        <f>"026322"</f>
        <v>0</v>
      </c>
      <c r="C604" t="s">
        <v>19125</v>
      </c>
      <c r="D604" t="s">
        <v>19126</v>
      </c>
      <c r="E604" t="str">
        <f>"3500900755466"</f>
        <v>0</v>
      </c>
      <c r="F604" t="str">
        <f>"000710"</f>
        <v>0</v>
      </c>
      <c r="G604" t="s">
        <v>18359</v>
      </c>
    </row>
    <row r="605" spans="1:7">
      <c r="A605">
        <v>604</v>
      </c>
      <c r="B605" t="str">
        <f>"024753"</f>
        <v>0</v>
      </c>
      <c r="C605" t="s">
        <v>19127</v>
      </c>
      <c r="D605" t="s">
        <v>19128</v>
      </c>
      <c r="E605" t="str">
        <f>"1529900507120"</f>
        <v>0</v>
      </c>
      <c r="F605" t="str">
        <f>"000710"</f>
        <v>0</v>
      </c>
      <c r="G605" t="s">
        <v>18359</v>
      </c>
    </row>
    <row r="606" spans="1:7">
      <c r="A606">
        <v>605</v>
      </c>
      <c r="B606" t="str">
        <f>"007561"</f>
        <v>0</v>
      </c>
      <c r="C606" t="s">
        <v>4607</v>
      </c>
      <c r="D606" t="s">
        <v>19129</v>
      </c>
      <c r="E606" t="str">
        <f>"3570101375841"</f>
        <v>0</v>
      </c>
      <c r="F606" t="str">
        <f>"000710"</f>
        <v>0</v>
      </c>
      <c r="G606" t="s">
        <v>18359</v>
      </c>
    </row>
    <row r="607" spans="1:7">
      <c r="A607">
        <v>606</v>
      </c>
      <c r="B607" t="str">
        <f>"007757"</f>
        <v>0</v>
      </c>
      <c r="C607" t="s">
        <v>352</v>
      </c>
      <c r="D607" t="s">
        <v>19130</v>
      </c>
      <c r="E607" t="str">
        <f>"3440600168078"</f>
        <v>0</v>
      </c>
      <c r="F607" t="str">
        <f>"000710"</f>
        <v>0</v>
      </c>
      <c r="G607" t="s">
        <v>18359</v>
      </c>
    </row>
    <row r="608" spans="1:7">
      <c r="A608">
        <v>607</v>
      </c>
      <c r="B608" t="str">
        <f>"008636"</f>
        <v>0</v>
      </c>
      <c r="C608" t="s">
        <v>494</v>
      </c>
      <c r="D608" t="s">
        <v>19131</v>
      </c>
      <c r="E608" t="str">
        <f>"3571100249087"</f>
        <v>0</v>
      </c>
      <c r="F608" t="str">
        <f>"000710"</f>
        <v>0</v>
      </c>
      <c r="G608" t="s">
        <v>18359</v>
      </c>
    </row>
    <row r="609" spans="1:7">
      <c r="A609">
        <v>608</v>
      </c>
      <c r="B609" t="str">
        <f>"009707"</f>
        <v>0</v>
      </c>
      <c r="C609" t="s">
        <v>2296</v>
      </c>
      <c r="D609" t="s">
        <v>19132</v>
      </c>
      <c r="E609" t="str">
        <f>"3579900213271"</f>
        <v>0</v>
      </c>
      <c r="F609" t="str">
        <f>"000710"</f>
        <v>0</v>
      </c>
      <c r="G609" t="s">
        <v>18359</v>
      </c>
    </row>
    <row r="610" spans="1:7">
      <c r="A610">
        <v>609</v>
      </c>
      <c r="B610" t="str">
        <f>"009794"</f>
        <v>0</v>
      </c>
      <c r="C610" t="s">
        <v>46</v>
      </c>
      <c r="D610" t="s">
        <v>19133</v>
      </c>
      <c r="E610" t="str">
        <f>"3650700115560"</f>
        <v>0</v>
      </c>
      <c r="F610" t="str">
        <f>"000710"</f>
        <v>0</v>
      </c>
      <c r="G610" t="s">
        <v>18359</v>
      </c>
    </row>
    <row r="611" spans="1:7">
      <c r="A611">
        <v>610</v>
      </c>
      <c r="B611" t="str">
        <f>"010125"</f>
        <v>0</v>
      </c>
      <c r="C611" t="s">
        <v>4928</v>
      </c>
      <c r="D611" t="s">
        <v>19134</v>
      </c>
      <c r="E611" t="str">
        <f>"3570500042055"</f>
        <v>0</v>
      </c>
      <c r="F611" t="str">
        <f>"000710"</f>
        <v>0</v>
      </c>
      <c r="G611" t="s">
        <v>18359</v>
      </c>
    </row>
    <row r="612" spans="1:7">
      <c r="A612">
        <v>611</v>
      </c>
      <c r="B612" t="str">
        <f>"010394"</f>
        <v>0</v>
      </c>
      <c r="C612" t="s">
        <v>19135</v>
      </c>
      <c r="D612" t="s">
        <v>19136</v>
      </c>
      <c r="E612" t="str">
        <f>"3579900265475"</f>
        <v>0</v>
      </c>
      <c r="F612" t="str">
        <f>"000710"</f>
        <v>0</v>
      </c>
      <c r="G612" t="s">
        <v>18359</v>
      </c>
    </row>
    <row r="613" spans="1:7">
      <c r="A613">
        <v>612</v>
      </c>
      <c r="B613" t="str">
        <f>"010566"</f>
        <v>0</v>
      </c>
      <c r="C613" t="s">
        <v>4967</v>
      </c>
      <c r="D613" t="s">
        <v>19137</v>
      </c>
      <c r="E613" t="str">
        <f>"3570100524362"</f>
        <v>0</v>
      </c>
      <c r="F613" t="str">
        <f>"000710"</f>
        <v>0</v>
      </c>
      <c r="G613" t="s">
        <v>18359</v>
      </c>
    </row>
    <row r="614" spans="1:7">
      <c r="A614">
        <v>613</v>
      </c>
      <c r="B614" t="str">
        <f>"010567"</f>
        <v>0</v>
      </c>
      <c r="C614" t="s">
        <v>19138</v>
      </c>
      <c r="D614" t="s">
        <v>19139</v>
      </c>
      <c r="E614" t="str">
        <f>"3570501001000"</f>
        <v>0</v>
      </c>
      <c r="F614" t="str">
        <f>"000710"</f>
        <v>0</v>
      </c>
      <c r="G614" t="s">
        <v>18359</v>
      </c>
    </row>
    <row r="615" spans="1:7">
      <c r="A615">
        <v>614</v>
      </c>
      <c r="B615" t="str">
        <f>"011759"</f>
        <v>0</v>
      </c>
      <c r="C615" t="s">
        <v>3052</v>
      </c>
      <c r="D615" t="s">
        <v>11575</v>
      </c>
      <c r="E615" t="str">
        <f>"3570300439491"</f>
        <v>0</v>
      </c>
      <c r="F615" t="str">
        <f>"000710"</f>
        <v>0</v>
      </c>
      <c r="G615" t="s">
        <v>18359</v>
      </c>
    </row>
    <row r="616" spans="1:7">
      <c r="A616">
        <v>615</v>
      </c>
      <c r="B616" t="str">
        <f>"011921"</f>
        <v>0</v>
      </c>
      <c r="C616" t="s">
        <v>798</v>
      </c>
      <c r="D616" t="s">
        <v>4840</v>
      </c>
      <c r="E616" t="str">
        <f>"3570300672471"</f>
        <v>0</v>
      </c>
      <c r="F616" t="str">
        <f>"000710"</f>
        <v>0</v>
      </c>
      <c r="G616" t="s">
        <v>18359</v>
      </c>
    </row>
    <row r="617" spans="1:7">
      <c r="A617">
        <v>616</v>
      </c>
      <c r="B617" t="str">
        <f>"012478"</f>
        <v>0</v>
      </c>
      <c r="C617" t="s">
        <v>2333</v>
      </c>
      <c r="D617" t="s">
        <v>19140</v>
      </c>
      <c r="E617" t="str">
        <f>"3509900247795"</f>
        <v>0</v>
      </c>
      <c r="F617" t="str">
        <f>"000710"</f>
        <v>0</v>
      </c>
      <c r="G617" t="s">
        <v>18359</v>
      </c>
    </row>
    <row r="618" spans="1:7">
      <c r="A618">
        <v>617</v>
      </c>
      <c r="B618" t="str">
        <f>"012840"</f>
        <v>0</v>
      </c>
      <c r="C618" t="s">
        <v>32</v>
      </c>
      <c r="D618" t="s">
        <v>19141</v>
      </c>
      <c r="E618" t="str">
        <f>"3570800108582"</f>
        <v>0</v>
      </c>
      <c r="F618" t="str">
        <f>"000710"</f>
        <v>0</v>
      </c>
      <c r="G618" t="s">
        <v>18359</v>
      </c>
    </row>
    <row r="619" spans="1:7">
      <c r="A619">
        <v>618</v>
      </c>
      <c r="B619" t="str">
        <f>"015416"</f>
        <v>0</v>
      </c>
      <c r="C619" t="s">
        <v>789</v>
      </c>
      <c r="D619" t="s">
        <v>19142</v>
      </c>
      <c r="E619" t="str">
        <f>"5500500003935"</f>
        <v>0</v>
      </c>
      <c r="F619" t="str">
        <f>"000710"</f>
        <v>0</v>
      </c>
      <c r="G619" t="s">
        <v>18359</v>
      </c>
    </row>
    <row r="620" spans="1:7">
      <c r="A620">
        <v>619</v>
      </c>
      <c r="B620" t="str">
        <f>"017585"</f>
        <v>0</v>
      </c>
      <c r="C620" t="s">
        <v>19143</v>
      </c>
      <c r="D620" t="s">
        <v>19144</v>
      </c>
      <c r="E620" t="str">
        <f>"5560700018669"</f>
        <v>0</v>
      </c>
      <c r="F620" t="str">
        <f>"000710"</f>
        <v>0</v>
      </c>
      <c r="G620" t="s">
        <v>18359</v>
      </c>
    </row>
    <row r="621" spans="1:7">
      <c r="A621">
        <v>620</v>
      </c>
      <c r="B621" t="str">
        <f>"018350"</f>
        <v>0</v>
      </c>
      <c r="C621" t="s">
        <v>19145</v>
      </c>
      <c r="D621" t="s">
        <v>19146</v>
      </c>
      <c r="E621" t="str">
        <f>"3570101590440"</f>
        <v>0</v>
      </c>
      <c r="F621" t="str">
        <f>"000710"</f>
        <v>0</v>
      </c>
      <c r="G621" t="s">
        <v>18359</v>
      </c>
    </row>
    <row r="622" spans="1:7">
      <c r="A622">
        <v>621</v>
      </c>
      <c r="B622" t="str">
        <f>"019236"</f>
        <v>0</v>
      </c>
      <c r="C622" t="s">
        <v>19147</v>
      </c>
      <c r="D622" t="s">
        <v>19148</v>
      </c>
      <c r="E622" t="str">
        <f>"4101400042129"</f>
        <v>0</v>
      </c>
      <c r="F622" t="str">
        <f>"000710"</f>
        <v>0</v>
      </c>
      <c r="G622" t="s">
        <v>18359</v>
      </c>
    </row>
    <row r="623" spans="1:7">
      <c r="A623">
        <v>622</v>
      </c>
      <c r="B623" t="str">
        <f>"019299"</f>
        <v>0</v>
      </c>
      <c r="C623" t="s">
        <v>5635</v>
      </c>
      <c r="D623" t="s">
        <v>19149</v>
      </c>
      <c r="E623" t="str">
        <f>"3570900102136"</f>
        <v>0</v>
      </c>
      <c r="F623" t="str">
        <f>"000710"</f>
        <v>0</v>
      </c>
      <c r="G623" t="s">
        <v>18359</v>
      </c>
    </row>
    <row r="624" spans="1:7">
      <c r="A624">
        <v>623</v>
      </c>
      <c r="B624" t="str">
        <f>"019871"</f>
        <v>0</v>
      </c>
      <c r="C624" t="s">
        <v>19150</v>
      </c>
      <c r="D624" t="s">
        <v>19151</v>
      </c>
      <c r="E624" t="str">
        <f>"3570500836493"</f>
        <v>0</v>
      </c>
      <c r="F624" t="str">
        <f>"000710"</f>
        <v>0</v>
      </c>
      <c r="G624" t="s">
        <v>18359</v>
      </c>
    </row>
    <row r="625" spans="1:7">
      <c r="A625">
        <v>624</v>
      </c>
      <c r="B625" t="str">
        <f>"019903"</f>
        <v>0</v>
      </c>
      <c r="C625" t="s">
        <v>19152</v>
      </c>
      <c r="D625" t="s">
        <v>19153</v>
      </c>
      <c r="E625" t="str">
        <f>"3570100109462"</f>
        <v>0</v>
      </c>
      <c r="F625" t="str">
        <f>"000710"</f>
        <v>0</v>
      </c>
      <c r="G625" t="s">
        <v>18359</v>
      </c>
    </row>
    <row r="626" spans="1:7">
      <c r="A626">
        <v>625</v>
      </c>
      <c r="B626" t="str">
        <f>"020041"</f>
        <v>0</v>
      </c>
      <c r="C626" t="s">
        <v>3797</v>
      </c>
      <c r="D626" t="s">
        <v>19154</v>
      </c>
      <c r="E626" t="str">
        <f>"3570100411932"</f>
        <v>0</v>
      </c>
      <c r="F626" t="str">
        <f>"000710"</f>
        <v>0</v>
      </c>
      <c r="G626" t="s">
        <v>18359</v>
      </c>
    </row>
    <row r="627" spans="1:7">
      <c r="A627">
        <v>626</v>
      </c>
      <c r="B627" t="str">
        <f>"020291"</f>
        <v>0</v>
      </c>
      <c r="C627" t="s">
        <v>674</v>
      </c>
      <c r="D627" t="s">
        <v>19155</v>
      </c>
      <c r="E627" t="str">
        <f>"3199700084993"</f>
        <v>0</v>
      </c>
      <c r="F627" t="str">
        <f>"000710"</f>
        <v>0</v>
      </c>
      <c r="G627" t="s">
        <v>18359</v>
      </c>
    </row>
    <row r="628" spans="1:7">
      <c r="A628">
        <v>627</v>
      </c>
      <c r="B628" t="str">
        <f>"020483"</f>
        <v>0</v>
      </c>
      <c r="C628" t="s">
        <v>336</v>
      </c>
      <c r="D628" t="s">
        <v>19156</v>
      </c>
      <c r="E628" t="str">
        <f>"3570500642664"</f>
        <v>0</v>
      </c>
      <c r="F628" t="str">
        <f>"000710"</f>
        <v>0</v>
      </c>
      <c r="G628" t="s">
        <v>18359</v>
      </c>
    </row>
    <row r="629" spans="1:7">
      <c r="A629">
        <v>628</v>
      </c>
      <c r="B629" t="str">
        <f>"020869"</f>
        <v>0</v>
      </c>
      <c r="C629" t="s">
        <v>5835</v>
      </c>
      <c r="D629" t="s">
        <v>19157</v>
      </c>
      <c r="E629" t="str">
        <f>"3570100262724"</f>
        <v>0</v>
      </c>
      <c r="F629" t="str">
        <f>"000710"</f>
        <v>0</v>
      </c>
      <c r="G629" t="s">
        <v>18359</v>
      </c>
    </row>
    <row r="630" spans="1:7">
      <c r="A630">
        <v>629</v>
      </c>
      <c r="B630" t="str">
        <f>"021054"</f>
        <v>0</v>
      </c>
      <c r="C630" t="s">
        <v>2753</v>
      </c>
      <c r="D630" t="s">
        <v>19158</v>
      </c>
      <c r="E630" t="str">
        <f>"3570700989455"</f>
        <v>0</v>
      </c>
      <c r="F630" t="str">
        <f>"000710"</f>
        <v>0</v>
      </c>
      <c r="G630" t="s">
        <v>18359</v>
      </c>
    </row>
    <row r="631" spans="1:7">
      <c r="A631">
        <v>630</v>
      </c>
      <c r="B631" t="str">
        <f>"021177"</f>
        <v>0</v>
      </c>
      <c r="C631" t="s">
        <v>19159</v>
      </c>
      <c r="D631" t="s">
        <v>19160</v>
      </c>
      <c r="E631" t="str">
        <f>"1530300034958"</f>
        <v>0</v>
      </c>
      <c r="F631" t="str">
        <f>"000710"</f>
        <v>0</v>
      </c>
      <c r="G631" t="s">
        <v>18359</v>
      </c>
    </row>
    <row r="632" spans="1:7">
      <c r="A632">
        <v>631</v>
      </c>
      <c r="B632" t="str">
        <f>"021268"</f>
        <v>0</v>
      </c>
      <c r="C632" t="s">
        <v>19161</v>
      </c>
      <c r="D632" t="s">
        <v>19162</v>
      </c>
      <c r="E632" t="str">
        <f>"1530500003991"</f>
        <v>0</v>
      </c>
      <c r="F632" t="str">
        <f>"000710"</f>
        <v>0</v>
      </c>
      <c r="G632" t="s">
        <v>18359</v>
      </c>
    </row>
    <row r="633" spans="1:7">
      <c r="A633">
        <v>632</v>
      </c>
      <c r="B633" t="str">
        <f>"021316"</f>
        <v>0</v>
      </c>
      <c r="C633" t="s">
        <v>3176</v>
      </c>
      <c r="D633" t="s">
        <v>8499</v>
      </c>
      <c r="E633" t="str">
        <f>"3330900710553"</f>
        <v>0</v>
      </c>
      <c r="F633" t="str">
        <f>"000710"</f>
        <v>0</v>
      </c>
      <c r="G633" t="s">
        <v>18359</v>
      </c>
    </row>
    <row r="634" spans="1:7">
      <c r="A634">
        <v>633</v>
      </c>
      <c r="B634" t="str">
        <f>"021586"</f>
        <v>0</v>
      </c>
      <c r="C634" t="s">
        <v>4568</v>
      </c>
      <c r="D634" t="s">
        <v>19163</v>
      </c>
      <c r="E634" t="str">
        <f>"1529900083460"</f>
        <v>0</v>
      </c>
      <c r="F634" t="str">
        <f>"000710"</f>
        <v>0</v>
      </c>
      <c r="G634" t="s">
        <v>18359</v>
      </c>
    </row>
    <row r="635" spans="1:7">
      <c r="A635">
        <v>634</v>
      </c>
      <c r="B635" t="str">
        <f>"021928"</f>
        <v>0</v>
      </c>
      <c r="C635" t="s">
        <v>624</v>
      </c>
      <c r="D635" t="s">
        <v>19164</v>
      </c>
      <c r="E635" t="str">
        <f>"3570900642351"</f>
        <v>0</v>
      </c>
      <c r="F635" t="str">
        <f>"000710"</f>
        <v>0</v>
      </c>
      <c r="G635" t="s">
        <v>18359</v>
      </c>
    </row>
    <row r="636" spans="1:7">
      <c r="A636">
        <v>635</v>
      </c>
      <c r="B636" t="str">
        <f>"022511"</f>
        <v>0</v>
      </c>
      <c r="C636" t="s">
        <v>19165</v>
      </c>
      <c r="D636" t="s">
        <v>19166</v>
      </c>
      <c r="E636" t="str">
        <f>"3570200034910"</f>
        <v>0</v>
      </c>
      <c r="F636" t="str">
        <f>"000710"</f>
        <v>0</v>
      </c>
      <c r="G636" t="s">
        <v>18359</v>
      </c>
    </row>
    <row r="637" spans="1:7">
      <c r="A637">
        <v>636</v>
      </c>
      <c r="B637" t="str">
        <f>"023098"</f>
        <v>0</v>
      </c>
      <c r="C637" t="s">
        <v>19167</v>
      </c>
      <c r="D637" t="s">
        <v>19168</v>
      </c>
      <c r="E637" t="str">
        <f>"5571100017077"</f>
        <v>0</v>
      </c>
      <c r="F637" t="str">
        <f>"000710"</f>
        <v>0</v>
      </c>
      <c r="G637" t="s">
        <v>18359</v>
      </c>
    </row>
    <row r="638" spans="1:7">
      <c r="A638">
        <v>637</v>
      </c>
      <c r="B638" t="str">
        <f>"023380"</f>
        <v>0</v>
      </c>
      <c r="C638" t="s">
        <v>15915</v>
      </c>
      <c r="D638" t="s">
        <v>19169</v>
      </c>
      <c r="E638" t="str">
        <f>"3570100700462"</f>
        <v>0</v>
      </c>
      <c r="F638" t="str">
        <f>"000710"</f>
        <v>0</v>
      </c>
      <c r="G638" t="s">
        <v>18359</v>
      </c>
    </row>
    <row r="639" spans="1:7">
      <c r="A639">
        <v>638</v>
      </c>
      <c r="B639" t="str">
        <f>"023462"</f>
        <v>0</v>
      </c>
      <c r="C639" t="s">
        <v>5586</v>
      </c>
      <c r="D639" t="s">
        <v>19170</v>
      </c>
      <c r="E639" t="str">
        <f>"3570100553834"</f>
        <v>0</v>
      </c>
      <c r="F639" t="str">
        <f>"000710"</f>
        <v>0</v>
      </c>
      <c r="G639" t="s">
        <v>18359</v>
      </c>
    </row>
    <row r="640" spans="1:7">
      <c r="A640">
        <v>639</v>
      </c>
      <c r="B640" t="str">
        <f>"025430"</f>
        <v>0</v>
      </c>
      <c r="C640" t="s">
        <v>2722</v>
      </c>
      <c r="D640" t="s">
        <v>5576</v>
      </c>
      <c r="E640" t="str">
        <f>"3570500686998"</f>
        <v>0</v>
      </c>
      <c r="F640" t="str">
        <f>"000710"</f>
        <v>0</v>
      </c>
      <c r="G640" t="s">
        <v>18359</v>
      </c>
    </row>
    <row r="641" spans="1:7">
      <c r="A641">
        <v>640</v>
      </c>
      <c r="B641" t="str">
        <f>"026662"</f>
        <v>0</v>
      </c>
      <c r="C641" t="s">
        <v>19171</v>
      </c>
      <c r="D641" t="s">
        <v>19172</v>
      </c>
      <c r="E641" t="str">
        <f>"1579900175020"</f>
        <v>0</v>
      </c>
      <c r="F641" t="str">
        <f>"000710"</f>
        <v>0</v>
      </c>
      <c r="G641" t="s">
        <v>18359</v>
      </c>
    </row>
    <row r="642" spans="1:7">
      <c r="A642">
        <v>641</v>
      </c>
      <c r="B642" t="str">
        <f>"000838"</f>
        <v>0</v>
      </c>
      <c r="C642" t="s">
        <v>19173</v>
      </c>
      <c r="D642" t="s">
        <v>19174</v>
      </c>
      <c r="E642" t="str">
        <f>"3509900989228"</f>
        <v>0</v>
      </c>
      <c r="F642" t="str">
        <f>"000730"</f>
        <v>0</v>
      </c>
      <c r="G642" t="s">
        <v>18359</v>
      </c>
    </row>
    <row r="643" spans="1:7">
      <c r="A643">
        <v>642</v>
      </c>
      <c r="B643" t="str">
        <f>"003467"</f>
        <v>0</v>
      </c>
      <c r="C643" t="s">
        <v>1550</v>
      </c>
      <c r="D643" t="s">
        <v>19175</v>
      </c>
      <c r="E643" t="str">
        <f>"3520600010864"</f>
        <v>0</v>
      </c>
      <c r="F643" t="str">
        <f>"000730"</f>
        <v>0</v>
      </c>
      <c r="G643" t="s">
        <v>18359</v>
      </c>
    </row>
    <row r="644" spans="1:7">
      <c r="A644">
        <v>643</v>
      </c>
      <c r="B644" t="str">
        <f>"005831"</f>
        <v>0</v>
      </c>
      <c r="C644" t="s">
        <v>5722</v>
      </c>
      <c r="D644" t="s">
        <v>19176</v>
      </c>
      <c r="E644" t="str">
        <f>"3500500026696"</f>
        <v>0</v>
      </c>
      <c r="F644" t="str">
        <f>"000730"</f>
        <v>0</v>
      </c>
      <c r="G644" t="s">
        <v>18359</v>
      </c>
    </row>
    <row r="645" spans="1:7">
      <c r="A645">
        <v>644</v>
      </c>
      <c r="B645" t="str">
        <f>"006400"</f>
        <v>0</v>
      </c>
      <c r="C645" t="s">
        <v>14504</v>
      </c>
      <c r="D645" t="s">
        <v>9283</v>
      </c>
      <c r="E645" t="str">
        <f>"3570500022917"</f>
        <v>0</v>
      </c>
      <c r="F645" t="str">
        <f>"000730"</f>
        <v>0</v>
      </c>
      <c r="G645" t="s">
        <v>18359</v>
      </c>
    </row>
    <row r="646" spans="1:7">
      <c r="A646">
        <v>645</v>
      </c>
      <c r="B646" t="str">
        <f>"006554"</f>
        <v>0</v>
      </c>
      <c r="C646" t="s">
        <v>19177</v>
      </c>
      <c r="D646" t="s">
        <v>19178</v>
      </c>
      <c r="E646" t="str">
        <f>"3500200504886"</f>
        <v>0</v>
      </c>
      <c r="F646" t="str">
        <f>"000730"</f>
        <v>0</v>
      </c>
      <c r="G646" t="s">
        <v>18359</v>
      </c>
    </row>
    <row r="647" spans="1:7">
      <c r="A647">
        <v>646</v>
      </c>
      <c r="B647" t="str">
        <f>"008362"</f>
        <v>0</v>
      </c>
      <c r="C647" t="s">
        <v>6309</v>
      </c>
      <c r="D647" t="s">
        <v>19179</v>
      </c>
      <c r="E647" t="str">
        <f>"3501200607350"</f>
        <v>0</v>
      </c>
      <c r="F647" t="str">
        <f>"000730"</f>
        <v>0</v>
      </c>
      <c r="G647" t="s">
        <v>18359</v>
      </c>
    </row>
    <row r="648" spans="1:7">
      <c r="A648">
        <v>647</v>
      </c>
      <c r="B648" t="str">
        <f>"008626"</f>
        <v>0</v>
      </c>
      <c r="C648" t="s">
        <v>19180</v>
      </c>
      <c r="D648" t="s">
        <v>19181</v>
      </c>
      <c r="E648" t="str">
        <f>"3509900473990"</f>
        <v>0</v>
      </c>
      <c r="F648" t="str">
        <f>"000730"</f>
        <v>0</v>
      </c>
      <c r="G648" t="s">
        <v>18359</v>
      </c>
    </row>
    <row r="649" spans="1:7">
      <c r="A649">
        <v>648</v>
      </c>
      <c r="B649" t="str">
        <f>"008965"</f>
        <v>0</v>
      </c>
      <c r="C649" t="s">
        <v>2312</v>
      </c>
      <c r="D649" t="s">
        <v>19182</v>
      </c>
      <c r="E649" t="str">
        <f>"3501500001104"</f>
        <v>0</v>
      </c>
      <c r="F649" t="str">
        <f>"000730"</f>
        <v>0</v>
      </c>
      <c r="G649" t="s">
        <v>18359</v>
      </c>
    </row>
    <row r="650" spans="1:7">
      <c r="A650">
        <v>649</v>
      </c>
      <c r="B650" t="str">
        <f>"012930"</f>
        <v>0</v>
      </c>
      <c r="C650" t="s">
        <v>1978</v>
      </c>
      <c r="D650" t="s">
        <v>19183</v>
      </c>
      <c r="E650" t="str">
        <f>"3570501205578"</f>
        <v>0</v>
      </c>
      <c r="F650" t="str">
        <f>"000730"</f>
        <v>0</v>
      </c>
      <c r="G650" t="s">
        <v>18359</v>
      </c>
    </row>
    <row r="651" spans="1:7">
      <c r="A651">
        <v>650</v>
      </c>
      <c r="B651" t="str">
        <f>"013138"</f>
        <v>0</v>
      </c>
      <c r="C651" t="s">
        <v>411</v>
      </c>
      <c r="D651" t="s">
        <v>19184</v>
      </c>
      <c r="E651" t="str">
        <f>"5500500003994"</f>
        <v>0</v>
      </c>
      <c r="F651" t="str">
        <f>"000730"</f>
        <v>0</v>
      </c>
      <c r="G651" t="s">
        <v>18359</v>
      </c>
    </row>
    <row r="652" spans="1:7">
      <c r="A652">
        <v>651</v>
      </c>
      <c r="B652" t="str">
        <f>"013242"</f>
        <v>0</v>
      </c>
      <c r="C652" t="s">
        <v>19185</v>
      </c>
      <c r="D652" t="s">
        <v>19186</v>
      </c>
      <c r="E652" t="str">
        <f>"3501000326012"</f>
        <v>0</v>
      </c>
      <c r="F652" t="str">
        <f>"000730"</f>
        <v>0</v>
      </c>
      <c r="G652" t="s">
        <v>18359</v>
      </c>
    </row>
    <row r="653" spans="1:7">
      <c r="A653">
        <v>652</v>
      </c>
      <c r="B653" t="str">
        <f>"013647"</f>
        <v>0</v>
      </c>
      <c r="C653" t="s">
        <v>19187</v>
      </c>
      <c r="D653" t="s">
        <v>19188</v>
      </c>
      <c r="E653" t="str">
        <f>"3500700377085"</f>
        <v>0</v>
      </c>
      <c r="F653" t="str">
        <f>"000730"</f>
        <v>0</v>
      </c>
      <c r="G653" t="s">
        <v>18359</v>
      </c>
    </row>
    <row r="654" spans="1:7">
      <c r="A654">
        <v>653</v>
      </c>
      <c r="B654" t="str">
        <f>"016276"</f>
        <v>0</v>
      </c>
      <c r="C654" t="s">
        <v>470</v>
      </c>
      <c r="D654" t="s">
        <v>19189</v>
      </c>
      <c r="E654" t="str">
        <f>"3500300234872"</f>
        <v>0</v>
      </c>
      <c r="F654" t="str">
        <f>"000730"</f>
        <v>0</v>
      </c>
      <c r="G654" t="s">
        <v>18359</v>
      </c>
    </row>
    <row r="655" spans="1:7">
      <c r="A655">
        <v>654</v>
      </c>
      <c r="B655" t="str">
        <f>"016967"</f>
        <v>0</v>
      </c>
      <c r="C655" t="s">
        <v>19190</v>
      </c>
      <c r="D655" t="s">
        <v>3637</v>
      </c>
      <c r="E655" t="str">
        <f>"3500400121794"</f>
        <v>0</v>
      </c>
      <c r="F655" t="str">
        <f>"000730"</f>
        <v>0</v>
      </c>
      <c r="G655" t="s">
        <v>18359</v>
      </c>
    </row>
    <row r="656" spans="1:7">
      <c r="A656">
        <v>655</v>
      </c>
      <c r="B656" t="str">
        <f>"016971"</f>
        <v>0</v>
      </c>
      <c r="C656" t="s">
        <v>19191</v>
      </c>
      <c r="D656" t="s">
        <v>19192</v>
      </c>
      <c r="E656" t="str">
        <f>"3200900856044"</f>
        <v>0</v>
      </c>
      <c r="F656" t="str">
        <f>"000730"</f>
        <v>0</v>
      </c>
      <c r="G656" t="s">
        <v>18359</v>
      </c>
    </row>
    <row r="657" spans="1:7">
      <c r="A657">
        <v>656</v>
      </c>
      <c r="B657" t="str">
        <f>"017233"</f>
        <v>0</v>
      </c>
      <c r="C657" t="s">
        <v>7281</v>
      </c>
      <c r="D657" t="s">
        <v>19193</v>
      </c>
      <c r="E657" t="str">
        <f>"4500100017388"</f>
        <v>0</v>
      </c>
      <c r="F657" t="str">
        <f>"000730"</f>
        <v>0</v>
      </c>
      <c r="G657" t="s">
        <v>18359</v>
      </c>
    </row>
    <row r="658" spans="1:7">
      <c r="A658">
        <v>657</v>
      </c>
      <c r="B658" t="str">
        <f>"017587"</f>
        <v>0</v>
      </c>
      <c r="C658" t="s">
        <v>19194</v>
      </c>
      <c r="D658" t="s">
        <v>19195</v>
      </c>
      <c r="E658" t="str">
        <f>"3302000517198"</f>
        <v>0</v>
      </c>
      <c r="F658" t="str">
        <f>"000730"</f>
        <v>0</v>
      </c>
      <c r="G658" t="s">
        <v>18359</v>
      </c>
    </row>
    <row r="659" spans="1:7">
      <c r="A659">
        <v>658</v>
      </c>
      <c r="B659" t="str">
        <f>"017867"</f>
        <v>0</v>
      </c>
      <c r="C659" t="s">
        <v>19196</v>
      </c>
      <c r="D659" t="s">
        <v>19197</v>
      </c>
      <c r="E659" t="str">
        <f>"3571100202391"</f>
        <v>0</v>
      </c>
      <c r="F659" t="str">
        <f>"000730"</f>
        <v>0</v>
      </c>
      <c r="G659" t="s">
        <v>18359</v>
      </c>
    </row>
    <row r="660" spans="1:7">
      <c r="A660">
        <v>659</v>
      </c>
      <c r="B660" t="str">
        <f>"017971"</f>
        <v>0</v>
      </c>
      <c r="C660" t="s">
        <v>6732</v>
      </c>
      <c r="D660" t="s">
        <v>19198</v>
      </c>
      <c r="E660" t="str">
        <f>"3500700317571"</f>
        <v>0</v>
      </c>
      <c r="F660" t="str">
        <f>"000730"</f>
        <v>0</v>
      </c>
      <c r="G660" t="s">
        <v>18359</v>
      </c>
    </row>
    <row r="661" spans="1:7">
      <c r="A661">
        <v>660</v>
      </c>
      <c r="B661" t="str">
        <f>"019974"</f>
        <v>0</v>
      </c>
      <c r="C661" t="s">
        <v>19199</v>
      </c>
      <c r="D661" t="s">
        <v>19200</v>
      </c>
      <c r="E661" t="str">
        <f>"3650801044366"</f>
        <v>0</v>
      </c>
      <c r="F661" t="str">
        <f>"000730"</f>
        <v>0</v>
      </c>
      <c r="G661" t="s">
        <v>18359</v>
      </c>
    </row>
    <row r="662" spans="1:7">
      <c r="A662">
        <v>661</v>
      </c>
      <c r="B662" t="str">
        <f>"020379"</f>
        <v>0</v>
      </c>
      <c r="C662" t="s">
        <v>19201</v>
      </c>
      <c r="D662" t="s">
        <v>19202</v>
      </c>
      <c r="E662" t="str">
        <f>"3550500197211"</f>
        <v>0</v>
      </c>
      <c r="F662" t="str">
        <f>"000730"</f>
        <v>0</v>
      </c>
      <c r="G662" t="s">
        <v>18359</v>
      </c>
    </row>
    <row r="663" spans="1:7">
      <c r="A663">
        <v>662</v>
      </c>
      <c r="B663" t="str">
        <f>"021060"</f>
        <v>0</v>
      </c>
      <c r="C663" t="s">
        <v>19203</v>
      </c>
      <c r="D663" t="s">
        <v>19204</v>
      </c>
      <c r="E663" t="str">
        <f>"3501600295509"</f>
        <v>0</v>
      </c>
      <c r="F663" t="str">
        <f>"000730"</f>
        <v>0</v>
      </c>
      <c r="G663" t="s">
        <v>18359</v>
      </c>
    </row>
    <row r="664" spans="1:7">
      <c r="A664">
        <v>663</v>
      </c>
      <c r="B664" t="str">
        <f>"021916"</f>
        <v>0</v>
      </c>
      <c r="C664" t="s">
        <v>9085</v>
      </c>
      <c r="D664" t="s">
        <v>19205</v>
      </c>
      <c r="E664" t="str">
        <f>"3509900923456"</f>
        <v>0</v>
      </c>
      <c r="F664" t="str">
        <f>"000730"</f>
        <v>0</v>
      </c>
      <c r="G664" t="s">
        <v>18359</v>
      </c>
    </row>
    <row r="665" spans="1:7">
      <c r="A665">
        <v>664</v>
      </c>
      <c r="B665" t="str">
        <f>"023543"</f>
        <v>0</v>
      </c>
      <c r="C665" t="s">
        <v>19206</v>
      </c>
      <c r="D665" t="s">
        <v>4896</v>
      </c>
      <c r="E665" t="str">
        <f>"3560100899501"</f>
        <v>0</v>
      </c>
      <c r="F665" t="str">
        <f>"000730"</f>
        <v>0</v>
      </c>
      <c r="G665" t="s">
        <v>18359</v>
      </c>
    </row>
    <row r="666" spans="1:7">
      <c r="A666">
        <v>665</v>
      </c>
      <c r="B666" t="str">
        <f>"023994"</f>
        <v>0</v>
      </c>
      <c r="C666" t="s">
        <v>425</v>
      </c>
      <c r="D666" t="s">
        <v>5674</v>
      </c>
      <c r="E666" t="str">
        <f>"3410601317298"</f>
        <v>0</v>
      </c>
      <c r="F666" t="str">
        <f>"000730"</f>
        <v>0</v>
      </c>
      <c r="G666" t="s">
        <v>18359</v>
      </c>
    </row>
    <row r="667" spans="1:7">
      <c r="A667">
        <v>666</v>
      </c>
      <c r="B667" t="str">
        <f>"024450"</f>
        <v>0</v>
      </c>
      <c r="C667" t="s">
        <v>14940</v>
      </c>
      <c r="D667" t="s">
        <v>19207</v>
      </c>
      <c r="E667" t="str">
        <f>"3500500026670"</f>
        <v>0</v>
      </c>
      <c r="F667" t="str">
        <f>"000730"</f>
        <v>0</v>
      </c>
      <c r="G667" t="s">
        <v>18359</v>
      </c>
    </row>
    <row r="668" spans="1:7">
      <c r="A668">
        <v>667</v>
      </c>
      <c r="B668" t="str">
        <f>"024909"</f>
        <v>0</v>
      </c>
      <c r="C668" t="s">
        <v>16354</v>
      </c>
      <c r="D668" t="s">
        <v>19208</v>
      </c>
      <c r="E668" t="str">
        <f>"3650700030564"</f>
        <v>0</v>
      </c>
      <c r="F668" t="str">
        <f>"000730"</f>
        <v>0</v>
      </c>
      <c r="G668" t="s">
        <v>18359</v>
      </c>
    </row>
    <row r="669" spans="1:7">
      <c r="A669">
        <v>668</v>
      </c>
      <c r="B669" t="str">
        <f>"025220"</f>
        <v>0</v>
      </c>
      <c r="C669" t="s">
        <v>17018</v>
      </c>
      <c r="D669" t="s">
        <v>19209</v>
      </c>
      <c r="E669" t="str">
        <f>"3570600022161"</f>
        <v>0</v>
      </c>
      <c r="F669" t="str">
        <f>"000730"</f>
        <v>0</v>
      </c>
      <c r="G669" t="s">
        <v>18359</v>
      </c>
    </row>
    <row r="670" spans="1:7">
      <c r="A670">
        <v>669</v>
      </c>
      <c r="B670" t="str">
        <f>"026968"</f>
        <v>0</v>
      </c>
      <c r="C670" t="s">
        <v>1820</v>
      </c>
      <c r="D670" t="s">
        <v>13310</v>
      </c>
      <c r="E670" t="str">
        <f>"3520800211341"</f>
        <v>0</v>
      </c>
      <c r="F670" t="str">
        <f>"000730"</f>
        <v>0</v>
      </c>
      <c r="G670" t="s">
        <v>18359</v>
      </c>
    </row>
    <row r="671" spans="1:7">
      <c r="A671">
        <v>670</v>
      </c>
      <c r="B671" t="str">
        <f>"026969"</f>
        <v>0</v>
      </c>
      <c r="C671" t="s">
        <v>19210</v>
      </c>
      <c r="D671" t="s">
        <v>13310</v>
      </c>
      <c r="E671" t="str">
        <f>"3102000888104"</f>
        <v>0</v>
      </c>
      <c r="F671" t="str">
        <f>"000730"</f>
        <v>0</v>
      </c>
      <c r="G671" t="s">
        <v>18359</v>
      </c>
    </row>
    <row r="672" spans="1:7">
      <c r="A672">
        <v>671</v>
      </c>
      <c r="B672" t="str">
        <f>"027289"</f>
        <v>0</v>
      </c>
      <c r="C672" t="s">
        <v>19211</v>
      </c>
      <c r="D672" t="s">
        <v>19212</v>
      </c>
      <c r="E672" t="str">
        <f>"3640500439426"</f>
        <v>0</v>
      </c>
      <c r="F672" t="str">
        <f>"000730"</f>
        <v>0</v>
      </c>
      <c r="G672" t="s">
        <v>18359</v>
      </c>
    </row>
    <row r="673" spans="1:7">
      <c r="A673">
        <v>672</v>
      </c>
      <c r="B673" t="str">
        <f>"011878"</f>
        <v>0</v>
      </c>
      <c r="C673" t="s">
        <v>19213</v>
      </c>
      <c r="D673" t="s">
        <v>19214</v>
      </c>
      <c r="E673" t="str">
        <f>"3500300021020"</f>
        <v>0</v>
      </c>
      <c r="F673" t="str">
        <f>"000730"</f>
        <v>0</v>
      </c>
      <c r="G673" t="s">
        <v>18359</v>
      </c>
    </row>
    <row r="674" spans="1:7">
      <c r="A674">
        <v>673</v>
      </c>
      <c r="B674" t="str">
        <f>"012037"</f>
        <v>0</v>
      </c>
      <c r="C674" t="s">
        <v>2216</v>
      </c>
      <c r="D674" t="s">
        <v>19215</v>
      </c>
      <c r="E674" t="str">
        <f>"4500100013749"</f>
        <v>0</v>
      </c>
      <c r="F674" t="str">
        <f>"000730"</f>
        <v>0</v>
      </c>
      <c r="G674" t="s">
        <v>18359</v>
      </c>
    </row>
    <row r="675" spans="1:7">
      <c r="A675">
        <v>674</v>
      </c>
      <c r="B675" t="str">
        <f>"013924"</f>
        <v>0</v>
      </c>
      <c r="C675" t="s">
        <v>1271</v>
      </c>
      <c r="D675" t="s">
        <v>19216</v>
      </c>
      <c r="E675" t="str">
        <f>"3510100458467"</f>
        <v>0</v>
      </c>
      <c r="F675" t="str">
        <f>"000730"</f>
        <v>0</v>
      </c>
      <c r="G675" t="s">
        <v>18359</v>
      </c>
    </row>
    <row r="676" spans="1:7">
      <c r="A676">
        <v>675</v>
      </c>
      <c r="B676" t="str">
        <f>"015485"</f>
        <v>0</v>
      </c>
      <c r="C676" t="s">
        <v>18388</v>
      </c>
      <c r="D676" t="s">
        <v>4572</v>
      </c>
      <c r="E676" t="str">
        <f>"3500300019556"</f>
        <v>0</v>
      </c>
      <c r="F676" t="str">
        <f>"000730"</f>
        <v>0</v>
      </c>
      <c r="G676" t="s">
        <v>18359</v>
      </c>
    </row>
    <row r="677" spans="1:7">
      <c r="A677">
        <v>676</v>
      </c>
      <c r="B677" t="str">
        <f>"017305"</f>
        <v>0</v>
      </c>
      <c r="C677" t="s">
        <v>19217</v>
      </c>
      <c r="D677" t="s">
        <v>11736</v>
      </c>
      <c r="E677" t="str">
        <f>"3841000008778"</f>
        <v>0</v>
      </c>
      <c r="F677" t="str">
        <f>"000730"</f>
        <v>0</v>
      </c>
      <c r="G677" t="s">
        <v>18359</v>
      </c>
    </row>
    <row r="678" spans="1:7">
      <c r="A678">
        <v>677</v>
      </c>
      <c r="B678" t="str">
        <f>"020963"</f>
        <v>0</v>
      </c>
      <c r="C678" t="s">
        <v>7565</v>
      </c>
      <c r="D678" t="s">
        <v>19218</v>
      </c>
      <c r="E678" t="str">
        <f>"3501500502081"</f>
        <v>0</v>
      </c>
      <c r="F678" t="str">
        <f>"000730"</f>
        <v>0</v>
      </c>
      <c r="G678" t="s">
        <v>18359</v>
      </c>
    </row>
    <row r="679" spans="1:7">
      <c r="A679">
        <v>678</v>
      </c>
      <c r="B679" t="str">
        <f>"026643"</f>
        <v>0</v>
      </c>
      <c r="C679" t="s">
        <v>19219</v>
      </c>
      <c r="D679" t="s">
        <v>19220</v>
      </c>
      <c r="E679" t="str">
        <f>"1509900181071"</f>
        <v>0</v>
      </c>
      <c r="F679" t="str">
        <f>"000730"</f>
        <v>0</v>
      </c>
      <c r="G679" t="s">
        <v>18359</v>
      </c>
    </row>
    <row r="680" spans="1:7">
      <c r="A680">
        <v>679</v>
      </c>
      <c r="B680" t="str">
        <f>"001401"</f>
        <v>0</v>
      </c>
      <c r="C680" t="s">
        <v>911</v>
      </c>
      <c r="D680" t="s">
        <v>19221</v>
      </c>
      <c r="E680" t="str">
        <f>"3501300618647"</f>
        <v>0</v>
      </c>
      <c r="F680" t="str">
        <f>"000730"</f>
        <v>0</v>
      </c>
      <c r="G680" t="s">
        <v>18359</v>
      </c>
    </row>
    <row r="681" spans="1:7">
      <c r="A681">
        <v>680</v>
      </c>
      <c r="B681" t="str">
        <f>"003275"</f>
        <v>0</v>
      </c>
      <c r="C681" t="s">
        <v>19222</v>
      </c>
      <c r="D681" t="s">
        <v>19223</v>
      </c>
      <c r="E681" t="str">
        <f>"3510600422895"</f>
        <v>0</v>
      </c>
      <c r="F681" t="str">
        <f>"000730"</f>
        <v>0</v>
      </c>
      <c r="G681" t="s">
        <v>18359</v>
      </c>
    </row>
    <row r="682" spans="1:7">
      <c r="A682">
        <v>681</v>
      </c>
      <c r="B682" t="str">
        <f>"005742"</f>
        <v>0</v>
      </c>
      <c r="C682" t="s">
        <v>5258</v>
      </c>
      <c r="D682" t="s">
        <v>19224</v>
      </c>
      <c r="E682" t="str">
        <f>"3509901064295"</f>
        <v>0</v>
      </c>
      <c r="F682" t="str">
        <f>"000730"</f>
        <v>0</v>
      </c>
      <c r="G682" t="s">
        <v>18359</v>
      </c>
    </row>
    <row r="683" spans="1:7">
      <c r="A683">
        <v>682</v>
      </c>
      <c r="B683" t="str">
        <f>"021315"</f>
        <v>0</v>
      </c>
      <c r="C683" t="s">
        <v>19225</v>
      </c>
      <c r="D683" t="s">
        <v>19226</v>
      </c>
      <c r="E683" t="str">
        <f>"3101202933142"</f>
        <v>0</v>
      </c>
      <c r="F683" t="str">
        <f>"000730"</f>
        <v>0</v>
      </c>
      <c r="G683" t="s">
        <v>18359</v>
      </c>
    </row>
    <row r="684" spans="1:7">
      <c r="A684">
        <v>683</v>
      </c>
      <c r="B684" t="str">
        <f>"006555"</f>
        <v>0</v>
      </c>
      <c r="C684" t="s">
        <v>19227</v>
      </c>
      <c r="D684" t="s">
        <v>19228</v>
      </c>
      <c r="E684" t="str">
        <f>"3500200387669"</f>
        <v>0</v>
      </c>
      <c r="F684" t="str">
        <f>"000730"</f>
        <v>0</v>
      </c>
      <c r="G684" t="s">
        <v>18359</v>
      </c>
    </row>
    <row r="685" spans="1:7">
      <c r="A685">
        <v>684</v>
      </c>
      <c r="B685" t="str">
        <f>"010336"</f>
        <v>0</v>
      </c>
      <c r="C685" t="s">
        <v>19229</v>
      </c>
      <c r="D685" t="s">
        <v>19230</v>
      </c>
      <c r="E685" t="str">
        <f>"3410101902388"</f>
        <v>0</v>
      </c>
      <c r="F685" t="str">
        <f>"000730"</f>
        <v>0</v>
      </c>
      <c r="G685" t="s">
        <v>18359</v>
      </c>
    </row>
    <row r="686" spans="1:7">
      <c r="A686">
        <v>685</v>
      </c>
      <c r="B686" t="str">
        <f>"010804"</f>
        <v>0</v>
      </c>
      <c r="C686" t="s">
        <v>19231</v>
      </c>
      <c r="D686" t="s">
        <v>19232</v>
      </c>
      <c r="E686" t="str">
        <f>"5960699007189"</f>
        <v>0</v>
      </c>
      <c r="F686" t="str">
        <f>"000730"</f>
        <v>0</v>
      </c>
      <c r="G686" t="s">
        <v>18359</v>
      </c>
    </row>
    <row r="687" spans="1:7">
      <c r="A687">
        <v>686</v>
      </c>
      <c r="B687" t="str">
        <f>"012480"</f>
        <v>0</v>
      </c>
      <c r="C687" t="s">
        <v>19233</v>
      </c>
      <c r="D687" t="s">
        <v>18081</v>
      </c>
      <c r="E687" t="str">
        <f>"3501900613611"</f>
        <v>0</v>
      </c>
      <c r="F687" t="str">
        <f>"000730"</f>
        <v>0</v>
      </c>
      <c r="G687" t="s">
        <v>18359</v>
      </c>
    </row>
    <row r="688" spans="1:7">
      <c r="A688">
        <v>687</v>
      </c>
      <c r="B688" t="str">
        <f>"013538"</f>
        <v>0</v>
      </c>
      <c r="C688" t="s">
        <v>6737</v>
      </c>
      <c r="D688" t="s">
        <v>6090</v>
      </c>
      <c r="E688" t="str">
        <f>"3600500155304"</f>
        <v>0</v>
      </c>
      <c r="F688" t="str">
        <f>"000730"</f>
        <v>0</v>
      </c>
      <c r="G688" t="s">
        <v>18359</v>
      </c>
    </row>
    <row r="689" spans="1:7">
      <c r="A689">
        <v>688</v>
      </c>
      <c r="B689" t="str">
        <f>"015500"</f>
        <v>0</v>
      </c>
      <c r="C689" t="s">
        <v>19234</v>
      </c>
      <c r="D689" t="s">
        <v>19235</v>
      </c>
      <c r="E689" t="str">
        <f>"3500700149767"</f>
        <v>0</v>
      </c>
      <c r="F689" t="str">
        <f>"000730"</f>
        <v>0</v>
      </c>
      <c r="G689" t="s">
        <v>18359</v>
      </c>
    </row>
    <row r="690" spans="1:7">
      <c r="A690">
        <v>689</v>
      </c>
      <c r="B690" t="str">
        <f>"019868"</f>
        <v>0</v>
      </c>
      <c r="C690" t="s">
        <v>19236</v>
      </c>
      <c r="D690" t="s">
        <v>19237</v>
      </c>
      <c r="E690" t="str">
        <f>"3500800031954"</f>
        <v>0</v>
      </c>
      <c r="F690" t="str">
        <f>"000730"</f>
        <v>0</v>
      </c>
      <c r="G690" t="s">
        <v>18359</v>
      </c>
    </row>
    <row r="691" spans="1:7">
      <c r="A691">
        <v>690</v>
      </c>
      <c r="B691" t="str">
        <f>"020490"</f>
        <v>0</v>
      </c>
      <c r="C691" t="s">
        <v>19238</v>
      </c>
      <c r="D691" t="s">
        <v>19239</v>
      </c>
      <c r="E691" t="str">
        <f>"3501400695112"</f>
        <v>0</v>
      </c>
      <c r="F691" t="str">
        <f>"000730"</f>
        <v>0</v>
      </c>
      <c r="G691" t="s">
        <v>18359</v>
      </c>
    </row>
    <row r="692" spans="1:7">
      <c r="A692">
        <v>691</v>
      </c>
      <c r="B692" t="str">
        <f>"020500"</f>
        <v>0</v>
      </c>
      <c r="C692" t="s">
        <v>9772</v>
      </c>
      <c r="D692" t="s">
        <v>19240</v>
      </c>
      <c r="E692" t="str">
        <f>"3501500299634"</f>
        <v>0</v>
      </c>
      <c r="F692" t="str">
        <f>"000730"</f>
        <v>0</v>
      </c>
      <c r="G692" t="s">
        <v>18359</v>
      </c>
    </row>
    <row r="693" spans="1:7">
      <c r="A693">
        <v>692</v>
      </c>
      <c r="B693" t="str">
        <f>"020673"</f>
        <v>0</v>
      </c>
      <c r="C693" t="s">
        <v>19241</v>
      </c>
      <c r="D693" t="s">
        <v>3567</v>
      </c>
      <c r="E693" t="str">
        <f>"3509901452244"</f>
        <v>0</v>
      </c>
      <c r="F693" t="str">
        <f>"000730"</f>
        <v>0</v>
      </c>
      <c r="G693" t="s">
        <v>18359</v>
      </c>
    </row>
    <row r="694" spans="1:7">
      <c r="A694">
        <v>693</v>
      </c>
      <c r="B694" t="str">
        <f>"020839"</f>
        <v>0</v>
      </c>
      <c r="C694" t="s">
        <v>18862</v>
      </c>
      <c r="D694" t="s">
        <v>19242</v>
      </c>
      <c r="E694" t="str">
        <f>"3500400436124"</f>
        <v>0</v>
      </c>
      <c r="F694" t="str">
        <f>"000730"</f>
        <v>0</v>
      </c>
      <c r="G694" t="s">
        <v>18359</v>
      </c>
    </row>
    <row r="695" spans="1:7">
      <c r="A695">
        <v>694</v>
      </c>
      <c r="B695" t="str">
        <f>"020914"</f>
        <v>0</v>
      </c>
      <c r="C695" t="s">
        <v>19243</v>
      </c>
      <c r="D695" t="s">
        <v>19244</v>
      </c>
      <c r="E695" t="str">
        <f>"3510400002833"</f>
        <v>0</v>
      </c>
      <c r="F695" t="str">
        <f>"000730"</f>
        <v>0</v>
      </c>
      <c r="G695" t="s">
        <v>18359</v>
      </c>
    </row>
    <row r="696" spans="1:7">
      <c r="A696">
        <v>695</v>
      </c>
      <c r="B696" t="str">
        <f>"021397"</f>
        <v>0</v>
      </c>
      <c r="C696" t="s">
        <v>847</v>
      </c>
      <c r="D696" t="s">
        <v>19245</v>
      </c>
      <c r="E696" t="str">
        <f>"3500900582294"</f>
        <v>0</v>
      </c>
      <c r="F696" t="str">
        <f>"000730"</f>
        <v>0</v>
      </c>
      <c r="G696" t="s">
        <v>18359</v>
      </c>
    </row>
    <row r="697" spans="1:7">
      <c r="A697">
        <v>696</v>
      </c>
      <c r="B697" t="str">
        <f>"021398"</f>
        <v>0</v>
      </c>
      <c r="C697" t="s">
        <v>346</v>
      </c>
      <c r="D697" t="s">
        <v>2654</v>
      </c>
      <c r="E697" t="str">
        <f>"3501900247933"</f>
        <v>0</v>
      </c>
      <c r="F697" t="str">
        <f>"000730"</f>
        <v>0</v>
      </c>
      <c r="G697" t="s">
        <v>18359</v>
      </c>
    </row>
    <row r="698" spans="1:7">
      <c r="A698">
        <v>697</v>
      </c>
      <c r="B698" t="str">
        <f>"021597"</f>
        <v>0</v>
      </c>
      <c r="C698" t="s">
        <v>16789</v>
      </c>
      <c r="D698" t="s">
        <v>19246</v>
      </c>
      <c r="E698" t="str">
        <f>"3509900312171"</f>
        <v>0</v>
      </c>
      <c r="F698" t="str">
        <f>"000730"</f>
        <v>0</v>
      </c>
      <c r="G698" t="s">
        <v>18359</v>
      </c>
    </row>
    <row r="699" spans="1:7">
      <c r="A699">
        <v>698</v>
      </c>
      <c r="B699" t="str">
        <f>"021753"</f>
        <v>0</v>
      </c>
      <c r="C699" t="s">
        <v>18810</v>
      </c>
      <c r="D699" t="s">
        <v>19247</v>
      </c>
      <c r="E699" t="str">
        <f>"1509900015766"</f>
        <v>0</v>
      </c>
      <c r="F699" t="str">
        <f>"000730"</f>
        <v>0</v>
      </c>
      <c r="G699" t="s">
        <v>18359</v>
      </c>
    </row>
    <row r="700" spans="1:7">
      <c r="A700">
        <v>699</v>
      </c>
      <c r="B700" t="str">
        <f>"021994"</f>
        <v>0</v>
      </c>
      <c r="C700" t="s">
        <v>19248</v>
      </c>
      <c r="D700" t="s">
        <v>8059</v>
      </c>
      <c r="E700" t="str">
        <f>"5501190004085"</f>
        <v>0</v>
      </c>
      <c r="F700" t="str">
        <f>"000730"</f>
        <v>0</v>
      </c>
      <c r="G700" t="s">
        <v>18359</v>
      </c>
    </row>
    <row r="701" spans="1:7">
      <c r="A701">
        <v>700</v>
      </c>
      <c r="B701" t="str">
        <f>"022121"</f>
        <v>0</v>
      </c>
      <c r="C701" t="s">
        <v>19249</v>
      </c>
      <c r="D701" t="s">
        <v>19250</v>
      </c>
      <c r="E701" t="str">
        <f>"3520500213569"</f>
        <v>0</v>
      </c>
      <c r="F701" t="str">
        <f>"000730"</f>
        <v>0</v>
      </c>
      <c r="G701" t="s">
        <v>18359</v>
      </c>
    </row>
    <row r="702" spans="1:7">
      <c r="A702">
        <v>701</v>
      </c>
      <c r="B702" t="str">
        <f>"022184"</f>
        <v>0</v>
      </c>
      <c r="C702" t="s">
        <v>19251</v>
      </c>
      <c r="D702" t="s">
        <v>11552</v>
      </c>
      <c r="E702" t="str">
        <f>"3501800009658"</f>
        <v>0</v>
      </c>
      <c r="F702" t="str">
        <f>"000730"</f>
        <v>0</v>
      </c>
      <c r="G702" t="s">
        <v>18359</v>
      </c>
    </row>
    <row r="703" spans="1:7">
      <c r="A703">
        <v>702</v>
      </c>
      <c r="B703" t="str">
        <f>"022736"</f>
        <v>0</v>
      </c>
      <c r="C703" t="s">
        <v>19252</v>
      </c>
      <c r="D703" t="s">
        <v>19253</v>
      </c>
      <c r="E703" t="str">
        <f>"3501000135586"</f>
        <v>0</v>
      </c>
      <c r="F703" t="str">
        <f>"000730"</f>
        <v>0</v>
      </c>
      <c r="G703" t="s">
        <v>18359</v>
      </c>
    </row>
    <row r="704" spans="1:7">
      <c r="A704">
        <v>703</v>
      </c>
      <c r="B704" t="str">
        <f>"022740"</f>
        <v>0</v>
      </c>
      <c r="C704" t="s">
        <v>2638</v>
      </c>
      <c r="D704" t="s">
        <v>2654</v>
      </c>
      <c r="E704" t="str">
        <f>"1509900424585"</f>
        <v>0</v>
      </c>
      <c r="F704" t="str">
        <f>"000730"</f>
        <v>0</v>
      </c>
      <c r="G704" t="s">
        <v>18359</v>
      </c>
    </row>
    <row r="705" spans="1:7">
      <c r="A705">
        <v>704</v>
      </c>
      <c r="B705" t="str">
        <f>"022742"</f>
        <v>0</v>
      </c>
      <c r="C705" t="s">
        <v>19254</v>
      </c>
      <c r="D705" t="s">
        <v>19255</v>
      </c>
      <c r="E705" t="str">
        <f>"3500600092178"</f>
        <v>0</v>
      </c>
      <c r="F705" t="str">
        <f>"000730"</f>
        <v>0</v>
      </c>
      <c r="G705" t="s">
        <v>18359</v>
      </c>
    </row>
    <row r="706" spans="1:7">
      <c r="A706">
        <v>705</v>
      </c>
      <c r="B706" t="str">
        <f>"022743"</f>
        <v>0</v>
      </c>
      <c r="C706" t="s">
        <v>19256</v>
      </c>
      <c r="D706" t="s">
        <v>19257</v>
      </c>
      <c r="E706" t="str">
        <f>"1501590000483"</f>
        <v>0</v>
      </c>
      <c r="F706" t="str">
        <f>"000730"</f>
        <v>0</v>
      </c>
      <c r="G706" t="s">
        <v>18359</v>
      </c>
    </row>
    <row r="707" spans="1:7">
      <c r="A707">
        <v>706</v>
      </c>
      <c r="B707" t="str">
        <f>"022804"</f>
        <v>0</v>
      </c>
      <c r="C707" t="s">
        <v>19258</v>
      </c>
      <c r="D707" t="s">
        <v>19259</v>
      </c>
      <c r="E707" t="str">
        <f>"1500900017345"</f>
        <v>0</v>
      </c>
      <c r="F707" t="str">
        <f>"000730"</f>
        <v>0</v>
      </c>
      <c r="G707" t="s">
        <v>18359</v>
      </c>
    </row>
    <row r="708" spans="1:7">
      <c r="A708">
        <v>707</v>
      </c>
      <c r="B708" t="str">
        <f>"022808"</f>
        <v>0</v>
      </c>
      <c r="C708" t="s">
        <v>19260</v>
      </c>
      <c r="D708" t="s">
        <v>19261</v>
      </c>
      <c r="E708" t="str">
        <f>"1509900058503"</f>
        <v>0</v>
      </c>
      <c r="F708" t="str">
        <f>"000730"</f>
        <v>0</v>
      </c>
      <c r="G708" t="s">
        <v>18359</v>
      </c>
    </row>
    <row r="709" spans="1:7">
      <c r="A709">
        <v>708</v>
      </c>
      <c r="B709" t="str">
        <f>"022859"</f>
        <v>0</v>
      </c>
      <c r="C709" t="s">
        <v>634</v>
      </c>
      <c r="D709" t="s">
        <v>19262</v>
      </c>
      <c r="E709" t="str">
        <f>"5100500096953"</f>
        <v>0</v>
      </c>
      <c r="F709" t="str">
        <f>"000730"</f>
        <v>0</v>
      </c>
      <c r="G709" t="s">
        <v>18359</v>
      </c>
    </row>
    <row r="710" spans="1:7">
      <c r="A710">
        <v>709</v>
      </c>
      <c r="B710" t="str">
        <f>"022973"</f>
        <v>0</v>
      </c>
      <c r="C710" t="s">
        <v>19263</v>
      </c>
      <c r="D710" t="s">
        <v>19264</v>
      </c>
      <c r="E710" t="str">
        <f>"3501200541057"</f>
        <v>0</v>
      </c>
      <c r="F710" t="str">
        <f>"000730"</f>
        <v>0</v>
      </c>
      <c r="G710" t="s">
        <v>18359</v>
      </c>
    </row>
    <row r="711" spans="1:7">
      <c r="A711">
        <v>710</v>
      </c>
      <c r="B711" t="str">
        <f>"023100"</f>
        <v>0</v>
      </c>
      <c r="C711" t="s">
        <v>3885</v>
      </c>
      <c r="D711" t="s">
        <v>19265</v>
      </c>
      <c r="E711" t="str">
        <f>"3501300126167"</f>
        <v>0</v>
      </c>
      <c r="F711" t="str">
        <f>"000730"</f>
        <v>0</v>
      </c>
      <c r="G711" t="s">
        <v>18359</v>
      </c>
    </row>
    <row r="712" spans="1:7">
      <c r="A712">
        <v>711</v>
      </c>
      <c r="B712" t="str">
        <f>"023327"</f>
        <v>0</v>
      </c>
      <c r="C712" t="s">
        <v>19266</v>
      </c>
      <c r="D712" t="s">
        <v>19267</v>
      </c>
      <c r="E712" t="str">
        <f>"1101500100061"</f>
        <v>0</v>
      </c>
      <c r="F712" t="str">
        <f>"000730"</f>
        <v>0</v>
      </c>
      <c r="G712" t="s">
        <v>18359</v>
      </c>
    </row>
    <row r="713" spans="1:7">
      <c r="A713">
        <v>712</v>
      </c>
      <c r="B713" t="str">
        <f>"023362"</f>
        <v>0</v>
      </c>
      <c r="C713" t="s">
        <v>2746</v>
      </c>
      <c r="D713" t="s">
        <v>1448</v>
      </c>
      <c r="E713" t="str">
        <f>"3500300256914"</f>
        <v>0</v>
      </c>
      <c r="F713" t="str">
        <f>"000730"</f>
        <v>0</v>
      </c>
      <c r="G713" t="s">
        <v>18359</v>
      </c>
    </row>
    <row r="714" spans="1:7">
      <c r="A714">
        <v>713</v>
      </c>
      <c r="B714" t="str">
        <f>"023467"</f>
        <v>0</v>
      </c>
      <c r="C714" t="s">
        <v>19268</v>
      </c>
      <c r="D714" t="s">
        <v>19269</v>
      </c>
      <c r="E714" t="str">
        <f>"1509900236070"</f>
        <v>0</v>
      </c>
      <c r="F714" t="str">
        <f>"000730"</f>
        <v>0</v>
      </c>
      <c r="G714" t="s">
        <v>18359</v>
      </c>
    </row>
    <row r="715" spans="1:7">
      <c r="A715">
        <v>714</v>
      </c>
      <c r="B715" t="str">
        <f>"023531"</f>
        <v>0</v>
      </c>
      <c r="C715" t="s">
        <v>11164</v>
      </c>
      <c r="D715" t="s">
        <v>19270</v>
      </c>
      <c r="E715" t="str">
        <f>"1509900192731"</f>
        <v>0</v>
      </c>
      <c r="F715" t="str">
        <f>"000730"</f>
        <v>0</v>
      </c>
      <c r="G715" t="s">
        <v>18359</v>
      </c>
    </row>
    <row r="716" spans="1:7">
      <c r="A716">
        <v>715</v>
      </c>
      <c r="B716" t="str">
        <f>"023970"</f>
        <v>0</v>
      </c>
      <c r="C716" t="s">
        <v>7901</v>
      </c>
      <c r="D716" t="s">
        <v>19271</v>
      </c>
      <c r="E716" t="str">
        <f>"3500100428088"</f>
        <v>0</v>
      </c>
      <c r="F716" t="str">
        <f>"000730"</f>
        <v>0</v>
      </c>
      <c r="G716" t="s">
        <v>18359</v>
      </c>
    </row>
    <row r="717" spans="1:7">
      <c r="A717">
        <v>716</v>
      </c>
      <c r="B717" t="str">
        <f>"023997"</f>
        <v>0</v>
      </c>
      <c r="C717" t="s">
        <v>6589</v>
      </c>
      <c r="D717" t="s">
        <v>6441</v>
      </c>
      <c r="E717" t="str">
        <f>"1509900257336"</f>
        <v>0</v>
      </c>
      <c r="F717" t="str">
        <f>"000730"</f>
        <v>0</v>
      </c>
      <c r="G717" t="s">
        <v>18359</v>
      </c>
    </row>
    <row r="718" spans="1:7">
      <c r="A718">
        <v>717</v>
      </c>
      <c r="B718" t="str">
        <f>"024214"</f>
        <v>0</v>
      </c>
      <c r="C718" t="s">
        <v>19272</v>
      </c>
      <c r="D718" t="s">
        <v>19273</v>
      </c>
      <c r="E718" t="str">
        <f>"1500300067988"</f>
        <v>0</v>
      </c>
      <c r="F718" t="str">
        <f>"000730"</f>
        <v>0</v>
      </c>
      <c r="G718" t="s">
        <v>18359</v>
      </c>
    </row>
    <row r="719" spans="1:7">
      <c r="A719">
        <v>718</v>
      </c>
      <c r="B719" t="str">
        <f>"024217"</f>
        <v>0</v>
      </c>
      <c r="C719" t="s">
        <v>9442</v>
      </c>
      <c r="D719" t="s">
        <v>19274</v>
      </c>
      <c r="E719" t="str">
        <f>"3501000355101"</f>
        <v>0</v>
      </c>
      <c r="F719" t="str">
        <f>"000730"</f>
        <v>0</v>
      </c>
      <c r="G719" t="s">
        <v>18359</v>
      </c>
    </row>
    <row r="720" spans="1:7">
      <c r="A720">
        <v>719</v>
      </c>
      <c r="B720" t="str">
        <f>"024787"</f>
        <v>0</v>
      </c>
      <c r="C720" t="s">
        <v>5407</v>
      </c>
      <c r="D720" t="s">
        <v>19275</v>
      </c>
      <c r="E720" t="str">
        <f>"5560600004607"</f>
        <v>0</v>
      </c>
      <c r="F720" t="str">
        <f>"000730"</f>
        <v>0</v>
      </c>
      <c r="G720" t="s">
        <v>18359</v>
      </c>
    </row>
    <row r="721" spans="1:7">
      <c r="A721">
        <v>720</v>
      </c>
      <c r="B721" t="str">
        <f>"024834"</f>
        <v>0</v>
      </c>
      <c r="C721" t="s">
        <v>19219</v>
      </c>
      <c r="D721" t="s">
        <v>19276</v>
      </c>
      <c r="E721" t="str">
        <f>"1500900020036"</f>
        <v>0</v>
      </c>
      <c r="F721" t="str">
        <f>"000730"</f>
        <v>0</v>
      </c>
      <c r="G721" t="s">
        <v>18359</v>
      </c>
    </row>
    <row r="722" spans="1:7">
      <c r="A722">
        <v>721</v>
      </c>
      <c r="B722" t="str">
        <f>"024935"</f>
        <v>0</v>
      </c>
      <c r="C722" t="s">
        <v>19277</v>
      </c>
      <c r="D722" t="s">
        <v>19278</v>
      </c>
      <c r="E722" t="str">
        <f>"1500400007898"</f>
        <v>0</v>
      </c>
      <c r="F722" t="str">
        <f>"000730"</f>
        <v>0</v>
      </c>
      <c r="G722" t="s">
        <v>18359</v>
      </c>
    </row>
    <row r="723" spans="1:7">
      <c r="A723">
        <v>722</v>
      </c>
      <c r="B723" t="str">
        <f>"025251"</f>
        <v>0</v>
      </c>
      <c r="C723" t="s">
        <v>19279</v>
      </c>
      <c r="D723" t="s">
        <v>19280</v>
      </c>
      <c r="E723" t="str">
        <f>"3501400622174"</f>
        <v>0</v>
      </c>
      <c r="F723" t="str">
        <f>"000730"</f>
        <v>0</v>
      </c>
      <c r="G723" t="s">
        <v>18359</v>
      </c>
    </row>
    <row r="724" spans="1:7">
      <c r="A724">
        <v>723</v>
      </c>
      <c r="B724" t="str">
        <f>"025254"</f>
        <v>0</v>
      </c>
      <c r="C724" t="s">
        <v>19281</v>
      </c>
      <c r="D724" t="s">
        <v>19282</v>
      </c>
      <c r="E724" t="str">
        <f>"3500901055956"</f>
        <v>0</v>
      </c>
      <c r="F724" t="str">
        <f>"000730"</f>
        <v>0</v>
      </c>
      <c r="G724" t="s">
        <v>18359</v>
      </c>
    </row>
    <row r="725" spans="1:7">
      <c r="A725">
        <v>724</v>
      </c>
      <c r="B725" t="str">
        <f>"025257"</f>
        <v>0</v>
      </c>
      <c r="C725" t="s">
        <v>19283</v>
      </c>
      <c r="D725" t="s">
        <v>19284</v>
      </c>
      <c r="E725" t="str">
        <f>"1509900067561"</f>
        <v>0</v>
      </c>
      <c r="F725" t="str">
        <f>"000730"</f>
        <v>0</v>
      </c>
      <c r="G725" t="s">
        <v>18359</v>
      </c>
    </row>
    <row r="726" spans="1:7">
      <c r="A726">
        <v>725</v>
      </c>
      <c r="B726" t="str">
        <f>"025307"</f>
        <v>0</v>
      </c>
      <c r="C726" t="s">
        <v>14071</v>
      </c>
      <c r="D726" t="s">
        <v>19285</v>
      </c>
      <c r="E726" t="str">
        <f>"1500200110296"</f>
        <v>0</v>
      </c>
      <c r="F726" t="str">
        <f>"000730"</f>
        <v>0</v>
      </c>
      <c r="G726" t="s">
        <v>18359</v>
      </c>
    </row>
    <row r="727" spans="1:7">
      <c r="A727">
        <v>726</v>
      </c>
      <c r="B727" t="str">
        <f>"025361"</f>
        <v>0</v>
      </c>
      <c r="C727" t="s">
        <v>1577</v>
      </c>
      <c r="D727" t="s">
        <v>19286</v>
      </c>
      <c r="E727" t="str">
        <f>"3500300012616"</f>
        <v>0</v>
      </c>
      <c r="F727" t="str">
        <f>"000730"</f>
        <v>0</v>
      </c>
      <c r="G727" t="s">
        <v>18359</v>
      </c>
    </row>
    <row r="728" spans="1:7">
      <c r="A728">
        <v>727</v>
      </c>
      <c r="B728" t="str">
        <f>"025447"</f>
        <v>0</v>
      </c>
      <c r="C728" t="s">
        <v>19287</v>
      </c>
      <c r="D728" t="s">
        <v>19288</v>
      </c>
      <c r="E728" t="str">
        <f>"1509900204313"</f>
        <v>0</v>
      </c>
      <c r="F728" t="str">
        <f>"000730"</f>
        <v>0</v>
      </c>
      <c r="G728" t="s">
        <v>18359</v>
      </c>
    </row>
    <row r="729" spans="1:7">
      <c r="A729">
        <v>728</v>
      </c>
      <c r="B729" t="str">
        <f>"025586"</f>
        <v>0</v>
      </c>
      <c r="C729" t="s">
        <v>19289</v>
      </c>
      <c r="D729" t="s">
        <v>19290</v>
      </c>
      <c r="E729" t="str">
        <f>"3500400449218"</f>
        <v>0</v>
      </c>
      <c r="F729" t="str">
        <f>"000730"</f>
        <v>0</v>
      </c>
      <c r="G729" t="s">
        <v>18359</v>
      </c>
    </row>
    <row r="730" spans="1:7">
      <c r="A730">
        <v>729</v>
      </c>
      <c r="B730" t="str">
        <f>"025864"</f>
        <v>0</v>
      </c>
      <c r="C730" t="s">
        <v>5874</v>
      </c>
      <c r="D730" t="s">
        <v>5922</v>
      </c>
      <c r="E730" t="str">
        <f>"1509900041121"</f>
        <v>0</v>
      </c>
      <c r="F730" t="str">
        <f>"000730"</f>
        <v>0</v>
      </c>
      <c r="G730" t="s">
        <v>18359</v>
      </c>
    </row>
    <row r="731" spans="1:7">
      <c r="A731">
        <v>730</v>
      </c>
      <c r="B731" t="str">
        <f>"026117"</f>
        <v>0</v>
      </c>
      <c r="C731" t="s">
        <v>18623</v>
      </c>
      <c r="D731" t="s">
        <v>10947</v>
      </c>
      <c r="E731" t="str">
        <f>"1509900559804"</f>
        <v>0</v>
      </c>
      <c r="F731" t="str">
        <f>"000730"</f>
        <v>0</v>
      </c>
      <c r="G731" t="s">
        <v>18359</v>
      </c>
    </row>
    <row r="732" spans="1:7">
      <c r="A732">
        <v>731</v>
      </c>
      <c r="B732" t="str">
        <f>"026298"</f>
        <v>0</v>
      </c>
      <c r="C732" t="s">
        <v>19291</v>
      </c>
      <c r="D732" t="s">
        <v>19292</v>
      </c>
      <c r="E732" t="str">
        <f>"1509900769256"</f>
        <v>0</v>
      </c>
      <c r="F732" t="str">
        <f>"000730"</f>
        <v>0</v>
      </c>
      <c r="G732" t="s">
        <v>18359</v>
      </c>
    </row>
    <row r="733" spans="1:7">
      <c r="A733">
        <v>732</v>
      </c>
      <c r="B733" t="str">
        <f>"026480"</f>
        <v>0</v>
      </c>
      <c r="C733" t="s">
        <v>7071</v>
      </c>
      <c r="D733" t="s">
        <v>19293</v>
      </c>
      <c r="E733" t="str">
        <f>"1500200147114"</f>
        <v>0</v>
      </c>
      <c r="F733" t="str">
        <f>"000730"</f>
        <v>0</v>
      </c>
      <c r="G733" t="s">
        <v>18359</v>
      </c>
    </row>
    <row r="734" spans="1:7">
      <c r="A734">
        <v>733</v>
      </c>
      <c r="B734" t="str">
        <f>"027280"</f>
        <v>0</v>
      </c>
      <c r="C734" t="s">
        <v>19294</v>
      </c>
      <c r="D734" t="s">
        <v>19295</v>
      </c>
      <c r="E734" t="str">
        <f>"3501100272330"</f>
        <v>0</v>
      </c>
      <c r="F734" t="str">
        <f>"000730"</f>
        <v>0</v>
      </c>
      <c r="G734" t="s">
        <v>18359</v>
      </c>
    </row>
    <row r="735" spans="1:7">
      <c r="A735">
        <v>734</v>
      </c>
      <c r="B735" t="str">
        <f>"027281"</f>
        <v>0</v>
      </c>
      <c r="C735" t="s">
        <v>19296</v>
      </c>
      <c r="D735" t="s">
        <v>14190</v>
      </c>
      <c r="E735" t="str">
        <f>"3909800057311"</f>
        <v>0</v>
      </c>
      <c r="F735" t="str">
        <f>"000730"</f>
        <v>0</v>
      </c>
      <c r="G735" t="s">
        <v>18359</v>
      </c>
    </row>
    <row r="736" spans="1:7">
      <c r="A736">
        <v>735</v>
      </c>
      <c r="B736" t="str">
        <f>"017934"</f>
        <v>0</v>
      </c>
      <c r="C736" t="s">
        <v>12307</v>
      </c>
      <c r="D736" t="s">
        <v>5159</v>
      </c>
      <c r="E736" t="str">
        <f>"3501600326625"</f>
        <v>0</v>
      </c>
      <c r="F736" t="str">
        <f>"000730"</f>
        <v>0</v>
      </c>
      <c r="G736" t="s">
        <v>18359</v>
      </c>
    </row>
    <row r="737" spans="1:7">
      <c r="A737">
        <v>736</v>
      </c>
      <c r="B737" t="str">
        <f>"018623"</f>
        <v>0</v>
      </c>
      <c r="C737" t="s">
        <v>19297</v>
      </c>
      <c r="D737" t="s">
        <v>19298</v>
      </c>
      <c r="E737" t="str">
        <f>"3510101227094"</f>
        <v>0</v>
      </c>
      <c r="F737" t="str">
        <f>"000730"</f>
        <v>0</v>
      </c>
      <c r="G737" t="s">
        <v>18359</v>
      </c>
    </row>
    <row r="738" spans="1:7">
      <c r="A738">
        <v>737</v>
      </c>
      <c r="B738" t="str">
        <f>"020657"</f>
        <v>0</v>
      </c>
      <c r="C738" t="s">
        <v>8070</v>
      </c>
      <c r="D738" t="s">
        <v>19299</v>
      </c>
      <c r="E738" t="str">
        <f>"3620300003322"</f>
        <v>0</v>
      </c>
      <c r="F738" t="str">
        <f>"000730"</f>
        <v>0</v>
      </c>
      <c r="G738" t="s">
        <v>18359</v>
      </c>
    </row>
    <row r="739" spans="1:7">
      <c r="A739">
        <v>738</v>
      </c>
      <c r="B739" t="str">
        <f>"022993"</f>
        <v>0</v>
      </c>
      <c r="C739" t="s">
        <v>19300</v>
      </c>
      <c r="D739" t="s">
        <v>13187</v>
      </c>
      <c r="E739" t="str">
        <f>"3520900098473"</f>
        <v>0</v>
      </c>
      <c r="F739" t="str">
        <f>"000730"</f>
        <v>0</v>
      </c>
      <c r="G739" t="s">
        <v>18359</v>
      </c>
    </row>
    <row r="740" spans="1:7">
      <c r="A740">
        <v>739</v>
      </c>
      <c r="B740" t="str">
        <f>"023181"</f>
        <v>0</v>
      </c>
      <c r="C740" t="s">
        <v>19301</v>
      </c>
      <c r="D740" t="s">
        <v>19302</v>
      </c>
      <c r="E740" t="str">
        <f>"5510690017223"</f>
        <v>0</v>
      </c>
      <c r="F740" t="str">
        <f>"000730"</f>
        <v>0</v>
      </c>
      <c r="G740" t="s">
        <v>18359</v>
      </c>
    </row>
    <row r="741" spans="1:7">
      <c r="A741">
        <v>740</v>
      </c>
      <c r="B741" t="str">
        <f>"026122"</f>
        <v>0</v>
      </c>
      <c r="C741" t="s">
        <v>19303</v>
      </c>
      <c r="D741" t="s">
        <v>18237</v>
      </c>
      <c r="E741" t="str">
        <f>"1510400089363"</f>
        <v>0</v>
      </c>
      <c r="F741" t="str">
        <f>"000730"</f>
        <v>0</v>
      </c>
      <c r="G741" t="s">
        <v>18359</v>
      </c>
    </row>
    <row r="742" spans="1:7">
      <c r="A742">
        <v>741</v>
      </c>
      <c r="B742" t="str">
        <f>"026023"</f>
        <v>0</v>
      </c>
      <c r="C742" t="s">
        <v>19304</v>
      </c>
      <c r="D742" t="s">
        <v>19305</v>
      </c>
      <c r="E742" t="str">
        <f>"3570900306700"</f>
        <v>0</v>
      </c>
      <c r="F742" t="str">
        <f>"000730"</f>
        <v>0</v>
      </c>
      <c r="G742" t="s">
        <v>18359</v>
      </c>
    </row>
    <row r="743" spans="1:7">
      <c r="A743">
        <v>742</v>
      </c>
      <c r="B743" t="str">
        <f>"025866"</f>
        <v>0</v>
      </c>
      <c r="C743" t="s">
        <v>19306</v>
      </c>
      <c r="D743" t="s">
        <v>19307</v>
      </c>
      <c r="E743" t="str">
        <f>"1159900082653"</f>
        <v>0</v>
      </c>
      <c r="F743" t="str">
        <f>"000730"</f>
        <v>0</v>
      </c>
      <c r="G743" t="s">
        <v>18359</v>
      </c>
    </row>
    <row r="744" spans="1:7">
      <c r="A744">
        <v>743</v>
      </c>
      <c r="B744" t="str">
        <f>"017965"</f>
        <v>0</v>
      </c>
      <c r="C744" t="s">
        <v>19308</v>
      </c>
      <c r="D744" t="s">
        <v>19309</v>
      </c>
      <c r="E744" t="str">
        <f>"3440800760787"</f>
        <v>0</v>
      </c>
      <c r="F744" t="str">
        <f>"000730"</f>
        <v>0</v>
      </c>
      <c r="G744" t="s">
        <v>18359</v>
      </c>
    </row>
    <row r="745" spans="1:7">
      <c r="A745">
        <v>744</v>
      </c>
      <c r="B745" t="str">
        <f>"019313"</f>
        <v>0</v>
      </c>
      <c r="C745" t="s">
        <v>19310</v>
      </c>
      <c r="D745" t="s">
        <v>11095</v>
      </c>
      <c r="E745" t="str">
        <f>"3501400306493"</f>
        <v>0</v>
      </c>
      <c r="F745" t="str">
        <f>"000730"</f>
        <v>0</v>
      </c>
      <c r="G745" t="s">
        <v>18359</v>
      </c>
    </row>
    <row r="746" spans="1:7">
      <c r="A746">
        <v>745</v>
      </c>
      <c r="B746" t="str">
        <f>"026170"</f>
        <v>0</v>
      </c>
      <c r="C746" t="s">
        <v>19311</v>
      </c>
      <c r="D746" t="s">
        <v>19312</v>
      </c>
      <c r="E746" t="str">
        <f>"1630100015266"</f>
        <v>0</v>
      </c>
      <c r="F746" t="str">
        <f>"000730"</f>
        <v>0</v>
      </c>
      <c r="G746" t="s">
        <v>18359</v>
      </c>
    </row>
    <row r="747" spans="1:7">
      <c r="A747">
        <v>746</v>
      </c>
      <c r="B747" t="str">
        <f>"018723"</f>
        <v>0</v>
      </c>
      <c r="C747" t="s">
        <v>3808</v>
      </c>
      <c r="D747" t="s">
        <v>19313</v>
      </c>
      <c r="E747" t="str">
        <f>"3509900616952"</f>
        <v>0</v>
      </c>
      <c r="F747" t="str">
        <f>"000730"</f>
        <v>0</v>
      </c>
      <c r="G747" t="s">
        <v>18359</v>
      </c>
    </row>
    <row r="748" spans="1:7">
      <c r="A748">
        <v>747</v>
      </c>
      <c r="B748" t="str">
        <f>"020018"</f>
        <v>0</v>
      </c>
      <c r="C748" t="s">
        <v>10188</v>
      </c>
      <c r="D748" t="s">
        <v>131</v>
      </c>
      <c r="E748" t="str">
        <f>"3501900557673"</f>
        <v>0</v>
      </c>
      <c r="F748" t="str">
        <f>"000730"</f>
        <v>0</v>
      </c>
      <c r="G748" t="s">
        <v>18359</v>
      </c>
    </row>
    <row r="749" spans="1:7">
      <c r="A749">
        <v>748</v>
      </c>
      <c r="B749" t="str">
        <f>"023360"</f>
        <v>0</v>
      </c>
      <c r="C749" t="s">
        <v>19314</v>
      </c>
      <c r="D749" t="s">
        <v>19315</v>
      </c>
      <c r="E749" t="str">
        <f>"1509900176409"</f>
        <v>0</v>
      </c>
      <c r="F749" t="str">
        <f>"000730"</f>
        <v>0</v>
      </c>
      <c r="G749" t="s">
        <v>18359</v>
      </c>
    </row>
    <row r="750" spans="1:7">
      <c r="A750">
        <v>749</v>
      </c>
      <c r="B750" t="str">
        <f>"024514"</f>
        <v>0</v>
      </c>
      <c r="C750" t="s">
        <v>19316</v>
      </c>
      <c r="D750" t="s">
        <v>19317</v>
      </c>
      <c r="E750" t="str">
        <f>"3501200776330"</f>
        <v>0</v>
      </c>
      <c r="F750" t="str">
        <f>"000730"</f>
        <v>0</v>
      </c>
      <c r="G750" t="s">
        <v>18359</v>
      </c>
    </row>
    <row r="751" spans="1:7">
      <c r="A751">
        <v>750</v>
      </c>
      <c r="B751" t="str">
        <f>"015272"</f>
        <v>0</v>
      </c>
      <c r="C751" t="s">
        <v>10408</v>
      </c>
      <c r="D751" t="s">
        <v>19318</v>
      </c>
      <c r="E751" t="str">
        <f>"3501300060891"</f>
        <v>0</v>
      </c>
      <c r="F751" t="str">
        <f>"000730"</f>
        <v>0</v>
      </c>
      <c r="G751" t="s">
        <v>18359</v>
      </c>
    </row>
    <row r="752" spans="1:7">
      <c r="A752">
        <v>751</v>
      </c>
      <c r="B752" t="str">
        <f>"018698"</f>
        <v>0</v>
      </c>
      <c r="C752" t="s">
        <v>9569</v>
      </c>
      <c r="D752" t="s">
        <v>19319</v>
      </c>
      <c r="E752" t="str">
        <f>"3860300279105"</f>
        <v>0</v>
      </c>
      <c r="F752" t="str">
        <f>"000790"</f>
        <v>0</v>
      </c>
      <c r="G752" t="s">
        <v>18359</v>
      </c>
    </row>
    <row r="753" spans="1:7">
      <c r="A753">
        <v>752</v>
      </c>
      <c r="B753" t="str">
        <f>"021772"</f>
        <v>0</v>
      </c>
      <c r="C753" t="s">
        <v>19320</v>
      </c>
      <c r="D753" t="s">
        <v>19321</v>
      </c>
      <c r="E753" t="str">
        <f>"3640600660850"</f>
        <v>0</v>
      </c>
      <c r="F753" t="str">
        <f>"000790"</f>
        <v>0</v>
      </c>
      <c r="G753" t="s">
        <v>18359</v>
      </c>
    </row>
    <row r="754" spans="1:7">
      <c r="A754">
        <v>753</v>
      </c>
      <c r="B754" t="str">
        <f>"023506"</f>
        <v>0</v>
      </c>
      <c r="C754" t="s">
        <v>14781</v>
      </c>
      <c r="D754" t="s">
        <v>19322</v>
      </c>
      <c r="E754" t="str">
        <f>"3230300228069"</f>
        <v>0</v>
      </c>
      <c r="F754" t="str">
        <f>"000790"</f>
        <v>0</v>
      </c>
      <c r="G754" t="s">
        <v>18359</v>
      </c>
    </row>
    <row r="755" spans="1:7">
      <c r="A755">
        <v>754</v>
      </c>
      <c r="B755" t="str">
        <f>"024994"</f>
        <v>0</v>
      </c>
      <c r="C755" t="s">
        <v>19323</v>
      </c>
      <c r="D755" t="s">
        <v>19324</v>
      </c>
      <c r="E755" t="str">
        <f>"3640500905478"</f>
        <v>0</v>
      </c>
      <c r="F755" t="str">
        <f>"000790"</f>
        <v>0</v>
      </c>
      <c r="G755" t="s">
        <v>18359</v>
      </c>
    </row>
    <row r="756" spans="1:7">
      <c r="A756">
        <v>755</v>
      </c>
      <c r="B756" t="str">
        <f>"027111"</f>
        <v>0</v>
      </c>
      <c r="C756" t="s">
        <v>19325</v>
      </c>
      <c r="D756" t="s">
        <v>19326</v>
      </c>
      <c r="E756" t="str">
        <f>"1860700037943"</f>
        <v>0</v>
      </c>
      <c r="F756" t="str">
        <f>"000790"</f>
        <v>0</v>
      </c>
      <c r="G756" t="s">
        <v>18359</v>
      </c>
    </row>
    <row r="757" spans="1:7">
      <c r="A757">
        <v>756</v>
      </c>
      <c r="B757" t="str">
        <f>"005870"</f>
        <v>0</v>
      </c>
      <c r="C757" t="s">
        <v>19327</v>
      </c>
      <c r="D757" t="s">
        <v>19328</v>
      </c>
      <c r="E757" t="str">
        <f>"3620100322394"</f>
        <v>0</v>
      </c>
      <c r="F757" t="str">
        <f>"000800"</f>
        <v>0</v>
      </c>
      <c r="G757" t="s">
        <v>18359</v>
      </c>
    </row>
    <row r="758" spans="1:7">
      <c r="A758">
        <v>757</v>
      </c>
      <c r="B758" t="str">
        <f>"006981"</f>
        <v>0</v>
      </c>
      <c r="C758" t="s">
        <v>19329</v>
      </c>
      <c r="D758" t="s">
        <v>7429</v>
      </c>
      <c r="E758" t="str">
        <f>"5150199001201"</f>
        <v>0</v>
      </c>
      <c r="F758" t="str">
        <f>"000800"</f>
        <v>0</v>
      </c>
      <c r="G758" t="s">
        <v>18359</v>
      </c>
    </row>
    <row r="759" spans="1:7">
      <c r="A759">
        <v>758</v>
      </c>
      <c r="B759" t="str">
        <f>"007940"</f>
        <v>0</v>
      </c>
      <c r="C759" t="s">
        <v>19330</v>
      </c>
      <c r="D759" t="s">
        <v>17616</v>
      </c>
      <c r="E759" t="str">
        <f>"3630600252000"</f>
        <v>0</v>
      </c>
      <c r="F759" t="str">
        <f>"000800"</f>
        <v>0</v>
      </c>
      <c r="G759" t="s">
        <v>18359</v>
      </c>
    </row>
    <row r="760" spans="1:7">
      <c r="A760">
        <v>759</v>
      </c>
      <c r="B760" t="str">
        <f>"008577"</f>
        <v>0</v>
      </c>
      <c r="C760" t="s">
        <v>8482</v>
      </c>
      <c r="D760" t="s">
        <v>19331</v>
      </c>
      <c r="E760" t="str">
        <f>"3639900115065"</f>
        <v>0</v>
      </c>
      <c r="F760" t="str">
        <f>"000800"</f>
        <v>0</v>
      </c>
      <c r="G760" t="s">
        <v>18359</v>
      </c>
    </row>
    <row r="761" spans="1:7">
      <c r="A761">
        <v>760</v>
      </c>
      <c r="B761" t="str">
        <f>"009189"</f>
        <v>0</v>
      </c>
      <c r="C761" t="s">
        <v>19332</v>
      </c>
      <c r="D761" t="s">
        <v>19333</v>
      </c>
      <c r="E761" t="str">
        <f>"3620200045040"</f>
        <v>0</v>
      </c>
      <c r="F761" t="str">
        <f>"000800"</f>
        <v>0</v>
      </c>
      <c r="G761" t="s">
        <v>18359</v>
      </c>
    </row>
    <row r="762" spans="1:7">
      <c r="A762">
        <v>761</v>
      </c>
      <c r="B762" t="str">
        <f>"009590"</f>
        <v>0</v>
      </c>
      <c r="C762" t="s">
        <v>525</v>
      </c>
      <c r="D762" t="s">
        <v>19334</v>
      </c>
      <c r="E762" t="str">
        <f>"3630400228156"</f>
        <v>0</v>
      </c>
      <c r="F762" t="str">
        <f>"000800"</f>
        <v>0</v>
      </c>
      <c r="G762" t="s">
        <v>18359</v>
      </c>
    </row>
    <row r="763" spans="1:7">
      <c r="A763">
        <v>762</v>
      </c>
      <c r="B763" t="str">
        <f>"010012"</f>
        <v>0</v>
      </c>
      <c r="C763" t="s">
        <v>3638</v>
      </c>
      <c r="D763" t="s">
        <v>15396</v>
      </c>
      <c r="E763" t="str">
        <f>"3639800022111"</f>
        <v>0</v>
      </c>
      <c r="F763" t="str">
        <f>"000800"</f>
        <v>0</v>
      </c>
      <c r="G763" t="s">
        <v>18359</v>
      </c>
    </row>
    <row r="764" spans="1:7">
      <c r="A764">
        <v>763</v>
      </c>
      <c r="B764" t="str">
        <f>"023635"</f>
        <v>0</v>
      </c>
      <c r="C764" t="s">
        <v>19335</v>
      </c>
      <c r="D764" t="s">
        <v>19336</v>
      </c>
      <c r="E764" t="str">
        <f>"3630100739333"</f>
        <v>0</v>
      </c>
      <c r="F764" t="str">
        <f>"000800"</f>
        <v>0</v>
      </c>
      <c r="G764" t="s">
        <v>18359</v>
      </c>
    </row>
    <row r="765" spans="1:7">
      <c r="A765">
        <v>764</v>
      </c>
      <c r="B765" t="str">
        <f>"025707"</f>
        <v>0</v>
      </c>
      <c r="C765" t="s">
        <v>19337</v>
      </c>
      <c r="D765" t="s">
        <v>19338</v>
      </c>
      <c r="E765" t="str">
        <f>"1509900607345"</f>
        <v>0</v>
      </c>
      <c r="F765" t="str">
        <f>"000800"</f>
        <v>0</v>
      </c>
      <c r="G765" t="s">
        <v>18359</v>
      </c>
    </row>
    <row r="766" spans="1:7">
      <c r="A766">
        <v>765</v>
      </c>
      <c r="B766" t="str">
        <f>"026694"</f>
        <v>0</v>
      </c>
      <c r="C766" t="s">
        <v>4388</v>
      </c>
      <c r="D766" t="s">
        <v>5298</v>
      </c>
      <c r="E766" t="str">
        <f>"1509900545412"</f>
        <v>0</v>
      </c>
      <c r="F766" t="str">
        <f>"000800"</f>
        <v>0</v>
      </c>
      <c r="G766" t="s">
        <v>18359</v>
      </c>
    </row>
    <row r="767" spans="1:7">
      <c r="A767">
        <v>766</v>
      </c>
      <c r="B767" t="str">
        <f>"026699"</f>
        <v>0</v>
      </c>
      <c r="C767" t="s">
        <v>6806</v>
      </c>
      <c r="D767" t="s">
        <v>19339</v>
      </c>
      <c r="E767" t="str">
        <f>"1509901335705"</f>
        <v>0</v>
      </c>
      <c r="F767" t="str">
        <f>"000800"</f>
        <v>0</v>
      </c>
      <c r="G767" t="s">
        <v>18359</v>
      </c>
    </row>
    <row r="768" spans="1:7">
      <c r="A768">
        <v>767</v>
      </c>
      <c r="B768" t="str">
        <f>"007007"</f>
        <v>0</v>
      </c>
      <c r="C768" t="s">
        <v>10585</v>
      </c>
      <c r="D768" t="s">
        <v>479</v>
      </c>
      <c r="E768" t="str">
        <f>"3550500278822"</f>
        <v>0</v>
      </c>
      <c r="F768" t="str">
        <f>"000800"</f>
        <v>0</v>
      </c>
      <c r="G768" t="s">
        <v>18359</v>
      </c>
    </row>
    <row r="769" spans="1:7">
      <c r="A769">
        <v>768</v>
      </c>
      <c r="B769" t="str">
        <f>"022159"</f>
        <v>0</v>
      </c>
      <c r="C769" t="s">
        <v>19340</v>
      </c>
      <c r="D769" t="s">
        <v>19341</v>
      </c>
      <c r="E769" t="str">
        <f>"3670700755097"</f>
        <v>0</v>
      </c>
      <c r="F769" t="str">
        <f>"000800"</f>
        <v>0</v>
      </c>
      <c r="G769" t="s">
        <v>18359</v>
      </c>
    </row>
    <row r="770" spans="1:7">
      <c r="A770">
        <v>769</v>
      </c>
      <c r="B770" t="str">
        <f>"023824"</f>
        <v>0</v>
      </c>
      <c r="C770" t="s">
        <v>9442</v>
      </c>
      <c r="D770" t="s">
        <v>19342</v>
      </c>
      <c r="E770" t="str">
        <f>"1639800097298"</f>
        <v>0</v>
      </c>
      <c r="F770" t="str">
        <f>"000800"</f>
        <v>0</v>
      </c>
      <c r="G770" t="s">
        <v>18359</v>
      </c>
    </row>
    <row r="771" spans="1:7">
      <c r="A771">
        <v>770</v>
      </c>
      <c r="B771" t="str">
        <f>"002292"</f>
        <v>0</v>
      </c>
      <c r="C771" t="s">
        <v>12864</v>
      </c>
      <c r="D771" t="s">
        <v>19343</v>
      </c>
      <c r="E771" t="str">
        <f>"3920400440519"</f>
        <v>0</v>
      </c>
      <c r="F771" t="str">
        <f>"000820"</f>
        <v>0</v>
      </c>
      <c r="G771" t="s">
        <v>18359</v>
      </c>
    </row>
    <row r="772" spans="1:7">
      <c r="A772">
        <v>771</v>
      </c>
      <c r="B772" t="str">
        <f>"002680"</f>
        <v>0</v>
      </c>
      <c r="C772" t="s">
        <v>19344</v>
      </c>
      <c r="D772" t="s">
        <v>4950</v>
      </c>
      <c r="E772" t="str">
        <f>"3180300003173"</f>
        <v>0</v>
      </c>
      <c r="F772" t="str">
        <f>"000820"</f>
        <v>0</v>
      </c>
      <c r="G772" t="s">
        <v>18359</v>
      </c>
    </row>
    <row r="773" spans="1:7">
      <c r="A773">
        <v>772</v>
      </c>
      <c r="B773" t="str">
        <f>"003693"</f>
        <v>0</v>
      </c>
      <c r="C773" t="s">
        <v>19345</v>
      </c>
      <c r="D773" t="s">
        <v>19346</v>
      </c>
      <c r="E773" t="str">
        <f>"3920100689881"</f>
        <v>0</v>
      </c>
      <c r="F773" t="str">
        <f>"000820"</f>
        <v>0</v>
      </c>
      <c r="G773" t="s">
        <v>18359</v>
      </c>
    </row>
    <row r="774" spans="1:7">
      <c r="A774">
        <v>773</v>
      </c>
      <c r="B774" t="str">
        <f>"004205"</f>
        <v>0</v>
      </c>
      <c r="C774" t="s">
        <v>19347</v>
      </c>
      <c r="D774" t="s">
        <v>19348</v>
      </c>
      <c r="E774" t="str">
        <f>"3920400399616"</f>
        <v>0</v>
      </c>
      <c r="F774" t="str">
        <f>"000820"</f>
        <v>0</v>
      </c>
      <c r="G774" t="s">
        <v>18359</v>
      </c>
    </row>
    <row r="775" spans="1:7">
      <c r="A775">
        <v>774</v>
      </c>
      <c r="B775" t="str">
        <f>"004745"</f>
        <v>0</v>
      </c>
      <c r="C775" t="s">
        <v>314</v>
      </c>
      <c r="D775" t="s">
        <v>19349</v>
      </c>
      <c r="E775" t="str">
        <f>"3920100770955"</f>
        <v>0</v>
      </c>
      <c r="F775" t="str">
        <f>"000820"</f>
        <v>0</v>
      </c>
      <c r="G775" t="s">
        <v>18359</v>
      </c>
    </row>
    <row r="776" spans="1:7">
      <c r="A776">
        <v>775</v>
      </c>
      <c r="B776" t="str">
        <f>"006611"</f>
        <v>0</v>
      </c>
      <c r="C776" t="s">
        <v>19350</v>
      </c>
      <c r="D776" t="s">
        <v>19351</v>
      </c>
      <c r="E776" t="str">
        <f>"3829900070515"</f>
        <v>0</v>
      </c>
      <c r="F776" t="str">
        <f>"000820"</f>
        <v>0</v>
      </c>
      <c r="G776" t="s">
        <v>18359</v>
      </c>
    </row>
    <row r="777" spans="1:7">
      <c r="A777">
        <v>776</v>
      </c>
      <c r="B777" t="str">
        <f>"006934"</f>
        <v>0</v>
      </c>
      <c r="C777" t="s">
        <v>14036</v>
      </c>
      <c r="D777" t="s">
        <v>19352</v>
      </c>
      <c r="E777" t="str">
        <f>"3830100279713"</f>
        <v>0</v>
      </c>
      <c r="F777" t="str">
        <f>"000820"</f>
        <v>0</v>
      </c>
      <c r="G777" t="s">
        <v>18359</v>
      </c>
    </row>
    <row r="778" spans="1:7">
      <c r="A778">
        <v>777</v>
      </c>
      <c r="B778" t="str">
        <f>"007937"</f>
        <v>0</v>
      </c>
      <c r="C778" t="s">
        <v>19353</v>
      </c>
      <c r="D778" t="s">
        <v>19354</v>
      </c>
      <c r="E778" t="str">
        <f>"3920600357208"</f>
        <v>0</v>
      </c>
      <c r="F778" t="str">
        <f>"000820"</f>
        <v>0</v>
      </c>
      <c r="G778" t="s">
        <v>18359</v>
      </c>
    </row>
    <row r="779" spans="1:7">
      <c r="A779">
        <v>778</v>
      </c>
      <c r="B779" t="str">
        <f>"008297"</f>
        <v>0</v>
      </c>
      <c r="C779" t="s">
        <v>19355</v>
      </c>
      <c r="D779" t="s">
        <v>19356</v>
      </c>
      <c r="E779" t="str">
        <f>"3920600723751"</f>
        <v>0</v>
      </c>
      <c r="F779" t="str">
        <f>"000820"</f>
        <v>0</v>
      </c>
      <c r="G779" t="s">
        <v>18359</v>
      </c>
    </row>
    <row r="780" spans="1:7">
      <c r="A780">
        <v>779</v>
      </c>
      <c r="B780" t="str">
        <f>"008579"</f>
        <v>0</v>
      </c>
      <c r="C780" t="s">
        <v>160</v>
      </c>
      <c r="D780" t="s">
        <v>6013</v>
      </c>
      <c r="E780" t="str">
        <f>"3920400412183"</f>
        <v>0</v>
      </c>
      <c r="F780" t="str">
        <f>"000820"</f>
        <v>0</v>
      </c>
      <c r="G780" t="s">
        <v>18359</v>
      </c>
    </row>
    <row r="781" spans="1:7">
      <c r="A781">
        <v>780</v>
      </c>
      <c r="B781" t="str">
        <f>"010046"</f>
        <v>0</v>
      </c>
      <c r="C781" t="s">
        <v>3407</v>
      </c>
      <c r="D781" t="s">
        <v>19357</v>
      </c>
      <c r="E781" t="str">
        <f>"3820100196427"</f>
        <v>0</v>
      </c>
      <c r="F781" t="str">
        <f>"000820"</f>
        <v>0</v>
      </c>
      <c r="G781" t="s">
        <v>18359</v>
      </c>
    </row>
    <row r="782" spans="1:7">
      <c r="A782">
        <v>781</v>
      </c>
      <c r="B782" t="str">
        <f>"011414"</f>
        <v>0</v>
      </c>
      <c r="C782" t="s">
        <v>19358</v>
      </c>
      <c r="D782" t="s">
        <v>6017</v>
      </c>
      <c r="E782" t="str">
        <f>"3920100063965"</f>
        <v>0</v>
      </c>
      <c r="F782" t="str">
        <f>"000820"</f>
        <v>0</v>
      </c>
      <c r="G782" t="s">
        <v>18359</v>
      </c>
    </row>
    <row r="783" spans="1:7">
      <c r="A783">
        <v>782</v>
      </c>
      <c r="B783" t="str">
        <f>"014292"</f>
        <v>0</v>
      </c>
      <c r="C783" t="s">
        <v>1502</v>
      </c>
      <c r="D783" t="s">
        <v>4090</v>
      </c>
      <c r="E783" t="str">
        <f>"3920300408028"</f>
        <v>0</v>
      </c>
      <c r="F783" t="str">
        <f>"000820"</f>
        <v>0</v>
      </c>
      <c r="G783" t="s">
        <v>18359</v>
      </c>
    </row>
    <row r="784" spans="1:7">
      <c r="A784">
        <v>783</v>
      </c>
      <c r="B784" t="str">
        <f>"014837"</f>
        <v>0</v>
      </c>
      <c r="C784" t="s">
        <v>19359</v>
      </c>
      <c r="D784" t="s">
        <v>19360</v>
      </c>
      <c r="E784" t="str">
        <f>"3920600635194"</f>
        <v>0</v>
      </c>
      <c r="F784" t="str">
        <f>"000820"</f>
        <v>0</v>
      </c>
      <c r="G784" t="s">
        <v>18359</v>
      </c>
    </row>
    <row r="785" spans="1:7">
      <c r="A785">
        <v>784</v>
      </c>
      <c r="B785" t="str">
        <f>"015079"</f>
        <v>0</v>
      </c>
      <c r="C785" t="s">
        <v>19361</v>
      </c>
      <c r="D785" t="s">
        <v>19362</v>
      </c>
      <c r="E785" t="str">
        <f>"3929900199843"</f>
        <v>0</v>
      </c>
      <c r="F785" t="str">
        <f>"000820"</f>
        <v>0</v>
      </c>
      <c r="G785" t="s">
        <v>18359</v>
      </c>
    </row>
    <row r="786" spans="1:7">
      <c r="A786">
        <v>785</v>
      </c>
      <c r="B786" t="str">
        <f>"016237"</f>
        <v>0</v>
      </c>
      <c r="C786" t="s">
        <v>19363</v>
      </c>
      <c r="D786" t="s">
        <v>19364</v>
      </c>
      <c r="E786" t="str">
        <f>"5929900016109"</f>
        <v>0</v>
      </c>
      <c r="F786" t="str">
        <f>"000820"</f>
        <v>0</v>
      </c>
      <c r="G786" t="s">
        <v>18359</v>
      </c>
    </row>
    <row r="787" spans="1:7">
      <c r="A787">
        <v>786</v>
      </c>
      <c r="B787" t="str">
        <f>"016814"</f>
        <v>0</v>
      </c>
      <c r="C787" t="s">
        <v>470</v>
      </c>
      <c r="D787" t="s">
        <v>19365</v>
      </c>
      <c r="E787" t="str">
        <f>"3929900464679"</f>
        <v>0</v>
      </c>
      <c r="F787" t="str">
        <f>"000820"</f>
        <v>0</v>
      </c>
      <c r="G787" t="s">
        <v>18359</v>
      </c>
    </row>
    <row r="788" spans="1:7">
      <c r="A788">
        <v>787</v>
      </c>
      <c r="B788" t="str">
        <f>"017607"</f>
        <v>0</v>
      </c>
      <c r="C788" t="s">
        <v>19366</v>
      </c>
      <c r="D788" t="s">
        <v>5879</v>
      </c>
      <c r="E788" t="str">
        <f>"3929900256880"</f>
        <v>0</v>
      </c>
      <c r="F788" t="str">
        <f>"000820"</f>
        <v>0</v>
      </c>
      <c r="G788" t="s">
        <v>18359</v>
      </c>
    </row>
    <row r="789" spans="1:7">
      <c r="A789">
        <v>788</v>
      </c>
      <c r="B789" t="str">
        <f>"017626"</f>
        <v>0</v>
      </c>
      <c r="C789" t="s">
        <v>1162</v>
      </c>
      <c r="D789" t="s">
        <v>19367</v>
      </c>
      <c r="E789" t="str">
        <f>"3920700205060"</f>
        <v>0</v>
      </c>
      <c r="F789" t="str">
        <f>"000820"</f>
        <v>0</v>
      </c>
      <c r="G789" t="s">
        <v>18359</v>
      </c>
    </row>
    <row r="790" spans="1:7">
      <c r="A790">
        <v>789</v>
      </c>
      <c r="B790" t="str">
        <f>"017990"</f>
        <v>0</v>
      </c>
      <c r="C790" t="s">
        <v>19368</v>
      </c>
      <c r="D790" t="s">
        <v>19369</v>
      </c>
      <c r="E790" t="str">
        <f>"3929900256901"</f>
        <v>0</v>
      </c>
      <c r="F790" t="str">
        <f>"000820"</f>
        <v>0</v>
      </c>
      <c r="G790" t="s">
        <v>18359</v>
      </c>
    </row>
    <row r="791" spans="1:7">
      <c r="A791">
        <v>790</v>
      </c>
      <c r="B791" t="str">
        <f>"023375"</f>
        <v>0</v>
      </c>
      <c r="C791" t="s">
        <v>6321</v>
      </c>
      <c r="D791" t="s">
        <v>19370</v>
      </c>
      <c r="E791" t="str">
        <f>"3800200125467"</f>
        <v>0</v>
      </c>
      <c r="F791" t="str">
        <f>"000820"</f>
        <v>0</v>
      </c>
      <c r="G791" t="s">
        <v>18359</v>
      </c>
    </row>
    <row r="792" spans="1:7">
      <c r="A792">
        <v>791</v>
      </c>
      <c r="B792" t="str">
        <f>"015545"</f>
        <v>0</v>
      </c>
      <c r="C792" t="s">
        <v>19371</v>
      </c>
      <c r="D792" t="s">
        <v>19372</v>
      </c>
      <c r="E792" t="str">
        <f>"5400199034246"</f>
        <v>0</v>
      </c>
      <c r="F792" t="str">
        <f>"000820"</f>
        <v>0</v>
      </c>
      <c r="G792" t="s">
        <v>18359</v>
      </c>
    </row>
    <row r="793" spans="1:7">
      <c r="A793">
        <v>792</v>
      </c>
      <c r="B793" t="str">
        <f>"017452"</f>
        <v>0</v>
      </c>
      <c r="C793" t="s">
        <v>3837</v>
      </c>
      <c r="D793" t="s">
        <v>6099</v>
      </c>
      <c r="E793" t="str">
        <f>"3800900410300"</f>
        <v>0</v>
      </c>
      <c r="F793" t="str">
        <f>"000820"</f>
        <v>0</v>
      </c>
      <c r="G793" t="s">
        <v>18359</v>
      </c>
    </row>
    <row r="794" spans="1:7">
      <c r="A794">
        <v>793</v>
      </c>
      <c r="B794" t="str">
        <f>"025421"</f>
        <v>0</v>
      </c>
      <c r="C794" t="s">
        <v>19373</v>
      </c>
      <c r="D794" t="s">
        <v>19374</v>
      </c>
      <c r="E794" t="str">
        <f>"1809700094945"</f>
        <v>0</v>
      </c>
      <c r="F794" t="str">
        <f>"000820"</f>
        <v>0</v>
      </c>
      <c r="G794" t="s">
        <v>18359</v>
      </c>
    </row>
    <row r="795" spans="1:7">
      <c r="A795">
        <v>794</v>
      </c>
      <c r="B795" t="str">
        <f>"016609"</f>
        <v>0</v>
      </c>
      <c r="C795" t="s">
        <v>19375</v>
      </c>
      <c r="D795" t="s">
        <v>19376</v>
      </c>
      <c r="E795" t="str">
        <f>"3801200382126"</f>
        <v>0</v>
      </c>
      <c r="F795" t="str">
        <f>"000820"</f>
        <v>0</v>
      </c>
      <c r="G795" t="s">
        <v>18359</v>
      </c>
    </row>
    <row r="796" spans="1:7">
      <c r="A796">
        <v>795</v>
      </c>
      <c r="B796" t="str">
        <f>"017063"</f>
        <v>0</v>
      </c>
      <c r="C796" t="s">
        <v>2634</v>
      </c>
      <c r="D796" t="s">
        <v>6091</v>
      </c>
      <c r="E796" t="str">
        <f>"3929900437558"</f>
        <v>0</v>
      </c>
      <c r="F796" t="str">
        <f>"000820"</f>
        <v>0</v>
      </c>
      <c r="G796" t="s">
        <v>18359</v>
      </c>
    </row>
    <row r="797" spans="1:7">
      <c r="A797">
        <v>796</v>
      </c>
      <c r="B797" t="str">
        <f>"018750"</f>
        <v>0</v>
      </c>
      <c r="C797" t="s">
        <v>778</v>
      </c>
      <c r="D797" t="s">
        <v>19377</v>
      </c>
      <c r="E797" t="str">
        <f>"3920300423973"</f>
        <v>0</v>
      </c>
      <c r="F797" t="str">
        <f>"000820"</f>
        <v>0</v>
      </c>
      <c r="G797" t="s">
        <v>18359</v>
      </c>
    </row>
    <row r="798" spans="1:7">
      <c r="A798">
        <v>797</v>
      </c>
      <c r="B798" t="str">
        <f>"018796"</f>
        <v>0</v>
      </c>
      <c r="C798" t="s">
        <v>2601</v>
      </c>
      <c r="D798" t="s">
        <v>19378</v>
      </c>
      <c r="E798" t="str">
        <f>"3920100959047"</f>
        <v>0</v>
      </c>
      <c r="F798" t="str">
        <f>"000820"</f>
        <v>0</v>
      </c>
      <c r="G798" t="s">
        <v>18359</v>
      </c>
    </row>
    <row r="799" spans="1:7">
      <c r="A799">
        <v>798</v>
      </c>
      <c r="B799" t="str">
        <f>"020436"</f>
        <v>0</v>
      </c>
      <c r="C799" t="s">
        <v>1949</v>
      </c>
      <c r="D799" t="s">
        <v>19379</v>
      </c>
      <c r="E799" t="str">
        <f>"3920600270234"</f>
        <v>0</v>
      </c>
      <c r="F799" t="str">
        <f>"000820"</f>
        <v>0</v>
      </c>
      <c r="G799" t="s">
        <v>18359</v>
      </c>
    </row>
    <row r="800" spans="1:7">
      <c r="A800">
        <v>799</v>
      </c>
      <c r="B800" t="str">
        <f>"021517"</f>
        <v>0</v>
      </c>
      <c r="C800" t="s">
        <v>19380</v>
      </c>
      <c r="D800" t="s">
        <v>19381</v>
      </c>
      <c r="E800" t="str">
        <f>"3920300112366"</f>
        <v>0</v>
      </c>
      <c r="F800" t="str">
        <f>"000820"</f>
        <v>0</v>
      </c>
      <c r="G800" t="s">
        <v>18359</v>
      </c>
    </row>
    <row r="801" spans="1:7">
      <c r="A801">
        <v>800</v>
      </c>
      <c r="B801" t="str">
        <f>"022703"</f>
        <v>0</v>
      </c>
      <c r="C801" t="s">
        <v>19382</v>
      </c>
      <c r="D801" t="s">
        <v>19383</v>
      </c>
      <c r="E801" t="str">
        <f>"3920100318629"</f>
        <v>0</v>
      </c>
      <c r="F801" t="str">
        <f>"000820"</f>
        <v>0</v>
      </c>
      <c r="G801" t="s">
        <v>18359</v>
      </c>
    </row>
    <row r="802" spans="1:7">
      <c r="A802">
        <v>801</v>
      </c>
      <c r="B802" t="str">
        <f>"023220"</f>
        <v>0</v>
      </c>
      <c r="C802" t="s">
        <v>19384</v>
      </c>
      <c r="D802" t="s">
        <v>19385</v>
      </c>
      <c r="E802" t="str">
        <f>"3920100588804"</f>
        <v>0</v>
      </c>
      <c r="F802" t="str">
        <f>"000820"</f>
        <v>0</v>
      </c>
      <c r="G802" t="s">
        <v>18359</v>
      </c>
    </row>
    <row r="803" spans="1:7">
      <c r="A803">
        <v>802</v>
      </c>
      <c r="B803" t="str">
        <f>"023276"</f>
        <v>0</v>
      </c>
      <c r="C803" t="s">
        <v>19386</v>
      </c>
      <c r="D803" t="s">
        <v>19387</v>
      </c>
      <c r="E803" t="str">
        <f>"3919900082130"</f>
        <v>0</v>
      </c>
      <c r="F803" t="str">
        <f>"000820"</f>
        <v>0</v>
      </c>
      <c r="G803" t="s">
        <v>18359</v>
      </c>
    </row>
    <row r="804" spans="1:7">
      <c r="A804">
        <v>803</v>
      </c>
      <c r="B804" t="str">
        <f>"026230"</f>
        <v>0</v>
      </c>
      <c r="C804" t="s">
        <v>19388</v>
      </c>
      <c r="D804" t="s">
        <v>19389</v>
      </c>
      <c r="E804" t="str">
        <f>"1509900464897"</f>
        <v>0</v>
      </c>
      <c r="F804" t="str">
        <f>"000830"</f>
        <v>0</v>
      </c>
      <c r="G804" t="s">
        <v>18359</v>
      </c>
    </row>
    <row r="805" spans="1:7">
      <c r="A805">
        <v>804</v>
      </c>
      <c r="B805" t="str">
        <f>"023046"</f>
        <v>0</v>
      </c>
      <c r="C805" t="s">
        <v>19390</v>
      </c>
      <c r="D805" t="s">
        <v>19391</v>
      </c>
      <c r="E805" t="str">
        <f>"3341500810586"</f>
        <v>0</v>
      </c>
      <c r="F805" t="str">
        <f>"000830"</f>
        <v>0</v>
      </c>
      <c r="G805" t="s">
        <v>18359</v>
      </c>
    </row>
    <row r="806" spans="1:7">
      <c r="A806">
        <v>805</v>
      </c>
      <c r="B806" t="str">
        <f>"023460"</f>
        <v>0</v>
      </c>
      <c r="C806" t="s">
        <v>19392</v>
      </c>
      <c r="D806" t="s">
        <v>19393</v>
      </c>
      <c r="E806" t="str">
        <f>"1160100165394"</f>
        <v>0</v>
      </c>
      <c r="F806" t="str">
        <f>"000830"</f>
        <v>0</v>
      </c>
      <c r="G806" t="s">
        <v>18359</v>
      </c>
    </row>
    <row r="807" spans="1:7">
      <c r="A807">
        <v>806</v>
      </c>
      <c r="B807" t="str">
        <f>"012415"</f>
        <v>0</v>
      </c>
      <c r="C807" t="s">
        <v>144</v>
      </c>
      <c r="D807" t="s">
        <v>19394</v>
      </c>
      <c r="E807" t="str">
        <f>"3260300058180"</f>
        <v>0</v>
      </c>
      <c r="F807" t="str">
        <f>"000830"</f>
        <v>0</v>
      </c>
      <c r="G807" t="s">
        <v>18359</v>
      </c>
    </row>
    <row r="808" spans="1:7">
      <c r="A808">
        <v>807</v>
      </c>
      <c r="B808" t="str">
        <f>"013192"</f>
        <v>0</v>
      </c>
      <c r="C808" t="s">
        <v>15434</v>
      </c>
      <c r="D808" t="s">
        <v>19395</v>
      </c>
      <c r="E808" t="str">
        <f>"3260100561287"</f>
        <v>0</v>
      </c>
      <c r="F808" t="str">
        <f>"000830"</f>
        <v>0</v>
      </c>
      <c r="G808" t="s">
        <v>18359</v>
      </c>
    </row>
    <row r="809" spans="1:7">
      <c r="A809">
        <v>808</v>
      </c>
      <c r="B809" t="str">
        <f>"022299"</f>
        <v>0</v>
      </c>
      <c r="C809" t="s">
        <v>19396</v>
      </c>
      <c r="D809" t="s">
        <v>19397</v>
      </c>
      <c r="E809" t="str">
        <f>"3720300095340"</f>
        <v>0</v>
      </c>
      <c r="F809" t="str">
        <f>"000830"</f>
        <v>0</v>
      </c>
      <c r="G809" t="s">
        <v>18359</v>
      </c>
    </row>
    <row r="810" spans="1:7">
      <c r="A810">
        <v>809</v>
      </c>
      <c r="B810" t="str">
        <f>"023400"</f>
        <v>0</v>
      </c>
      <c r="C810" t="s">
        <v>8574</v>
      </c>
      <c r="D810" t="s">
        <v>19398</v>
      </c>
      <c r="E810" t="str">
        <f>"3260100056914"</f>
        <v>0</v>
      </c>
      <c r="F810" t="str">
        <f>"000830"</f>
        <v>0</v>
      </c>
      <c r="G810" t="s">
        <v>18359</v>
      </c>
    </row>
    <row r="811" spans="1:7">
      <c r="A811">
        <v>810</v>
      </c>
      <c r="B811" t="str">
        <f>"024504"</f>
        <v>0</v>
      </c>
      <c r="C811" t="s">
        <v>19399</v>
      </c>
      <c r="D811" t="s">
        <v>19400</v>
      </c>
      <c r="E811" t="str">
        <f>"3260100335481"</f>
        <v>0</v>
      </c>
      <c r="F811" t="str">
        <f>"000830"</f>
        <v>0</v>
      </c>
      <c r="G811" t="s">
        <v>18359</v>
      </c>
    </row>
    <row r="812" spans="1:7">
      <c r="A812">
        <v>811</v>
      </c>
      <c r="B812" t="str">
        <f>"025463"</f>
        <v>0</v>
      </c>
      <c r="C812" t="s">
        <v>19401</v>
      </c>
      <c r="D812" t="s">
        <v>19402</v>
      </c>
      <c r="E812" t="str">
        <f>"1269900092569"</f>
        <v>0</v>
      </c>
      <c r="F812" t="str">
        <f>"000830"</f>
        <v>0</v>
      </c>
      <c r="G812" t="s">
        <v>18359</v>
      </c>
    </row>
    <row r="813" spans="1:7">
      <c r="A813">
        <v>812</v>
      </c>
      <c r="B813" t="str">
        <f>"026991"</f>
        <v>0</v>
      </c>
      <c r="C813" t="s">
        <v>19403</v>
      </c>
      <c r="D813" t="s">
        <v>7892</v>
      </c>
      <c r="E813" t="str">
        <f>"1549900399360"</f>
        <v>0</v>
      </c>
      <c r="F813" t="str">
        <f>"000830"</f>
        <v>0</v>
      </c>
      <c r="G813" t="s">
        <v>18359</v>
      </c>
    </row>
    <row r="814" spans="1:7">
      <c r="A814">
        <v>813</v>
      </c>
      <c r="B814" t="str">
        <f>"000025"</f>
        <v>0</v>
      </c>
      <c r="C814" t="s">
        <v>755</v>
      </c>
      <c r="D814" t="s">
        <v>19404</v>
      </c>
      <c r="E814" t="str">
        <f>"3739900143793"</f>
        <v>0</v>
      </c>
      <c r="F814" t="str">
        <f>"000840"</f>
        <v>0</v>
      </c>
      <c r="G814" t="s">
        <v>18359</v>
      </c>
    </row>
    <row r="815" spans="1:7">
      <c r="A815">
        <v>814</v>
      </c>
      <c r="B815" t="str">
        <f>"002076"</f>
        <v>0</v>
      </c>
      <c r="C815" t="s">
        <v>19405</v>
      </c>
      <c r="D815" t="s">
        <v>6330</v>
      </c>
      <c r="E815" t="str">
        <f>"3739900145192"</f>
        <v>0</v>
      </c>
      <c r="F815" t="str">
        <f>"000840"</f>
        <v>0</v>
      </c>
      <c r="G815" t="s">
        <v>18359</v>
      </c>
    </row>
    <row r="816" spans="1:7">
      <c r="A816">
        <v>815</v>
      </c>
      <c r="B816" t="str">
        <f>"002077"</f>
        <v>0</v>
      </c>
      <c r="C816" t="s">
        <v>3566</v>
      </c>
      <c r="D816" t="s">
        <v>19406</v>
      </c>
      <c r="E816" t="str">
        <f>"3730300534076"</f>
        <v>0</v>
      </c>
      <c r="F816" t="str">
        <f>"000840"</f>
        <v>0</v>
      </c>
      <c r="G816" t="s">
        <v>18359</v>
      </c>
    </row>
    <row r="817" spans="1:7">
      <c r="A817">
        <v>816</v>
      </c>
      <c r="B817" t="str">
        <f>"003009"</f>
        <v>0</v>
      </c>
      <c r="C817" t="s">
        <v>13463</v>
      </c>
      <c r="D817" t="s">
        <v>12620</v>
      </c>
      <c r="E817" t="str">
        <f>"3700600102147"</f>
        <v>0</v>
      </c>
      <c r="F817" t="str">
        <f>"000840"</f>
        <v>0</v>
      </c>
      <c r="G817" t="s">
        <v>18359</v>
      </c>
    </row>
    <row r="818" spans="1:7">
      <c r="A818">
        <v>817</v>
      </c>
      <c r="B818" t="str">
        <f>"003430"</f>
        <v>0</v>
      </c>
      <c r="C818" t="s">
        <v>1634</v>
      </c>
      <c r="D818" t="s">
        <v>19407</v>
      </c>
      <c r="E818" t="str">
        <f>"4961000001452"</f>
        <v>0</v>
      </c>
      <c r="F818" t="str">
        <f>"000840"</f>
        <v>0</v>
      </c>
      <c r="G818" t="s">
        <v>18359</v>
      </c>
    </row>
    <row r="819" spans="1:7">
      <c r="A819">
        <v>818</v>
      </c>
      <c r="B819" t="str">
        <f>"005511"</f>
        <v>0</v>
      </c>
      <c r="C819" t="s">
        <v>19408</v>
      </c>
      <c r="D819" t="s">
        <v>19409</v>
      </c>
      <c r="E819" t="str">
        <f>"3720900929918"</f>
        <v>0</v>
      </c>
      <c r="F819" t="str">
        <f>"000840"</f>
        <v>0</v>
      </c>
      <c r="G819" t="s">
        <v>18359</v>
      </c>
    </row>
    <row r="820" spans="1:7">
      <c r="A820">
        <v>819</v>
      </c>
      <c r="B820" t="str">
        <f>"006191"</f>
        <v>0</v>
      </c>
      <c r="C820" t="s">
        <v>19410</v>
      </c>
      <c r="D820" t="s">
        <v>19411</v>
      </c>
      <c r="E820" t="str">
        <f>"3102002682953"</f>
        <v>0</v>
      </c>
      <c r="F820" t="str">
        <f>"000840"</f>
        <v>0</v>
      </c>
      <c r="G820" t="s">
        <v>18359</v>
      </c>
    </row>
    <row r="821" spans="1:7">
      <c r="A821">
        <v>820</v>
      </c>
      <c r="B821" t="str">
        <f>"006657"</f>
        <v>0</v>
      </c>
      <c r="C821" t="s">
        <v>18432</v>
      </c>
      <c r="D821" t="s">
        <v>19412</v>
      </c>
      <c r="E821" t="str">
        <f>"3730100542504"</f>
        <v>0</v>
      </c>
      <c r="F821" t="str">
        <f>"000840"</f>
        <v>0</v>
      </c>
      <c r="G821" t="s">
        <v>18359</v>
      </c>
    </row>
    <row r="822" spans="1:7">
      <c r="A822">
        <v>821</v>
      </c>
      <c r="B822" t="str">
        <f>"009553"</f>
        <v>0</v>
      </c>
      <c r="C822" t="s">
        <v>433</v>
      </c>
      <c r="D822" t="s">
        <v>33</v>
      </c>
      <c r="E822" t="str">
        <f>"3860100084033"</f>
        <v>0</v>
      </c>
      <c r="F822" t="str">
        <f>"000840"</f>
        <v>0</v>
      </c>
      <c r="G822" t="s">
        <v>18359</v>
      </c>
    </row>
    <row r="823" spans="1:7">
      <c r="A823">
        <v>822</v>
      </c>
      <c r="B823" t="str">
        <f>"009695"</f>
        <v>0</v>
      </c>
      <c r="C823" t="s">
        <v>8857</v>
      </c>
      <c r="D823" t="s">
        <v>19413</v>
      </c>
      <c r="E823" t="str">
        <f>"3730101049976"</f>
        <v>0</v>
      </c>
      <c r="F823" t="str">
        <f>"000840"</f>
        <v>0</v>
      </c>
      <c r="G823" t="s">
        <v>18359</v>
      </c>
    </row>
    <row r="824" spans="1:7">
      <c r="A824">
        <v>823</v>
      </c>
      <c r="B824" t="str">
        <f>"010268"</f>
        <v>0</v>
      </c>
      <c r="C824" t="s">
        <v>655</v>
      </c>
      <c r="D824" t="s">
        <v>19414</v>
      </c>
      <c r="E824" t="str">
        <f>"3770400371241"</f>
        <v>0</v>
      </c>
      <c r="F824" t="str">
        <f>"000840"</f>
        <v>0</v>
      </c>
      <c r="G824" t="s">
        <v>18359</v>
      </c>
    </row>
    <row r="825" spans="1:7">
      <c r="A825">
        <v>824</v>
      </c>
      <c r="B825" t="str">
        <f>"010373"</f>
        <v>0</v>
      </c>
      <c r="C825" t="s">
        <v>2360</v>
      </c>
      <c r="D825" t="s">
        <v>3033</v>
      </c>
      <c r="E825" t="str">
        <f>"3180400057739"</f>
        <v>0</v>
      </c>
      <c r="F825" t="str">
        <f>"000840"</f>
        <v>0</v>
      </c>
      <c r="G825" t="s">
        <v>18359</v>
      </c>
    </row>
    <row r="826" spans="1:7">
      <c r="A826">
        <v>825</v>
      </c>
      <c r="B826" t="str">
        <f>"011862"</f>
        <v>0</v>
      </c>
      <c r="C826" t="s">
        <v>2632</v>
      </c>
      <c r="D826" t="s">
        <v>19415</v>
      </c>
      <c r="E826" t="str">
        <f>"3100900100641"</f>
        <v>0</v>
      </c>
      <c r="F826" t="str">
        <f>"000840"</f>
        <v>0</v>
      </c>
      <c r="G826" t="s">
        <v>18359</v>
      </c>
    </row>
    <row r="827" spans="1:7">
      <c r="A827">
        <v>826</v>
      </c>
      <c r="B827" t="str">
        <f>"014898"</f>
        <v>0</v>
      </c>
      <c r="C827" t="s">
        <v>19416</v>
      </c>
      <c r="D827" t="s">
        <v>19417</v>
      </c>
      <c r="E827" t="str">
        <f>"3709900326766"</f>
        <v>0</v>
      </c>
      <c r="F827" t="str">
        <f>"000840"</f>
        <v>0</v>
      </c>
      <c r="G827" t="s">
        <v>18359</v>
      </c>
    </row>
    <row r="828" spans="1:7">
      <c r="A828">
        <v>827</v>
      </c>
      <c r="B828" t="str">
        <f>"015684"</f>
        <v>0</v>
      </c>
      <c r="C828" t="s">
        <v>9427</v>
      </c>
      <c r="D828" t="s">
        <v>19418</v>
      </c>
      <c r="E828" t="str">
        <f>"3739900328696"</f>
        <v>0</v>
      </c>
      <c r="F828" t="str">
        <f>"000840"</f>
        <v>0</v>
      </c>
      <c r="G828" t="s">
        <v>18359</v>
      </c>
    </row>
    <row r="829" spans="1:7">
      <c r="A829">
        <v>828</v>
      </c>
      <c r="B829" t="str">
        <f>"018501"</f>
        <v>0</v>
      </c>
      <c r="C829" t="s">
        <v>802</v>
      </c>
      <c r="D829" t="s">
        <v>19419</v>
      </c>
      <c r="E829" t="str">
        <f>"3730400296991"</f>
        <v>0</v>
      </c>
      <c r="F829" t="str">
        <f>"000840"</f>
        <v>0</v>
      </c>
      <c r="G829" t="s">
        <v>18359</v>
      </c>
    </row>
    <row r="830" spans="1:7">
      <c r="A830">
        <v>829</v>
      </c>
      <c r="B830" t="str">
        <f>"022467"</f>
        <v>0</v>
      </c>
      <c r="C830" t="s">
        <v>19420</v>
      </c>
      <c r="D830" t="s">
        <v>19421</v>
      </c>
      <c r="E830" t="str">
        <f>"3869900057896"</f>
        <v>0</v>
      </c>
      <c r="F830" t="str">
        <f>"000840"</f>
        <v>0</v>
      </c>
      <c r="G830" t="s">
        <v>18359</v>
      </c>
    </row>
    <row r="831" spans="1:7">
      <c r="A831">
        <v>830</v>
      </c>
      <c r="B831" t="str">
        <f>"015947"</f>
        <v>0</v>
      </c>
      <c r="C831" t="s">
        <v>7616</v>
      </c>
      <c r="D831" t="s">
        <v>19422</v>
      </c>
      <c r="E831" t="str">
        <f>"3730200458246"</f>
        <v>0</v>
      </c>
      <c r="F831" t="str">
        <f>"000840"</f>
        <v>0</v>
      </c>
      <c r="G831" t="s">
        <v>18359</v>
      </c>
    </row>
    <row r="832" spans="1:7">
      <c r="A832">
        <v>831</v>
      </c>
      <c r="B832" t="str">
        <f>"023500"</f>
        <v>0</v>
      </c>
      <c r="C832" t="s">
        <v>19423</v>
      </c>
      <c r="D832" t="s">
        <v>19424</v>
      </c>
      <c r="E832" t="str">
        <f>"3929900065731"</f>
        <v>0</v>
      </c>
      <c r="F832" t="str">
        <f>"000840"</f>
        <v>0</v>
      </c>
      <c r="G832" t="s">
        <v>18359</v>
      </c>
    </row>
    <row r="833" spans="1:7">
      <c r="A833">
        <v>832</v>
      </c>
      <c r="B833" t="str">
        <f>"023991"</f>
        <v>0</v>
      </c>
      <c r="C833" t="s">
        <v>19425</v>
      </c>
      <c r="D833" t="s">
        <v>19426</v>
      </c>
      <c r="E833" t="str">
        <f>"3730300501038"</f>
        <v>0</v>
      </c>
      <c r="F833" t="str">
        <f>"000840"</f>
        <v>0</v>
      </c>
      <c r="G833" t="s">
        <v>18359</v>
      </c>
    </row>
    <row r="834" spans="1:7">
      <c r="A834">
        <v>833</v>
      </c>
      <c r="B834" t="str">
        <f>"024644"</f>
        <v>0</v>
      </c>
      <c r="C834" t="s">
        <v>19427</v>
      </c>
      <c r="D834" t="s">
        <v>19428</v>
      </c>
      <c r="E834" t="str">
        <f>"3730101373528"</f>
        <v>0</v>
      </c>
      <c r="F834" t="str">
        <f>"000840"</f>
        <v>0</v>
      </c>
      <c r="G834" t="s">
        <v>18359</v>
      </c>
    </row>
    <row r="835" spans="1:7">
      <c r="A835">
        <v>834</v>
      </c>
      <c r="B835" t="str">
        <f>"026127"</f>
        <v>0</v>
      </c>
      <c r="C835" t="s">
        <v>1218</v>
      </c>
      <c r="D835" t="s">
        <v>19429</v>
      </c>
      <c r="E835" t="str">
        <f>"1739900332816"</f>
        <v>0</v>
      </c>
      <c r="F835" t="str">
        <f>"000840"</f>
        <v>0</v>
      </c>
      <c r="G835" t="s">
        <v>18359</v>
      </c>
    </row>
    <row r="836" spans="1:7">
      <c r="A836">
        <v>835</v>
      </c>
      <c r="B836" t="str">
        <f>"021979"</f>
        <v>0</v>
      </c>
      <c r="C836" t="s">
        <v>2907</v>
      </c>
      <c r="D836" t="s">
        <v>19430</v>
      </c>
      <c r="E836" t="str">
        <f>"3740100702528"</f>
        <v>0</v>
      </c>
      <c r="F836" t="str">
        <f>"000840"</f>
        <v>0</v>
      </c>
      <c r="G836" t="s">
        <v>18359</v>
      </c>
    </row>
    <row r="837" spans="1:7">
      <c r="A837">
        <v>836</v>
      </c>
      <c r="B837" t="str">
        <f>"003878"</f>
        <v>0</v>
      </c>
      <c r="C837" t="s">
        <v>19431</v>
      </c>
      <c r="D837" t="s">
        <v>19432</v>
      </c>
      <c r="E837" t="str">
        <f>"3489900017162"</f>
        <v>0</v>
      </c>
      <c r="F837" t="str">
        <f>"000850"</f>
        <v>0</v>
      </c>
      <c r="G837" t="s">
        <v>18359</v>
      </c>
    </row>
    <row r="838" spans="1:7">
      <c r="A838">
        <v>837</v>
      </c>
      <c r="B838" t="str">
        <f>"006784"</f>
        <v>0</v>
      </c>
      <c r="C838" t="s">
        <v>13272</v>
      </c>
      <c r="D838" t="s">
        <v>19433</v>
      </c>
      <c r="E838" t="str">
        <f>"3361000320202"</f>
        <v>0</v>
      </c>
      <c r="F838" t="str">
        <f>"000850"</f>
        <v>0</v>
      </c>
      <c r="G838" t="s">
        <v>18359</v>
      </c>
    </row>
    <row r="839" spans="1:7">
      <c r="A839">
        <v>838</v>
      </c>
      <c r="B839" t="str">
        <f>"007001"</f>
        <v>0</v>
      </c>
      <c r="C839" t="s">
        <v>11658</v>
      </c>
      <c r="D839" t="s">
        <v>19434</v>
      </c>
      <c r="E839" t="str">
        <f>"3480400061377"</f>
        <v>0</v>
      </c>
      <c r="F839" t="str">
        <f>"000850"</f>
        <v>0</v>
      </c>
      <c r="G839" t="s">
        <v>18359</v>
      </c>
    </row>
    <row r="840" spans="1:7">
      <c r="A840">
        <v>839</v>
      </c>
      <c r="B840" t="str">
        <f>"008155"</f>
        <v>0</v>
      </c>
      <c r="C840" t="s">
        <v>19435</v>
      </c>
      <c r="D840" t="s">
        <v>19436</v>
      </c>
      <c r="E840" t="str">
        <f>"3490300052911"</f>
        <v>0</v>
      </c>
      <c r="F840" t="str">
        <f>"000850"</f>
        <v>0</v>
      </c>
      <c r="G840" t="s">
        <v>18359</v>
      </c>
    </row>
    <row r="841" spans="1:7">
      <c r="A841">
        <v>840</v>
      </c>
      <c r="B841" t="str">
        <f>"008867"</f>
        <v>0</v>
      </c>
      <c r="C841" t="s">
        <v>5191</v>
      </c>
      <c r="D841" t="s">
        <v>9561</v>
      </c>
      <c r="E841" t="str">
        <f>"3480800014627"</f>
        <v>0</v>
      </c>
      <c r="F841" t="str">
        <f>"000850"</f>
        <v>0</v>
      </c>
      <c r="G841" t="s">
        <v>18359</v>
      </c>
    </row>
    <row r="842" spans="1:7">
      <c r="A842">
        <v>841</v>
      </c>
      <c r="B842" t="str">
        <f>"008950"</f>
        <v>0</v>
      </c>
      <c r="C842" t="s">
        <v>19437</v>
      </c>
      <c r="D842" t="s">
        <v>19438</v>
      </c>
      <c r="E842" t="str">
        <f>"3480400214521"</f>
        <v>0</v>
      </c>
      <c r="F842" t="str">
        <f>"000850"</f>
        <v>0</v>
      </c>
      <c r="G842" t="s">
        <v>18359</v>
      </c>
    </row>
    <row r="843" spans="1:7">
      <c r="A843">
        <v>842</v>
      </c>
      <c r="B843" t="str">
        <f>"009788"</f>
        <v>0</v>
      </c>
      <c r="C843" t="s">
        <v>7602</v>
      </c>
      <c r="D843" t="s">
        <v>19439</v>
      </c>
      <c r="E843" t="str">
        <f>"3480600088791"</f>
        <v>0</v>
      </c>
      <c r="F843" t="str">
        <f>"000850"</f>
        <v>0</v>
      </c>
      <c r="G843" t="s">
        <v>18359</v>
      </c>
    </row>
    <row r="844" spans="1:7">
      <c r="A844">
        <v>843</v>
      </c>
      <c r="B844" t="str">
        <f>"010901"</f>
        <v>0</v>
      </c>
      <c r="C844" t="s">
        <v>1260</v>
      </c>
      <c r="D844" t="s">
        <v>7785</v>
      </c>
      <c r="E844" t="str">
        <f>"3490600006272"</f>
        <v>0</v>
      </c>
      <c r="F844" t="str">
        <f>"000850"</f>
        <v>0</v>
      </c>
      <c r="G844" t="s">
        <v>18359</v>
      </c>
    </row>
    <row r="845" spans="1:7">
      <c r="A845">
        <v>844</v>
      </c>
      <c r="B845" t="str">
        <f>"013565"</f>
        <v>0</v>
      </c>
      <c r="C845" t="s">
        <v>4401</v>
      </c>
      <c r="D845" t="s">
        <v>19440</v>
      </c>
      <c r="E845" t="str">
        <f>"3480900371987"</f>
        <v>0</v>
      </c>
      <c r="F845" t="str">
        <f>"000850"</f>
        <v>0</v>
      </c>
      <c r="G845" t="s">
        <v>18359</v>
      </c>
    </row>
    <row r="846" spans="1:7">
      <c r="A846">
        <v>845</v>
      </c>
      <c r="B846" t="str">
        <f>"014507"</f>
        <v>0</v>
      </c>
      <c r="C846" t="s">
        <v>19441</v>
      </c>
      <c r="D846" t="s">
        <v>19442</v>
      </c>
      <c r="E846" t="str">
        <f>"3480300747668"</f>
        <v>0</v>
      </c>
      <c r="F846" t="str">
        <f>"000850"</f>
        <v>0</v>
      </c>
      <c r="G846" t="s">
        <v>18359</v>
      </c>
    </row>
    <row r="847" spans="1:7">
      <c r="A847">
        <v>846</v>
      </c>
      <c r="B847" t="str">
        <f>"014651"</f>
        <v>0</v>
      </c>
      <c r="C847" t="s">
        <v>1849</v>
      </c>
      <c r="D847" t="s">
        <v>19443</v>
      </c>
      <c r="E847" t="str">
        <f>"3239900060795"</f>
        <v>0</v>
      </c>
      <c r="F847" t="str">
        <f>"000850"</f>
        <v>0</v>
      </c>
      <c r="G847" t="s">
        <v>18359</v>
      </c>
    </row>
    <row r="848" spans="1:7">
      <c r="A848">
        <v>847</v>
      </c>
      <c r="B848" t="str">
        <f>"013460"</f>
        <v>0</v>
      </c>
      <c r="C848" t="s">
        <v>13461</v>
      </c>
      <c r="D848" t="s">
        <v>19444</v>
      </c>
      <c r="E848" t="str">
        <f>"3489900149042"</f>
        <v>0</v>
      </c>
      <c r="F848" t="str">
        <f>"000850"</f>
        <v>0</v>
      </c>
      <c r="G848" t="s">
        <v>18359</v>
      </c>
    </row>
    <row r="849" spans="1:7">
      <c r="A849">
        <v>848</v>
      </c>
      <c r="B849" t="str">
        <f>"026128"</f>
        <v>0</v>
      </c>
      <c r="C849" t="s">
        <v>522</v>
      </c>
      <c r="D849" t="s">
        <v>14064</v>
      </c>
      <c r="E849" t="str">
        <f>"3479900136587"</f>
        <v>0</v>
      </c>
      <c r="F849" t="str">
        <f>"000850"</f>
        <v>0</v>
      </c>
      <c r="G849" t="s">
        <v>18359</v>
      </c>
    </row>
    <row r="850" spans="1:7">
      <c r="A850">
        <v>849</v>
      </c>
      <c r="B850" t="str">
        <f>"020370"</f>
        <v>0</v>
      </c>
      <c r="C850" t="s">
        <v>14006</v>
      </c>
      <c r="D850" t="s">
        <v>6528</v>
      </c>
      <c r="E850" t="str">
        <f>"3480200009631"</f>
        <v>0</v>
      </c>
      <c r="F850" t="str">
        <f>"000850"</f>
        <v>0</v>
      </c>
      <c r="G850" t="s">
        <v>18359</v>
      </c>
    </row>
    <row r="851" spans="1:7">
      <c r="A851">
        <v>850</v>
      </c>
      <c r="B851" t="str">
        <f>"022731"</f>
        <v>0</v>
      </c>
      <c r="C851" t="s">
        <v>19445</v>
      </c>
      <c r="D851" t="s">
        <v>14351</v>
      </c>
      <c r="E851" t="str">
        <f>"3470500439657"</f>
        <v>0</v>
      </c>
      <c r="F851" t="str">
        <f>"000850"</f>
        <v>0</v>
      </c>
      <c r="G851" t="s">
        <v>18359</v>
      </c>
    </row>
    <row r="852" spans="1:7">
      <c r="A852">
        <v>851</v>
      </c>
      <c r="B852" t="str">
        <f>"026887"</f>
        <v>0</v>
      </c>
      <c r="C852" t="s">
        <v>9132</v>
      </c>
      <c r="D852" t="s">
        <v>19446</v>
      </c>
      <c r="E852" t="str">
        <f>"1102200089985"</f>
        <v>0</v>
      </c>
      <c r="F852" t="str">
        <f>"000850"</f>
        <v>0</v>
      </c>
      <c r="G852" t="s">
        <v>18359</v>
      </c>
    </row>
    <row r="853" spans="1:7">
      <c r="A853">
        <v>852</v>
      </c>
      <c r="B853" t="str">
        <f>"002200"</f>
        <v>0</v>
      </c>
      <c r="C853" t="s">
        <v>17236</v>
      </c>
      <c r="D853" t="s">
        <v>19447</v>
      </c>
      <c r="E853" t="str">
        <f>"3100500288589"</f>
        <v>0</v>
      </c>
      <c r="F853" t="str">
        <f>"000860"</f>
        <v>0</v>
      </c>
      <c r="G853" t="s">
        <v>18359</v>
      </c>
    </row>
    <row r="854" spans="1:7">
      <c r="A854">
        <v>853</v>
      </c>
      <c r="B854" t="str">
        <f>"004732"</f>
        <v>0</v>
      </c>
      <c r="C854" t="s">
        <v>130</v>
      </c>
      <c r="D854" t="s">
        <v>6821</v>
      </c>
      <c r="E854" t="str">
        <f>"5469990009331"</f>
        <v>0</v>
      </c>
      <c r="F854" t="str">
        <f>"000860"</f>
        <v>0</v>
      </c>
      <c r="G854" t="s">
        <v>18359</v>
      </c>
    </row>
    <row r="855" spans="1:7">
      <c r="A855">
        <v>854</v>
      </c>
      <c r="B855" t="str">
        <f>"004814"</f>
        <v>0</v>
      </c>
      <c r="C855" t="s">
        <v>7955</v>
      </c>
      <c r="D855" t="s">
        <v>19448</v>
      </c>
      <c r="E855" t="str">
        <f>"3309900780452"</f>
        <v>0</v>
      </c>
      <c r="F855" t="str">
        <f>"000860"</f>
        <v>0</v>
      </c>
      <c r="G855" t="s">
        <v>18359</v>
      </c>
    </row>
    <row r="856" spans="1:7">
      <c r="A856">
        <v>855</v>
      </c>
      <c r="B856" t="str">
        <f>"008454"</f>
        <v>0</v>
      </c>
      <c r="C856" t="s">
        <v>15613</v>
      </c>
      <c r="D856" t="s">
        <v>6787</v>
      </c>
      <c r="E856" t="str">
        <f>"3300101530856"</f>
        <v>0</v>
      </c>
      <c r="F856" t="str">
        <f>"000860"</f>
        <v>0</v>
      </c>
      <c r="G856" t="s">
        <v>18359</v>
      </c>
    </row>
    <row r="857" spans="1:7">
      <c r="A857">
        <v>856</v>
      </c>
      <c r="B857" t="str">
        <f>"008593"</f>
        <v>0</v>
      </c>
      <c r="C857" t="s">
        <v>3572</v>
      </c>
      <c r="D857" t="s">
        <v>19449</v>
      </c>
      <c r="E857" t="str">
        <f>"3310900420385"</f>
        <v>0</v>
      </c>
      <c r="F857" t="str">
        <f>"000860"</f>
        <v>0</v>
      </c>
      <c r="G857" t="s">
        <v>18359</v>
      </c>
    </row>
    <row r="858" spans="1:7">
      <c r="A858">
        <v>857</v>
      </c>
      <c r="B858" t="str">
        <f>"008727"</f>
        <v>0</v>
      </c>
      <c r="C858" t="s">
        <v>1849</v>
      </c>
      <c r="D858" t="s">
        <v>19450</v>
      </c>
      <c r="E858" t="str">
        <f>"3300500190111"</f>
        <v>0</v>
      </c>
      <c r="F858" t="str">
        <f>"000860"</f>
        <v>0</v>
      </c>
      <c r="G858" t="s">
        <v>18359</v>
      </c>
    </row>
    <row r="859" spans="1:7">
      <c r="A859">
        <v>858</v>
      </c>
      <c r="B859" t="str">
        <f>"009327"</f>
        <v>0</v>
      </c>
      <c r="C859" t="s">
        <v>19451</v>
      </c>
      <c r="D859" t="s">
        <v>19452</v>
      </c>
      <c r="E859" t="str">
        <f>"3411900510287"</f>
        <v>0</v>
      </c>
      <c r="F859" t="str">
        <f>"000860"</f>
        <v>0</v>
      </c>
      <c r="G859" t="s">
        <v>18359</v>
      </c>
    </row>
    <row r="860" spans="1:7">
      <c r="A860">
        <v>859</v>
      </c>
      <c r="B860" t="str">
        <f>"010414"</f>
        <v>0</v>
      </c>
      <c r="C860" t="s">
        <v>19453</v>
      </c>
      <c r="D860" t="s">
        <v>19454</v>
      </c>
      <c r="E860" t="str">
        <f>"5300600012601"</f>
        <v>0</v>
      </c>
      <c r="F860" t="str">
        <f>"000860"</f>
        <v>0</v>
      </c>
      <c r="G860" t="s">
        <v>18359</v>
      </c>
    </row>
    <row r="861" spans="1:7">
      <c r="A861">
        <v>860</v>
      </c>
      <c r="B861" t="str">
        <f>"011374"</f>
        <v>0</v>
      </c>
      <c r="C861" t="s">
        <v>160</v>
      </c>
      <c r="D861" t="s">
        <v>19455</v>
      </c>
      <c r="E861" t="str">
        <f>"4309900003926"</f>
        <v>0</v>
      </c>
      <c r="F861" t="str">
        <f>"000860"</f>
        <v>0</v>
      </c>
      <c r="G861" t="s">
        <v>18359</v>
      </c>
    </row>
    <row r="862" spans="1:7">
      <c r="A862">
        <v>861</v>
      </c>
      <c r="B862" t="str">
        <f>"011865"</f>
        <v>0</v>
      </c>
      <c r="C862" t="s">
        <v>7748</v>
      </c>
      <c r="D862" t="s">
        <v>19456</v>
      </c>
      <c r="E862" t="str">
        <f>"3819900087922"</f>
        <v>0</v>
      </c>
      <c r="F862" t="str">
        <f>"000860"</f>
        <v>0</v>
      </c>
      <c r="G862" t="s">
        <v>18359</v>
      </c>
    </row>
    <row r="863" spans="1:7">
      <c r="A863">
        <v>862</v>
      </c>
      <c r="B863" t="str">
        <f>"012220"</f>
        <v>0</v>
      </c>
      <c r="C863" t="s">
        <v>60</v>
      </c>
      <c r="D863" t="s">
        <v>19457</v>
      </c>
      <c r="E863" t="str">
        <f>"3410600724361"</f>
        <v>0</v>
      </c>
      <c r="F863" t="str">
        <f>"000860"</f>
        <v>0</v>
      </c>
      <c r="G863" t="s">
        <v>18359</v>
      </c>
    </row>
    <row r="864" spans="1:7">
      <c r="A864">
        <v>863</v>
      </c>
      <c r="B864" t="str">
        <f>"015625"</f>
        <v>0</v>
      </c>
      <c r="C864" t="s">
        <v>10677</v>
      </c>
      <c r="D864" t="s">
        <v>19458</v>
      </c>
      <c r="E864" t="str">
        <f>"3101000577361"</f>
        <v>0</v>
      </c>
      <c r="F864" t="str">
        <f>"000860"</f>
        <v>0</v>
      </c>
      <c r="G864" t="s">
        <v>18359</v>
      </c>
    </row>
    <row r="865" spans="1:7">
      <c r="A865">
        <v>864</v>
      </c>
      <c r="B865" t="str">
        <f>"016927"</f>
        <v>0</v>
      </c>
      <c r="C865" t="s">
        <v>3534</v>
      </c>
      <c r="D865" t="s">
        <v>19459</v>
      </c>
      <c r="E865" t="str">
        <f>"3301000632387"</f>
        <v>0</v>
      </c>
      <c r="F865" t="str">
        <f>"000860"</f>
        <v>0</v>
      </c>
      <c r="G865" t="s">
        <v>18359</v>
      </c>
    </row>
    <row r="866" spans="1:7">
      <c r="A866">
        <v>865</v>
      </c>
      <c r="B866" t="str">
        <f>"016978"</f>
        <v>0</v>
      </c>
      <c r="C866" t="s">
        <v>19460</v>
      </c>
      <c r="D866" t="s">
        <v>19461</v>
      </c>
      <c r="E866" t="str">
        <f>"3320800022167"</f>
        <v>0</v>
      </c>
      <c r="F866" t="str">
        <f>"000860"</f>
        <v>0</v>
      </c>
      <c r="G866" t="s">
        <v>18359</v>
      </c>
    </row>
    <row r="867" spans="1:7">
      <c r="A867">
        <v>866</v>
      </c>
      <c r="B867" t="str">
        <f>"017766"</f>
        <v>0</v>
      </c>
      <c r="C867" t="s">
        <v>2225</v>
      </c>
      <c r="D867" t="s">
        <v>6819</v>
      </c>
      <c r="E867" t="str">
        <f>"3309800009738"</f>
        <v>0</v>
      </c>
      <c r="F867" t="str">
        <f>"000860"</f>
        <v>0</v>
      </c>
      <c r="G867" t="s">
        <v>18359</v>
      </c>
    </row>
    <row r="868" spans="1:7">
      <c r="A868">
        <v>867</v>
      </c>
      <c r="B868" t="str">
        <f>"017921"</f>
        <v>0</v>
      </c>
      <c r="C868" t="s">
        <v>19462</v>
      </c>
      <c r="D868" t="s">
        <v>19463</v>
      </c>
      <c r="E868" t="str">
        <f>"3300100163167"</f>
        <v>0</v>
      </c>
      <c r="F868" t="str">
        <f>"000860"</f>
        <v>0</v>
      </c>
      <c r="G868" t="s">
        <v>18359</v>
      </c>
    </row>
    <row r="869" spans="1:7">
      <c r="A869">
        <v>868</v>
      </c>
      <c r="B869" t="str">
        <f>"018598"</f>
        <v>0</v>
      </c>
      <c r="C869" t="s">
        <v>11067</v>
      </c>
      <c r="D869" t="s">
        <v>19464</v>
      </c>
      <c r="E869" t="str">
        <f>"3410300017741"</f>
        <v>0</v>
      </c>
      <c r="F869" t="str">
        <f>"000860"</f>
        <v>0</v>
      </c>
      <c r="G869" t="s">
        <v>18359</v>
      </c>
    </row>
    <row r="870" spans="1:7">
      <c r="A870">
        <v>869</v>
      </c>
      <c r="B870" t="str">
        <f>"019226"</f>
        <v>0</v>
      </c>
      <c r="C870" t="s">
        <v>1128</v>
      </c>
      <c r="D870" t="s">
        <v>8038</v>
      </c>
      <c r="E870" t="str">
        <f>"4250500002003"</f>
        <v>0</v>
      </c>
      <c r="F870" t="str">
        <f>"000860"</f>
        <v>0</v>
      </c>
      <c r="G870" t="s">
        <v>18359</v>
      </c>
    </row>
    <row r="871" spans="1:7">
      <c r="A871">
        <v>870</v>
      </c>
      <c r="B871" t="str">
        <f>"022862"</f>
        <v>0</v>
      </c>
      <c r="C871" t="s">
        <v>19465</v>
      </c>
      <c r="D871" t="s">
        <v>19466</v>
      </c>
      <c r="E871" t="str">
        <f>"3301200484004"</f>
        <v>0</v>
      </c>
      <c r="F871" t="str">
        <f>"000860"</f>
        <v>0</v>
      </c>
      <c r="G871" t="s">
        <v>18359</v>
      </c>
    </row>
    <row r="872" spans="1:7">
      <c r="A872">
        <v>871</v>
      </c>
      <c r="B872" t="str">
        <f>"011925"</f>
        <v>0</v>
      </c>
      <c r="C872" t="s">
        <v>5247</v>
      </c>
      <c r="D872" t="s">
        <v>19467</v>
      </c>
      <c r="E872" t="str">
        <f>"3301400202568"</f>
        <v>0</v>
      </c>
      <c r="F872" t="str">
        <f>"000860"</f>
        <v>0</v>
      </c>
      <c r="G872" t="s">
        <v>18359</v>
      </c>
    </row>
    <row r="873" spans="1:7">
      <c r="A873">
        <v>872</v>
      </c>
      <c r="B873" t="str">
        <f>"000531"</f>
        <v>0</v>
      </c>
      <c r="C873" t="s">
        <v>5247</v>
      </c>
      <c r="D873" t="s">
        <v>19468</v>
      </c>
      <c r="E873" t="str">
        <f>"3309900119853"</f>
        <v>0</v>
      </c>
      <c r="F873" t="str">
        <f>"000860"</f>
        <v>0</v>
      </c>
      <c r="G873" t="s">
        <v>18359</v>
      </c>
    </row>
    <row r="874" spans="1:7">
      <c r="A874">
        <v>873</v>
      </c>
      <c r="B874" t="str">
        <f>"026130"</f>
        <v>0</v>
      </c>
      <c r="C874" t="s">
        <v>5591</v>
      </c>
      <c r="D874" t="s">
        <v>19469</v>
      </c>
      <c r="E874" t="str">
        <f>"1100800204619"</f>
        <v>0</v>
      </c>
      <c r="F874" t="str">
        <f>"000860"</f>
        <v>0</v>
      </c>
      <c r="G874" t="s">
        <v>18359</v>
      </c>
    </row>
    <row r="875" spans="1:7">
      <c r="A875">
        <v>874</v>
      </c>
      <c r="B875" t="str">
        <f>"021601"</f>
        <v>0</v>
      </c>
      <c r="C875" t="s">
        <v>15884</v>
      </c>
      <c r="D875" t="s">
        <v>19470</v>
      </c>
      <c r="E875" t="str">
        <f>"3309901400696"</f>
        <v>0</v>
      </c>
      <c r="F875" t="str">
        <f>"000860"</f>
        <v>0</v>
      </c>
      <c r="G875" t="s">
        <v>18359</v>
      </c>
    </row>
    <row r="876" spans="1:7">
      <c r="A876">
        <v>875</v>
      </c>
      <c r="B876" t="str">
        <f>"008798"</f>
        <v>0</v>
      </c>
      <c r="C876" t="s">
        <v>86</v>
      </c>
      <c r="D876" t="s">
        <v>19471</v>
      </c>
      <c r="E876" t="str">
        <f>"3301600202332"</f>
        <v>0</v>
      </c>
      <c r="F876" t="str">
        <f>"000860"</f>
        <v>0</v>
      </c>
      <c r="G876" t="s">
        <v>18359</v>
      </c>
    </row>
    <row r="877" spans="1:7">
      <c r="A877">
        <v>876</v>
      </c>
      <c r="B877" t="str">
        <f>"009477"</f>
        <v>0</v>
      </c>
      <c r="C877" t="s">
        <v>19472</v>
      </c>
      <c r="D877" t="s">
        <v>2986</v>
      </c>
      <c r="E877" t="str">
        <f>"3330501152638"</f>
        <v>0</v>
      </c>
      <c r="F877" t="str">
        <f>"000860"</f>
        <v>0</v>
      </c>
      <c r="G877" t="s">
        <v>18359</v>
      </c>
    </row>
    <row r="878" spans="1:7">
      <c r="A878">
        <v>877</v>
      </c>
      <c r="B878" t="str">
        <f>"010100"</f>
        <v>0</v>
      </c>
      <c r="C878" t="s">
        <v>19473</v>
      </c>
      <c r="D878" t="s">
        <v>4663</v>
      </c>
      <c r="E878" t="str">
        <f>"3302000217828"</f>
        <v>0</v>
      </c>
      <c r="F878" t="str">
        <f>"000860"</f>
        <v>0</v>
      </c>
      <c r="G878" t="s">
        <v>18359</v>
      </c>
    </row>
    <row r="879" spans="1:7">
      <c r="A879">
        <v>878</v>
      </c>
      <c r="B879" t="str">
        <f>"010869"</f>
        <v>0</v>
      </c>
      <c r="C879" t="s">
        <v>7928</v>
      </c>
      <c r="D879" t="s">
        <v>1351</v>
      </c>
      <c r="E879" t="str">
        <f>"3900700117632"</f>
        <v>0</v>
      </c>
      <c r="F879" t="str">
        <f>"000860"</f>
        <v>0</v>
      </c>
      <c r="G879" t="s">
        <v>18359</v>
      </c>
    </row>
    <row r="880" spans="1:7">
      <c r="A880">
        <v>879</v>
      </c>
      <c r="B880" t="str">
        <f>"010873"</f>
        <v>0</v>
      </c>
      <c r="C880" t="s">
        <v>4602</v>
      </c>
      <c r="D880" t="s">
        <v>19474</v>
      </c>
      <c r="E880" t="str">
        <f>"3311000297103"</f>
        <v>0</v>
      </c>
      <c r="F880" t="str">
        <f>"000860"</f>
        <v>0</v>
      </c>
      <c r="G880" t="s">
        <v>18359</v>
      </c>
    </row>
    <row r="881" spans="1:7">
      <c r="A881">
        <v>880</v>
      </c>
      <c r="B881" t="str">
        <f>"012591"</f>
        <v>0</v>
      </c>
      <c r="C881" t="s">
        <v>19475</v>
      </c>
      <c r="D881" t="s">
        <v>19476</v>
      </c>
      <c r="E881" t="str">
        <f>"3310400814597"</f>
        <v>0</v>
      </c>
      <c r="F881" t="str">
        <f>"000860"</f>
        <v>0</v>
      </c>
      <c r="G881" t="s">
        <v>18359</v>
      </c>
    </row>
    <row r="882" spans="1:7">
      <c r="A882">
        <v>881</v>
      </c>
      <c r="B882" t="str">
        <f>"013176"</f>
        <v>0</v>
      </c>
      <c r="C882" t="s">
        <v>2022</v>
      </c>
      <c r="D882" t="s">
        <v>19477</v>
      </c>
      <c r="E882" t="str">
        <f>"3550100758932"</f>
        <v>0</v>
      </c>
      <c r="F882" t="str">
        <f>"000860"</f>
        <v>0</v>
      </c>
      <c r="G882" t="s">
        <v>18359</v>
      </c>
    </row>
    <row r="883" spans="1:7">
      <c r="A883">
        <v>882</v>
      </c>
      <c r="B883" t="str">
        <f>"013411"</f>
        <v>0</v>
      </c>
      <c r="C883" t="s">
        <v>19478</v>
      </c>
      <c r="D883" t="s">
        <v>19479</v>
      </c>
      <c r="E883" t="str">
        <f>"3309900622831"</f>
        <v>0</v>
      </c>
      <c r="F883" t="str">
        <f>"000860"</f>
        <v>0</v>
      </c>
      <c r="G883" t="s">
        <v>18359</v>
      </c>
    </row>
    <row r="884" spans="1:7">
      <c r="A884">
        <v>883</v>
      </c>
      <c r="B884" t="str">
        <f>"014970"</f>
        <v>0</v>
      </c>
      <c r="C884" t="s">
        <v>1628</v>
      </c>
      <c r="D884" t="s">
        <v>19480</v>
      </c>
      <c r="E884" t="str">
        <f>"3901000052580"</f>
        <v>0</v>
      </c>
      <c r="F884" t="str">
        <f>"000860"</f>
        <v>0</v>
      </c>
      <c r="G884" t="s">
        <v>18359</v>
      </c>
    </row>
    <row r="885" spans="1:7">
      <c r="A885">
        <v>884</v>
      </c>
      <c r="B885" t="str">
        <f>"015552"</f>
        <v>0</v>
      </c>
      <c r="C885" t="s">
        <v>4822</v>
      </c>
      <c r="D885" t="s">
        <v>13670</v>
      </c>
      <c r="E885" t="str">
        <f>"3301600189174"</f>
        <v>0</v>
      </c>
      <c r="F885" t="str">
        <f>"000860"</f>
        <v>0</v>
      </c>
      <c r="G885" t="s">
        <v>18359</v>
      </c>
    </row>
    <row r="886" spans="1:7">
      <c r="A886">
        <v>885</v>
      </c>
      <c r="B886" t="str">
        <f>"016278"</f>
        <v>0</v>
      </c>
      <c r="C886" t="s">
        <v>90</v>
      </c>
      <c r="D886" t="s">
        <v>19481</v>
      </c>
      <c r="E886" t="str">
        <f>"3309900119519"</f>
        <v>0</v>
      </c>
      <c r="F886" t="str">
        <f>"000860"</f>
        <v>0</v>
      </c>
      <c r="G886" t="s">
        <v>18359</v>
      </c>
    </row>
    <row r="887" spans="1:7">
      <c r="A887">
        <v>886</v>
      </c>
      <c r="B887" t="str">
        <f>"016750"</f>
        <v>0</v>
      </c>
      <c r="C887" t="s">
        <v>19482</v>
      </c>
      <c r="D887" t="s">
        <v>19483</v>
      </c>
      <c r="E887" t="str">
        <f>"5300100022667"</f>
        <v>0</v>
      </c>
      <c r="F887" t="str">
        <f>"000860"</f>
        <v>0</v>
      </c>
      <c r="G887" t="s">
        <v>18359</v>
      </c>
    </row>
    <row r="888" spans="1:7">
      <c r="A888">
        <v>887</v>
      </c>
      <c r="B888" t="str">
        <f>"017548"</f>
        <v>0</v>
      </c>
      <c r="C888" t="s">
        <v>19484</v>
      </c>
      <c r="D888" t="s">
        <v>19485</v>
      </c>
      <c r="E888" t="str">
        <f>"3302000615301"</f>
        <v>0</v>
      </c>
      <c r="F888" t="str">
        <f>"000860"</f>
        <v>0</v>
      </c>
      <c r="G888" t="s">
        <v>18359</v>
      </c>
    </row>
    <row r="889" spans="1:7">
      <c r="A889">
        <v>888</v>
      </c>
      <c r="B889" t="str">
        <f>"017721"</f>
        <v>0</v>
      </c>
      <c r="C889" t="s">
        <v>4158</v>
      </c>
      <c r="D889" t="s">
        <v>19486</v>
      </c>
      <c r="E889" t="str">
        <f>"3309900812265"</f>
        <v>0</v>
      </c>
      <c r="F889" t="str">
        <f>"000860"</f>
        <v>0</v>
      </c>
      <c r="G889" t="s">
        <v>18359</v>
      </c>
    </row>
    <row r="890" spans="1:7">
      <c r="A890">
        <v>889</v>
      </c>
      <c r="B890" t="str">
        <f>"017880"</f>
        <v>0</v>
      </c>
      <c r="C890" t="s">
        <v>7295</v>
      </c>
      <c r="D890" t="s">
        <v>19487</v>
      </c>
      <c r="E890" t="str">
        <f>"3360700077199"</f>
        <v>0</v>
      </c>
      <c r="F890" t="str">
        <f>"000860"</f>
        <v>0</v>
      </c>
      <c r="G890" t="s">
        <v>18359</v>
      </c>
    </row>
    <row r="891" spans="1:7">
      <c r="A891">
        <v>890</v>
      </c>
      <c r="B891" t="str">
        <f>"017952"</f>
        <v>0</v>
      </c>
      <c r="C891" t="s">
        <v>4799</v>
      </c>
      <c r="D891" t="s">
        <v>19488</v>
      </c>
      <c r="E891" t="str">
        <f>"3330300737442"</f>
        <v>0</v>
      </c>
      <c r="F891" t="str">
        <f>"000860"</f>
        <v>0</v>
      </c>
      <c r="G891" t="s">
        <v>18359</v>
      </c>
    </row>
    <row r="892" spans="1:7">
      <c r="A892">
        <v>891</v>
      </c>
      <c r="B892" t="str">
        <f>"018077"</f>
        <v>0</v>
      </c>
      <c r="C892" t="s">
        <v>825</v>
      </c>
      <c r="D892" t="s">
        <v>19489</v>
      </c>
      <c r="E892" t="str">
        <f>"5300100021521"</f>
        <v>0</v>
      </c>
      <c r="F892" t="str">
        <f>"000860"</f>
        <v>0</v>
      </c>
      <c r="G892" t="s">
        <v>18359</v>
      </c>
    </row>
    <row r="893" spans="1:7">
      <c r="A893">
        <v>892</v>
      </c>
      <c r="B893" t="str">
        <f>"018189"</f>
        <v>0</v>
      </c>
      <c r="C893" t="s">
        <v>102</v>
      </c>
      <c r="D893" t="s">
        <v>19490</v>
      </c>
      <c r="E893" t="str">
        <f>"3301700070373"</f>
        <v>0</v>
      </c>
      <c r="F893" t="str">
        <f>"000860"</f>
        <v>0</v>
      </c>
      <c r="G893" t="s">
        <v>18359</v>
      </c>
    </row>
    <row r="894" spans="1:7">
      <c r="A894">
        <v>893</v>
      </c>
      <c r="B894" t="str">
        <f>"018427"</f>
        <v>0</v>
      </c>
      <c r="C894" t="s">
        <v>5445</v>
      </c>
      <c r="D894" t="s">
        <v>19491</v>
      </c>
      <c r="E894" t="str">
        <f>"3300101511568"</f>
        <v>0</v>
      </c>
      <c r="F894" t="str">
        <f>"000860"</f>
        <v>0</v>
      </c>
      <c r="G894" t="s">
        <v>18359</v>
      </c>
    </row>
    <row r="895" spans="1:7">
      <c r="A895">
        <v>894</v>
      </c>
      <c r="B895" t="str">
        <f>"018696"</f>
        <v>0</v>
      </c>
      <c r="C895" t="s">
        <v>7378</v>
      </c>
      <c r="D895" t="s">
        <v>19492</v>
      </c>
      <c r="E895" t="str">
        <f>"3311000413260"</f>
        <v>0</v>
      </c>
      <c r="F895" t="str">
        <f>"000860"</f>
        <v>0</v>
      </c>
      <c r="G895" t="s">
        <v>18359</v>
      </c>
    </row>
    <row r="896" spans="1:7">
      <c r="A896">
        <v>895</v>
      </c>
      <c r="B896" t="str">
        <f>"019407"</f>
        <v>0</v>
      </c>
      <c r="C896" t="s">
        <v>953</v>
      </c>
      <c r="D896" t="s">
        <v>19493</v>
      </c>
      <c r="E896" t="str">
        <f>"3920200252000"</f>
        <v>0</v>
      </c>
      <c r="F896" t="str">
        <f>"000860"</f>
        <v>0</v>
      </c>
      <c r="G896" t="s">
        <v>18359</v>
      </c>
    </row>
    <row r="897" spans="1:7">
      <c r="A897">
        <v>896</v>
      </c>
      <c r="B897" t="str">
        <f>"019582"</f>
        <v>0</v>
      </c>
      <c r="C897" t="s">
        <v>372</v>
      </c>
      <c r="D897" t="s">
        <v>19494</v>
      </c>
      <c r="E897" t="str">
        <f>"3301100094361"</f>
        <v>0</v>
      </c>
      <c r="F897" t="str">
        <f>"000860"</f>
        <v>0</v>
      </c>
      <c r="G897" t="s">
        <v>18359</v>
      </c>
    </row>
    <row r="898" spans="1:7">
      <c r="A898">
        <v>897</v>
      </c>
      <c r="B898" t="str">
        <f>"020023"</f>
        <v>0</v>
      </c>
      <c r="C898" t="s">
        <v>19495</v>
      </c>
      <c r="D898" t="s">
        <v>19496</v>
      </c>
      <c r="E898" t="str">
        <f>"3300100453548"</f>
        <v>0</v>
      </c>
      <c r="F898" t="str">
        <f>"000860"</f>
        <v>0</v>
      </c>
      <c r="G898" t="s">
        <v>18359</v>
      </c>
    </row>
    <row r="899" spans="1:7">
      <c r="A899">
        <v>898</v>
      </c>
      <c r="B899" t="str">
        <f>"020128"</f>
        <v>0</v>
      </c>
      <c r="C899" t="s">
        <v>9780</v>
      </c>
      <c r="D899" t="s">
        <v>19497</v>
      </c>
      <c r="E899" t="str">
        <f>"3300800717840"</f>
        <v>0</v>
      </c>
      <c r="F899" t="str">
        <f>"000860"</f>
        <v>0</v>
      </c>
      <c r="G899" t="s">
        <v>18359</v>
      </c>
    </row>
    <row r="900" spans="1:7">
      <c r="A900">
        <v>899</v>
      </c>
      <c r="B900" t="str">
        <f>"020329"</f>
        <v>0</v>
      </c>
      <c r="C900" t="s">
        <v>19498</v>
      </c>
      <c r="D900" t="s">
        <v>9814</v>
      </c>
      <c r="E900" t="str">
        <f>"3300100165089"</f>
        <v>0</v>
      </c>
      <c r="F900" t="str">
        <f>"000860"</f>
        <v>0</v>
      </c>
      <c r="G900" t="s">
        <v>18359</v>
      </c>
    </row>
    <row r="901" spans="1:7">
      <c r="A901">
        <v>900</v>
      </c>
      <c r="B901" t="str">
        <f>"020562"</f>
        <v>0</v>
      </c>
      <c r="C901" t="s">
        <v>5307</v>
      </c>
      <c r="D901" t="s">
        <v>19499</v>
      </c>
      <c r="E901" t="str">
        <f>"3301500013252"</f>
        <v>0</v>
      </c>
      <c r="F901" t="str">
        <f>"000860"</f>
        <v>0</v>
      </c>
      <c r="G901" t="s">
        <v>18359</v>
      </c>
    </row>
    <row r="902" spans="1:7">
      <c r="A902">
        <v>901</v>
      </c>
      <c r="B902" t="str">
        <f>"020847"</f>
        <v>0</v>
      </c>
      <c r="C902" t="s">
        <v>19500</v>
      </c>
      <c r="D902" t="s">
        <v>19501</v>
      </c>
      <c r="E902" t="str">
        <f>"3309900501537"</f>
        <v>0</v>
      </c>
      <c r="F902" t="str">
        <f>"000860"</f>
        <v>0</v>
      </c>
      <c r="G902" t="s">
        <v>18359</v>
      </c>
    </row>
    <row r="903" spans="1:7">
      <c r="A903">
        <v>902</v>
      </c>
      <c r="B903" t="str">
        <f>"020964"</f>
        <v>0</v>
      </c>
      <c r="C903" t="s">
        <v>4771</v>
      </c>
      <c r="D903" t="s">
        <v>7162</v>
      </c>
      <c r="E903" t="str">
        <f>"3301100276311"</f>
        <v>0</v>
      </c>
      <c r="F903" t="str">
        <f>"000860"</f>
        <v>0</v>
      </c>
      <c r="G903" t="s">
        <v>18359</v>
      </c>
    </row>
    <row r="904" spans="1:7">
      <c r="A904">
        <v>903</v>
      </c>
      <c r="B904" t="str">
        <f>"020988"</f>
        <v>0</v>
      </c>
      <c r="C904" t="s">
        <v>19502</v>
      </c>
      <c r="D904" t="s">
        <v>19503</v>
      </c>
      <c r="E904" t="str">
        <f>"3300600151893"</f>
        <v>0</v>
      </c>
      <c r="F904" t="str">
        <f>"000860"</f>
        <v>0</v>
      </c>
      <c r="G904" t="s">
        <v>18359</v>
      </c>
    </row>
    <row r="905" spans="1:7">
      <c r="A905">
        <v>904</v>
      </c>
      <c r="B905" t="str">
        <f>"021082"</f>
        <v>0</v>
      </c>
      <c r="C905" t="s">
        <v>1128</v>
      </c>
      <c r="D905" t="s">
        <v>19504</v>
      </c>
      <c r="E905" t="str">
        <f>"3301000535136"</f>
        <v>0</v>
      </c>
      <c r="F905" t="str">
        <f>"000860"</f>
        <v>0</v>
      </c>
      <c r="G905" t="s">
        <v>18359</v>
      </c>
    </row>
    <row r="906" spans="1:7">
      <c r="A906">
        <v>905</v>
      </c>
      <c r="B906" t="str">
        <f>"021167"</f>
        <v>0</v>
      </c>
      <c r="C906" t="s">
        <v>5717</v>
      </c>
      <c r="D906" t="s">
        <v>2557</v>
      </c>
      <c r="E906" t="str">
        <f>"3309700087222"</f>
        <v>0</v>
      </c>
      <c r="F906" t="str">
        <f>"000860"</f>
        <v>0</v>
      </c>
      <c r="G906" t="s">
        <v>18359</v>
      </c>
    </row>
    <row r="907" spans="1:7">
      <c r="A907">
        <v>906</v>
      </c>
      <c r="B907" t="str">
        <f>"021433"</f>
        <v>0</v>
      </c>
      <c r="C907" t="s">
        <v>1315</v>
      </c>
      <c r="D907" t="s">
        <v>19505</v>
      </c>
      <c r="E907" t="str">
        <f>"3309900118300"</f>
        <v>0</v>
      </c>
      <c r="F907" t="str">
        <f>"000860"</f>
        <v>0</v>
      </c>
      <c r="G907" t="s">
        <v>18359</v>
      </c>
    </row>
    <row r="908" spans="1:7">
      <c r="A908">
        <v>907</v>
      </c>
      <c r="B908" t="str">
        <f>"021465"</f>
        <v>0</v>
      </c>
      <c r="C908" t="s">
        <v>19506</v>
      </c>
      <c r="D908" t="s">
        <v>19507</v>
      </c>
      <c r="E908" t="str">
        <f>"3309900686430"</f>
        <v>0</v>
      </c>
      <c r="F908" t="str">
        <f>"000860"</f>
        <v>0</v>
      </c>
      <c r="G908" t="s">
        <v>18359</v>
      </c>
    </row>
    <row r="909" spans="1:7">
      <c r="A909">
        <v>908</v>
      </c>
      <c r="B909" t="str">
        <f>"021655"</f>
        <v>0</v>
      </c>
      <c r="C909" t="s">
        <v>19508</v>
      </c>
      <c r="D909" t="s">
        <v>19509</v>
      </c>
      <c r="E909" t="str">
        <f>"3301400164003"</f>
        <v>0</v>
      </c>
      <c r="F909" t="str">
        <f>"000860"</f>
        <v>0</v>
      </c>
      <c r="G909" t="s">
        <v>18359</v>
      </c>
    </row>
    <row r="910" spans="1:7">
      <c r="A910">
        <v>909</v>
      </c>
      <c r="B910" t="str">
        <f>"021982"</f>
        <v>0</v>
      </c>
      <c r="C910" t="s">
        <v>19510</v>
      </c>
      <c r="D910" t="s">
        <v>19511</v>
      </c>
      <c r="E910" t="str">
        <f>"3300800781106"</f>
        <v>0</v>
      </c>
      <c r="F910" t="str">
        <f>"000860"</f>
        <v>0</v>
      </c>
      <c r="G910" t="s">
        <v>18359</v>
      </c>
    </row>
    <row r="911" spans="1:7">
      <c r="A911">
        <v>910</v>
      </c>
      <c r="B911" t="str">
        <f>"022213"</f>
        <v>0</v>
      </c>
      <c r="C911" t="s">
        <v>7096</v>
      </c>
      <c r="D911" t="s">
        <v>19512</v>
      </c>
      <c r="E911" t="str">
        <f>"3302100866551"</f>
        <v>0</v>
      </c>
      <c r="F911" t="str">
        <f>"000860"</f>
        <v>0</v>
      </c>
      <c r="G911" t="s">
        <v>18359</v>
      </c>
    </row>
    <row r="912" spans="1:7">
      <c r="A912">
        <v>911</v>
      </c>
      <c r="B912" t="str">
        <f>"022444"</f>
        <v>0</v>
      </c>
      <c r="C912" t="s">
        <v>19513</v>
      </c>
      <c r="D912" t="s">
        <v>19514</v>
      </c>
      <c r="E912" t="str">
        <f>"3309900412275"</f>
        <v>0</v>
      </c>
      <c r="F912" t="str">
        <f>"000860"</f>
        <v>0</v>
      </c>
      <c r="G912" t="s">
        <v>18359</v>
      </c>
    </row>
    <row r="913" spans="1:7">
      <c r="A913">
        <v>912</v>
      </c>
      <c r="B913" t="str">
        <f>"022478"</f>
        <v>0</v>
      </c>
      <c r="C913" t="s">
        <v>19515</v>
      </c>
      <c r="D913" t="s">
        <v>19516</v>
      </c>
      <c r="E913" t="str">
        <f>"3301300151317"</f>
        <v>0</v>
      </c>
      <c r="F913" t="str">
        <f>"000860"</f>
        <v>0</v>
      </c>
      <c r="G913" t="s">
        <v>18359</v>
      </c>
    </row>
    <row r="914" spans="1:7">
      <c r="A914">
        <v>913</v>
      </c>
      <c r="B914" t="str">
        <f>"022717"</f>
        <v>0</v>
      </c>
      <c r="C914" t="s">
        <v>19517</v>
      </c>
      <c r="D914" t="s">
        <v>19518</v>
      </c>
      <c r="E914" t="str">
        <f>"1300400006478"</f>
        <v>0</v>
      </c>
      <c r="F914" t="str">
        <f>"000860"</f>
        <v>0</v>
      </c>
      <c r="G914" t="s">
        <v>18359</v>
      </c>
    </row>
    <row r="915" spans="1:7">
      <c r="A915">
        <v>914</v>
      </c>
      <c r="B915" t="str">
        <f>"023349"</f>
        <v>0</v>
      </c>
      <c r="C915" t="s">
        <v>19519</v>
      </c>
      <c r="D915" t="s">
        <v>19520</v>
      </c>
      <c r="E915" t="str">
        <f>"3301500512836"</f>
        <v>0</v>
      </c>
      <c r="F915" t="str">
        <f>"000860"</f>
        <v>0</v>
      </c>
      <c r="G915" t="s">
        <v>18359</v>
      </c>
    </row>
    <row r="916" spans="1:7">
      <c r="A916">
        <v>915</v>
      </c>
      <c r="B916" t="str">
        <f>"024275"</f>
        <v>0</v>
      </c>
      <c r="C916" t="s">
        <v>19521</v>
      </c>
      <c r="D916" t="s">
        <v>19522</v>
      </c>
      <c r="E916" t="str">
        <f>"3200700245386"</f>
        <v>0</v>
      </c>
      <c r="F916" t="str">
        <f>"000860"</f>
        <v>0</v>
      </c>
      <c r="G916" t="s">
        <v>18359</v>
      </c>
    </row>
    <row r="917" spans="1:7">
      <c r="A917">
        <v>916</v>
      </c>
      <c r="B917" t="str">
        <f>"024748"</f>
        <v>0</v>
      </c>
      <c r="C917" t="s">
        <v>19523</v>
      </c>
      <c r="D917" t="s">
        <v>19524</v>
      </c>
      <c r="E917" t="str">
        <f>"5300800100962"</f>
        <v>0</v>
      </c>
      <c r="F917" t="str">
        <f>"000860"</f>
        <v>0</v>
      </c>
      <c r="G917" t="s">
        <v>18359</v>
      </c>
    </row>
    <row r="918" spans="1:7">
      <c r="A918">
        <v>917</v>
      </c>
      <c r="B918" t="str">
        <f>"027502"</f>
        <v>0</v>
      </c>
      <c r="C918" t="s">
        <v>14641</v>
      </c>
      <c r="D918" t="s">
        <v>19525</v>
      </c>
      <c r="E918" t="str">
        <f>"1509900588430"</f>
        <v>0</v>
      </c>
      <c r="F918" t="str">
        <f>"000860"</f>
        <v>0</v>
      </c>
      <c r="G918" t="s">
        <v>18359</v>
      </c>
    </row>
    <row r="919" spans="1:7">
      <c r="A919">
        <v>918</v>
      </c>
      <c r="B919" t="str">
        <f>"020662"</f>
        <v>0</v>
      </c>
      <c r="C919" t="s">
        <v>3364</v>
      </c>
      <c r="D919" t="s">
        <v>19526</v>
      </c>
      <c r="E919" t="str">
        <f>"3301000132562"</f>
        <v>0</v>
      </c>
      <c r="F919" t="str">
        <f>"000860"</f>
        <v>0</v>
      </c>
      <c r="G919" t="s">
        <v>18359</v>
      </c>
    </row>
    <row r="920" spans="1:7">
      <c r="A920">
        <v>919</v>
      </c>
      <c r="B920" t="str">
        <f>"019830"</f>
        <v>0</v>
      </c>
      <c r="C920" t="s">
        <v>322</v>
      </c>
      <c r="D920" t="s">
        <v>19527</v>
      </c>
      <c r="E920" t="str">
        <f>"3301800347814"</f>
        <v>0</v>
      </c>
      <c r="F920" t="str">
        <f>"000860"</f>
        <v>0</v>
      </c>
      <c r="G920" t="s">
        <v>18359</v>
      </c>
    </row>
    <row r="921" spans="1:7">
      <c r="A921">
        <v>920</v>
      </c>
      <c r="B921" t="str">
        <f>"027580"</f>
        <v>0</v>
      </c>
      <c r="C921" t="s">
        <v>19528</v>
      </c>
      <c r="D921" t="s">
        <v>19529</v>
      </c>
      <c r="E921" t="str">
        <f>"1401500083407"</f>
        <v>0</v>
      </c>
      <c r="F921" t="str">
        <f>"000860"</f>
        <v>0</v>
      </c>
      <c r="G921" t="s">
        <v>18359</v>
      </c>
    </row>
    <row r="922" spans="1:7">
      <c r="A922">
        <v>921</v>
      </c>
      <c r="B922" t="str">
        <f>"002390"</f>
        <v>0</v>
      </c>
      <c r="C922" t="s">
        <v>15434</v>
      </c>
      <c r="D922" t="s">
        <v>4688</v>
      </c>
      <c r="E922" t="str">
        <f>"3939900147541"</f>
        <v>0</v>
      </c>
      <c r="F922" t="str">
        <f>"000920"</f>
        <v>0</v>
      </c>
      <c r="G922" t="s">
        <v>18359</v>
      </c>
    </row>
    <row r="923" spans="1:7">
      <c r="A923">
        <v>922</v>
      </c>
      <c r="B923" t="str">
        <f>"002743"</f>
        <v>0</v>
      </c>
      <c r="C923" t="s">
        <v>18584</v>
      </c>
      <c r="D923" t="s">
        <v>19530</v>
      </c>
      <c r="E923" t="str">
        <f>"5860800002028"</f>
        <v>0</v>
      </c>
      <c r="F923" t="str">
        <f>"000920"</f>
        <v>0</v>
      </c>
      <c r="G923" t="s">
        <v>18359</v>
      </c>
    </row>
    <row r="924" spans="1:7">
      <c r="A924">
        <v>923</v>
      </c>
      <c r="B924" t="str">
        <f>"003487"</f>
        <v>0</v>
      </c>
      <c r="C924" t="s">
        <v>19531</v>
      </c>
      <c r="D924" t="s">
        <v>19532</v>
      </c>
      <c r="E924" t="str">
        <f>"3800400882245"</f>
        <v>0</v>
      </c>
      <c r="F924" t="str">
        <f>"000920"</f>
        <v>0</v>
      </c>
      <c r="G924" t="s">
        <v>18359</v>
      </c>
    </row>
    <row r="925" spans="1:7">
      <c r="A925">
        <v>924</v>
      </c>
      <c r="B925" t="str">
        <f>"003749"</f>
        <v>0</v>
      </c>
      <c r="C925" t="s">
        <v>2331</v>
      </c>
      <c r="D925" t="s">
        <v>19533</v>
      </c>
      <c r="E925" t="str">
        <f>"3800700361208"</f>
        <v>0</v>
      </c>
      <c r="F925" t="str">
        <f>"000920"</f>
        <v>0</v>
      </c>
      <c r="G925" t="s">
        <v>18359</v>
      </c>
    </row>
    <row r="926" spans="1:7">
      <c r="A926">
        <v>925</v>
      </c>
      <c r="B926" t="str">
        <f>"003754"</f>
        <v>0</v>
      </c>
      <c r="C926" t="s">
        <v>7638</v>
      </c>
      <c r="D926" t="s">
        <v>19534</v>
      </c>
      <c r="E926" t="str">
        <f>"3800100043256"</f>
        <v>0</v>
      </c>
      <c r="F926" t="str">
        <f>"000920"</f>
        <v>0</v>
      </c>
      <c r="G926" t="s">
        <v>18359</v>
      </c>
    </row>
    <row r="927" spans="1:7">
      <c r="A927">
        <v>926</v>
      </c>
      <c r="B927" t="str">
        <f>"003962"</f>
        <v>0</v>
      </c>
      <c r="C927" t="s">
        <v>18255</v>
      </c>
      <c r="D927" t="s">
        <v>19535</v>
      </c>
      <c r="E927" t="str">
        <f>"3801500054604"</f>
        <v>0</v>
      </c>
      <c r="F927" t="str">
        <f>"000920"</f>
        <v>0</v>
      </c>
      <c r="G927" t="s">
        <v>18359</v>
      </c>
    </row>
    <row r="928" spans="1:7">
      <c r="A928">
        <v>927</v>
      </c>
      <c r="B928" t="str">
        <f>"004210"</f>
        <v>0</v>
      </c>
      <c r="C928" t="s">
        <v>2815</v>
      </c>
      <c r="D928" t="s">
        <v>19536</v>
      </c>
      <c r="E928" t="str">
        <f>"3800900820443"</f>
        <v>0</v>
      </c>
      <c r="F928" t="str">
        <f>"000920"</f>
        <v>0</v>
      </c>
      <c r="G928" t="s">
        <v>18359</v>
      </c>
    </row>
    <row r="929" spans="1:7">
      <c r="A929">
        <v>928</v>
      </c>
      <c r="B929" t="str">
        <f>"004211"</f>
        <v>0</v>
      </c>
      <c r="C929" t="s">
        <v>6924</v>
      </c>
      <c r="D929" t="s">
        <v>19537</v>
      </c>
      <c r="E929" t="str">
        <f>"3809900475566"</f>
        <v>0</v>
      </c>
      <c r="F929" t="str">
        <f>"000920"</f>
        <v>0</v>
      </c>
      <c r="G929" t="s">
        <v>18359</v>
      </c>
    </row>
    <row r="930" spans="1:7">
      <c r="A930">
        <v>929</v>
      </c>
      <c r="B930" t="str">
        <f>"004301"</f>
        <v>0</v>
      </c>
      <c r="C930" t="s">
        <v>590</v>
      </c>
      <c r="D930" t="s">
        <v>19538</v>
      </c>
      <c r="E930" t="str">
        <f>"3801200774717"</f>
        <v>0</v>
      </c>
      <c r="F930" t="str">
        <f>"000920"</f>
        <v>0</v>
      </c>
      <c r="G930" t="s">
        <v>18359</v>
      </c>
    </row>
    <row r="931" spans="1:7">
      <c r="A931">
        <v>930</v>
      </c>
      <c r="B931" t="str">
        <f>"004336"</f>
        <v>0</v>
      </c>
      <c r="C931" t="s">
        <v>12071</v>
      </c>
      <c r="D931" t="s">
        <v>4688</v>
      </c>
      <c r="E931" t="str">
        <f>"3939900147533"</f>
        <v>0</v>
      </c>
      <c r="F931" t="str">
        <f>"000920"</f>
        <v>0</v>
      </c>
      <c r="G931" t="s">
        <v>18359</v>
      </c>
    </row>
    <row r="932" spans="1:7">
      <c r="A932">
        <v>931</v>
      </c>
      <c r="B932" t="str">
        <f>"004412"</f>
        <v>0</v>
      </c>
      <c r="C932" t="s">
        <v>19539</v>
      </c>
      <c r="D932" t="s">
        <v>19540</v>
      </c>
      <c r="E932" t="str">
        <f>"3800400362250"</f>
        <v>0</v>
      </c>
      <c r="F932" t="str">
        <f>"000920"</f>
        <v>0</v>
      </c>
      <c r="G932" t="s">
        <v>18359</v>
      </c>
    </row>
    <row r="933" spans="1:7">
      <c r="A933">
        <v>932</v>
      </c>
      <c r="B933" t="str">
        <f>"004416"</f>
        <v>0</v>
      </c>
      <c r="C933" t="s">
        <v>2288</v>
      </c>
      <c r="D933" t="s">
        <v>19541</v>
      </c>
      <c r="E933" t="str">
        <f>"3801200771599"</f>
        <v>0</v>
      </c>
      <c r="F933" t="str">
        <f>"000920"</f>
        <v>0</v>
      </c>
      <c r="G933" t="s">
        <v>18359</v>
      </c>
    </row>
    <row r="934" spans="1:7">
      <c r="A934">
        <v>933</v>
      </c>
      <c r="B934" t="str">
        <f>"004428"</f>
        <v>0</v>
      </c>
      <c r="C934" t="s">
        <v>3883</v>
      </c>
      <c r="D934" t="s">
        <v>19542</v>
      </c>
      <c r="E934" t="str">
        <f>"3800300197087"</f>
        <v>0</v>
      </c>
      <c r="F934" t="str">
        <f>"000920"</f>
        <v>0</v>
      </c>
      <c r="G934" t="s">
        <v>18359</v>
      </c>
    </row>
    <row r="935" spans="1:7">
      <c r="A935">
        <v>934</v>
      </c>
      <c r="B935" t="str">
        <f>"004498"</f>
        <v>0</v>
      </c>
      <c r="C935" t="s">
        <v>19543</v>
      </c>
      <c r="D935" t="s">
        <v>19544</v>
      </c>
      <c r="E935" t="str">
        <f>"3809900617514"</f>
        <v>0</v>
      </c>
      <c r="F935" t="str">
        <f>"000920"</f>
        <v>0</v>
      </c>
      <c r="G935" t="s">
        <v>18359</v>
      </c>
    </row>
    <row r="936" spans="1:7">
      <c r="A936">
        <v>935</v>
      </c>
      <c r="B936" t="str">
        <f>"004631"</f>
        <v>0</v>
      </c>
      <c r="C936" t="s">
        <v>19545</v>
      </c>
      <c r="D936" t="s">
        <v>19546</v>
      </c>
      <c r="E936" t="str">
        <f>"3670700195792"</f>
        <v>0</v>
      </c>
      <c r="F936" t="str">
        <f>"000920"</f>
        <v>0</v>
      </c>
      <c r="G936" t="s">
        <v>18359</v>
      </c>
    </row>
    <row r="937" spans="1:7">
      <c r="A937">
        <v>936</v>
      </c>
      <c r="B937" t="str">
        <f>"004632"</f>
        <v>0</v>
      </c>
      <c r="C937" t="s">
        <v>14252</v>
      </c>
      <c r="D937" t="s">
        <v>19547</v>
      </c>
      <c r="E937" t="str">
        <f>"3800100114943"</f>
        <v>0</v>
      </c>
      <c r="F937" t="str">
        <f>"000920"</f>
        <v>0</v>
      </c>
      <c r="G937" t="s">
        <v>18359</v>
      </c>
    </row>
    <row r="938" spans="1:7">
      <c r="A938">
        <v>937</v>
      </c>
      <c r="B938" t="str">
        <f>"004754"</f>
        <v>0</v>
      </c>
      <c r="C938" t="s">
        <v>19548</v>
      </c>
      <c r="D938" t="s">
        <v>19549</v>
      </c>
      <c r="E938" t="str">
        <f>"3800700081612"</f>
        <v>0</v>
      </c>
      <c r="F938" t="str">
        <f>"000920"</f>
        <v>0</v>
      </c>
      <c r="G938" t="s">
        <v>18359</v>
      </c>
    </row>
    <row r="939" spans="1:7">
      <c r="A939">
        <v>938</v>
      </c>
      <c r="B939" t="str">
        <f>"004852"</f>
        <v>0</v>
      </c>
      <c r="C939" t="s">
        <v>2551</v>
      </c>
      <c r="D939" t="s">
        <v>19550</v>
      </c>
      <c r="E939" t="str">
        <f>"3909700106540"</f>
        <v>0</v>
      </c>
      <c r="F939" t="str">
        <f>"000920"</f>
        <v>0</v>
      </c>
      <c r="G939" t="s">
        <v>18359</v>
      </c>
    </row>
    <row r="940" spans="1:7">
      <c r="A940">
        <v>939</v>
      </c>
      <c r="B940" t="str">
        <f>"005114"</f>
        <v>0</v>
      </c>
      <c r="C940" t="s">
        <v>2445</v>
      </c>
      <c r="D940" t="s">
        <v>19551</v>
      </c>
      <c r="E940" t="str">
        <f>"3940200154075"</f>
        <v>0</v>
      </c>
      <c r="F940" t="str">
        <f>"000920"</f>
        <v>0</v>
      </c>
      <c r="G940" t="s">
        <v>18359</v>
      </c>
    </row>
    <row r="941" spans="1:7">
      <c r="A941">
        <v>940</v>
      </c>
      <c r="B941" t="str">
        <f>"005264"</f>
        <v>0</v>
      </c>
      <c r="C941" t="s">
        <v>2441</v>
      </c>
      <c r="D941" t="s">
        <v>19552</v>
      </c>
      <c r="E941" t="str">
        <f>"3930100729041"</f>
        <v>0</v>
      </c>
      <c r="F941" t="str">
        <f>"000920"</f>
        <v>0</v>
      </c>
      <c r="G941" t="s">
        <v>18359</v>
      </c>
    </row>
    <row r="942" spans="1:7">
      <c r="A942">
        <v>941</v>
      </c>
      <c r="B942" t="str">
        <f>"005458"</f>
        <v>0</v>
      </c>
      <c r="C942" t="s">
        <v>19553</v>
      </c>
      <c r="D942" t="s">
        <v>8478</v>
      </c>
      <c r="E942" t="str">
        <f>"3700400805284"</f>
        <v>0</v>
      </c>
      <c r="F942" t="str">
        <f>"000920"</f>
        <v>0</v>
      </c>
      <c r="G942" t="s">
        <v>18359</v>
      </c>
    </row>
    <row r="943" spans="1:7">
      <c r="A943">
        <v>942</v>
      </c>
      <c r="B943" t="str">
        <f>"005491"</f>
        <v>0</v>
      </c>
      <c r="C943" t="s">
        <v>19554</v>
      </c>
      <c r="D943" t="s">
        <v>19555</v>
      </c>
      <c r="E943" t="str">
        <f>"4919900006709"</f>
        <v>0</v>
      </c>
      <c r="F943" t="str">
        <f>"000920"</f>
        <v>0</v>
      </c>
      <c r="G943" t="s">
        <v>18359</v>
      </c>
    </row>
    <row r="944" spans="1:7">
      <c r="A944">
        <v>943</v>
      </c>
      <c r="B944" t="str">
        <f>"005632"</f>
        <v>0</v>
      </c>
      <c r="C944" t="s">
        <v>16591</v>
      </c>
      <c r="D944" t="s">
        <v>19556</v>
      </c>
      <c r="E944" t="str">
        <f>"3800600540500"</f>
        <v>0</v>
      </c>
      <c r="F944" t="str">
        <f>"000920"</f>
        <v>0</v>
      </c>
      <c r="G944" t="s">
        <v>18359</v>
      </c>
    </row>
    <row r="945" spans="1:7">
      <c r="A945">
        <v>944</v>
      </c>
      <c r="B945" t="str">
        <f>"005633"</f>
        <v>0</v>
      </c>
      <c r="C945" t="s">
        <v>6732</v>
      </c>
      <c r="D945" t="s">
        <v>19557</v>
      </c>
      <c r="E945" t="str">
        <f>"3800101471332"</f>
        <v>0</v>
      </c>
      <c r="F945" t="str">
        <f>"000920"</f>
        <v>0</v>
      </c>
      <c r="G945" t="s">
        <v>18359</v>
      </c>
    </row>
    <row r="946" spans="1:7">
      <c r="A946">
        <v>945</v>
      </c>
      <c r="B946" t="str">
        <f>"005760"</f>
        <v>0</v>
      </c>
      <c r="C946" t="s">
        <v>19558</v>
      </c>
      <c r="D946" t="s">
        <v>19559</v>
      </c>
      <c r="E946" t="str">
        <f>"3800901093260"</f>
        <v>0</v>
      </c>
      <c r="F946" t="str">
        <f>"000920"</f>
        <v>0</v>
      </c>
      <c r="G946" t="s">
        <v>18359</v>
      </c>
    </row>
    <row r="947" spans="1:7">
      <c r="A947">
        <v>946</v>
      </c>
      <c r="B947" t="str">
        <f>"005780"</f>
        <v>0</v>
      </c>
      <c r="C947" t="s">
        <v>14036</v>
      </c>
      <c r="D947" t="s">
        <v>19560</v>
      </c>
      <c r="E947" t="str">
        <f>"3800100519129"</f>
        <v>0</v>
      </c>
      <c r="F947" t="str">
        <f>"000920"</f>
        <v>0</v>
      </c>
      <c r="G947" t="s">
        <v>18359</v>
      </c>
    </row>
    <row r="948" spans="1:7">
      <c r="A948">
        <v>947</v>
      </c>
      <c r="B948" t="str">
        <f>"005842"</f>
        <v>0</v>
      </c>
      <c r="C948" t="s">
        <v>19561</v>
      </c>
      <c r="D948" t="s">
        <v>7192</v>
      </c>
      <c r="E948" t="str">
        <f>"3940200425907"</f>
        <v>0</v>
      </c>
      <c r="F948" t="str">
        <f>"000920"</f>
        <v>0</v>
      </c>
      <c r="G948" t="s">
        <v>18359</v>
      </c>
    </row>
    <row r="949" spans="1:7">
      <c r="A949">
        <v>948</v>
      </c>
      <c r="B949" t="str">
        <f>"005947"</f>
        <v>0</v>
      </c>
      <c r="C949" t="s">
        <v>19562</v>
      </c>
      <c r="D949" t="s">
        <v>7522</v>
      </c>
      <c r="E949" t="str">
        <f>"3800500030925"</f>
        <v>0</v>
      </c>
      <c r="F949" t="str">
        <f>"000920"</f>
        <v>0</v>
      </c>
      <c r="G949" t="s">
        <v>18359</v>
      </c>
    </row>
    <row r="950" spans="1:7">
      <c r="A950">
        <v>949</v>
      </c>
      <c r="B950" t="str">
        <f>"006110"</f>
        <v>0</v>
      </c>
      <c r="C950" t="s">
        <v>19563</v>
      </c>
      <c r="D950" t="s">
        <v>410</v>
      </c>
      <c r="E950" t="str">
        <f>"3909900601188"</f>
        <v>0</v>
      </c>
      <c r="F950" t="str">
        <f>"000920"</f>
        <v>0</v>
      </c>
      <c r="G950" t="s">
        <v>18359</v>
      </c>
    </row>
    <row r="951" spans="1:7">
      <c r="A951">
        <v>950</v>
      </c>
      <c r="B951" t="str">
        <f>"006117"</f>
        <v>0</v>
      </c>
      <c r="C951" t="s">
        <v>19564</v>
      </c>
      <c r="D951" t="s">
        <v>6198</v>
      </c>
      <c r="E951" t="str">
        <f>"3839900094171"</f>
        <v>0</v>
      </c>
      <c r="F951" t="str">
        <f>"000920"</f>
        <v>0</v>
      </c>
      <c r="G951" t="s">
        <v>18359</v>
      </c>
    </row>
    <row r="952" spans="1:7">
      <c r="A952">
        <v>951</v>
      </c>
      <c r="B952" t="str">
        <f>"006423"</f>
        <v>0</v>
      </c>
      <c r="C952" t="s">
        <v>16118</v>
      </c>
      <c r="D952" t="s">
        <v>19565</v>
      </c>
      <c r="E952" t="str">
        <f>"3909900342808"</f>
        <v>0</v>
      </c>
      <c r="F952" t="str">
        <f>"000920"</f>
        <v>0</v>
      </c>
      <c r="G952" t="s">
        <v>18359</v>
      </c>
    </row>
    <row r="953" spans="1:7">
      <c r="A953">
        <v>952</v>
      </c>
      <c r="B953" t="str">
        <f>"006723"</f>
        <v>0</v>
      </c>
      <c r="C953" t="s">
        <v>5191</v>
      </c>
      <c r="D953" t="s">
        <v>7278</v>
      </c>
      <c r="E953" t="str">
        <f>"3959800072540"</f>
        <v>0</v>
      </c>
      <c r="F953" t="str">
        <f>"000920"</f>
        <v>0</v>
      </c>
      <c r="G953" t="s">
        <v>18359</v>
      </c>
    </row>
    <row r="954" spans="1:7">
      <c r="A954">
        <v>953</v>
      </c>
      <c r="B954" t="str">
        <f>"007064"</f>
        <v>0</v>
      </c>
      <c r="C954" t="s">
        <v>19566</v>
      </c>
      <c r="D954" t="s">
        <v>14420</v>
      </c>
      <c r="E954" t="str">
        <f>"3801300513788"</f>
        <v>0</v>
      </c>
      <c r="F954" t="str">
        <f>"000920"</f>
        <v>0</v>
      </c>
      <c r="G954" t="s">
        <v>18359</v>
      </c>
    </row>
    <row r="955" spans="1:7">
      <c r="A955">
        <v>954</v>
      </c>
      <c r="B955" t="str">
        <f>"007071"</f>
        <v>0</v>
      </c>
      <c r="C955" t="s">
        <v>1506</v>
      </c>
      <c r="D955" t="s">
        <v>19567</v>
      </c>
      <c r="E955" t="str">
        <f>"3321000015361"</f>
        <v>0</v>
      </c>
      <c r="F955" t="str">
        <f>"000920"</f>
        <v>0</v>
      </c>
      <c r="G955" t="s">
        <v>18359</v>
      </c>
    </row>
    <row r="956" spans="1:7">
      <c r="A956">
        <v>955</v>
      </c>
      <c r="B956" t="str">
        <f>"007953"</f>
        <v>0</v>
      </c>
      <c r="C956" t="s">
        <v>5712</v>
      </c>
      <c r="D956" t="s">
        <v>19568</v>
      </c>
      <c r="E956" t="str">
        <f>"3800600676681"</f>
        <v>0</v>
      </c>
      <c r="F956" t="str">
        <f>"000920"</f>
        <v>0</v>
      </c>
      <c r="G956" t="s">
        <v>18359</v>
      </c>
    </row>
    <row r="957" spans="1:7">
      <c r="A957">
        <v>956</v>
      </c>
      <c r="B957" t="str">
        <f>"008254"</f>
        <v>0</v>
      </c>
      <c r="C957" t="s">
        <v>887</v>
      </c>
      <c r="D957" t="s">
        <v>19569</v>
      </c>
      <c r="E957" t="str">
        <f>"3909800832960"</f>
        <v>0</v>
      </c>
      <c r="F957" t="str">
        <f>"000920"</f>
        <v>0</v>
      </c>
      <c r="G957" t="s">
        <v>18359</v>
      </c>
    </row>
    <row r="958" spans="1:7">
      <c r="A958">
        <v>957</v>
      </c>
      <c r="B958" t="str">
        <f>"008580"</f>
        <v>0</v>
      </c>
      <c r="C958" t="s">
        <v>19570</v>
      </c>
      <c r="D958" t="s">
        <v>19571</v>
      </c>
      <c r="E958" t="str">
        <f>"3960500070021"</f>
        <v>0</v>
      </c>
      <c r="F958" t="str">
        <f>"000920"</f>
        <v>0</v>
      </c>
      <c r="G958" t="s">
        <v>18359</v>
      </c>
    </row>
    <row r="959" spans="1:7">
      <c r="A959">
        <v>958</v>
      </c>
      <c r="B959" t="str">
        <f>"008581"</f>
        <v>0</v>
      </c>
      <c r="C959" t="s">
        <v>19572</v>
      </c>
      <c r="D959" t="s">
        <v>19573</v>
      </c>
      <c r="E959" t="str">
        <f>"3930100985552"</f>
        <v>0</v>
      </c>
      <c r="F959" t="str">
        <f>"000920"</f>
        <v>0</v>
      </c>
      <c r="G959" t="s">
        <v>18359</v>
      </c>
    </row>
    <row r="960" spans="1:7">
      <c r="A960">
        <v>959</v>
      </c>
      <c r="B960" t="str">
        <f>"008892"</f>
        <v>0</v>
      </c>
      <c r="C960" t="s">
        <v>4392</v>
      </c>
      <c r="D960" t="s">
        <v>19574</v>
      </c>
      <c r="E960" t="str">
        <f>"3800300277200"</f>
        <v>0</v>
      </c>
      <c r="F960" t="str">
        <f>"000920"</f>
        <v>0</v>
      </c>
      <c r="G960" t="s">
        <v>18359</v>
      </c>
    </row>
    <row r="961" spans="1:7">
      <c r="A961">
        <v>960</v>
      </c>
      <c r="B961" t="str">
        <f>"008916"</f>
        <v>0</v>
      </c>
      <c r="C961" t="s">
        <v>1926</v>
      </c>
      <c r="D961" t="s">
        <v>19575</v>
      </c>
      <c r="E961" t="str">
        <f>"3940900120998"</f>
        <v>0</v>
      </c>
      <c r="F961" t="str">
        <f>"000920"</f>
        <v>0</v>
      </c>
      <c r="G961" t="s">
        <v>18359</v>
      </c>
    </row>
    <row r="962" spans="1:7">
      <c r="A962">
        <v>961</v>
      </c>
      <c r="B962" t="str">
        <f>"009039"</f>
        <v>0</v>
      </c>
      <c r="C962" t="s">
        <v>2397</v>
      </c>
      <c r="D962" t="s">
        <v>19576</v>
      </c>
      <c r="E962" t="str">
        <f>"3800100549958"</f>
        <v>0</v>
      </c>
      <c r="F962" t="str">
        <f>"000920"</f>
        <v>0</v>
      </c>
      <c r="G962" t="s">
        <v>18359</v>
      </c>
    </row>
    <row r="963" spans="1:7">
      <c r="A963">
        <v>962</v>
      </c>
      <c r="B963" t="str">
        <f>"009045"</f>
        <v>0</v>
      </c>
      <c r="C963" t="s">
        <v>5786</v>
      </c>
      <c r="D963" t="s">
        <v>19577</v>
      </c>
      <c r="E963" t="str">
        <f>"3101202609655"</f>
        <v>0</v>
      </c>
      <c r="F963" t="str">
        <f>"000920"</f>
        <v>0</v>
      </c>
      <c r="G963" t="s">
        <v>18359</v>
      </c>
    </row>
    <row r="964" spans="1:7">
      <c r="A964">
        <v>963</v>
      </c>
      <c r="B964" t="str">
        <f>"009422"</f>
        <v>0</v>
      </c>
      <c r="C964" t="s">
        <v>6160</v>
      </c>
      <c r="D964" t="s">
        <v>19578</v>
      </c>
      <c r="E964" t="str">
        <f>"3829900042295"</f>
        <v>0</v>
      </c>
      <c r="F964" t="str">
        <f>"000920"</f>
        <v>0</v>
      </c>
      <c r="G964" t="s">
        <v>18359</v>
      </c>
    </row>
    <row r="965" spans="1:7">
      <c r="A965">
        <v>964</v>
      </c>
      <c r="B965" t="str">
        <f>"009583"</f>
        <v>0</v>
      </c>
      <c r="C965" t="s">
        <v>11194</v>
      </c>
      <c r="D965" t="s">
        <v>7852</v>
      </c>
      <c r="E965" t="str">
        <f>"3110400195325"</f>
        <v>0</v>
      </c>
      <c r="F965" t="str">
        <f>"000920"</f>
        <v>0</v>
      </c>
      <c r="G965" t="s">
        <v>18359</v>
      </c>
    </row>
    <row r="966" spans="1:7">
      <c r="A966">
        <v>965</v>
      </c>
      <c r="B966" t="str">
        <f>"010036"</f>
        <v>0</v>
      </c>
      <c r="C966" t="s">
        <v>391</v>
      </c>
      <c r="D966" t="s">
        <v>5246</v>
      </c>
      <c r="E966" t="str">
        <f>"3800900687239"</f>
        <v>0</v>
      </c>
      <c r="F966" t="str">
        <f>"000920"</f>
        <v>0</v>
      </c>
      <c r="G966" t="s">
        <v>18359</v>
      </c>
    </row>
    <row r="967" spans="1:7">
      <c r="A967">
        <v>966</v>
      </c>
      <c r="B967" t="str">
        <f>"010063"</f>
        <v>0</v>
      </c>
      <c r="C967" t="s">
        <v>19579</v>
      </c>
      <c r="D967" t="s">
        <v>7318</v>
      </c>
      <c r="E967" t="str">
        <f>"3100200283573"</f>
        <v>0</v>
      </c>
      <c r="F967" t="str">
        <f>"000920"</f>
        <v>0</v>
      </c>
      <c r="G967" t="s">
        <v>18359</v>
      </c>
    </row>
    <row r="968" spans="1:7">
      <c r="A968">
        <v>967</v>
      </c>
      <c r="B968" t="str">
        <f>"010608"</f>
        <v>0</v>
      </c>
      <c r="C968" t="s">
        <v>6446</v>
      </c>
      <c r="D968" t="s">
        <v>19580</v>
      </c>
      <c r="E968" t="str">
        <f>"3800200092097"</f>
        <v>0</v>
      </c>
      <c r="F968" t="str">
        <f>"000920"</f>
        <v>0</v>
      </c>
      <c r="G968" t="s">
        <v>18359</v>
      </c>
    </row>
    <row r="969" spans="1:7">
      <c r="A969">
        <v>968</v>
      </c>
      <c r="B969" t="str">
        <f>"010723"</f>
        <v>0</v>
      </c>
      <c r="C969" t="s">
        <v>2368</v>
      </c>
      <c r="D969" t="s">
        <v>19581</v>
      </c>
      <c r="E969" t="str">
        <f>"3801600295921"</f>
        <v>0</v>
      </c>
      <c r="F969" t="str">
        <f>"000920"</f>
        <v>0</v>
      </c>
      <c r="G969" t="s">
        <v>18359</v>
      </c>
    </row>
    <row r="970" spans="1:7">
      <c r="A970">
        <v>969</v>
      </c>
      <c r="B970" t="str">
        <f>"010806"</f>
        <v>0</v>
      </c>
      <c r="C970" t="s">
        <v>7561</v>
      </c>
      <c r="D970" t="s">
        <v>11992</v>
      </c>
      <c r="E970" t="str">
        <f>"3801600413169"</f>
        <v>0</v>
      </c>
      <c r="F970" t="str">
        <f>"000920"</f>
        <v>0</v>
      </c>
      <c r="G970" t="s">
        <v>18359</v>
      </c>
    </row>
    <row r="971" spans="1:7">
      <c r="A971">
        <v>970</v>
      </c>
      <c r="B971" t="str">
        <f>"011009"</f>
        <v>0</v>
      </c>
      <c r="C971" t="s">
        <v>3534</v>
      </c>
      <c r="D971" t="s">
        <v>4106</v>
      </c>
      <c r="E971" t="str">
        <f>"3801400024371"</f>
        <v>0</v>
      </c>
      <c r="F971" t="str">
        <f>"000920"</f>
        <v>0</v>
      </c>
      <c r="G971" t="s">
        <v>18359</v>
      </c>
    </row>
    <row r="972" spans="1:7">
      <c r="A972">
        <v>971</v>
      </c>
      <c r="B972" t="str">
        <f>"011324"</f>
        <v>0</v>
      </c>
      <c r="C972" t="s">
        <v>19582</v>
      </c>
      <c r="D972" t="s">
        <v>19583</v>
      </c>
      <c r="E972" t="str">
        <f>"3809700072506"</f>
        <v>0</v>
      </c>
      <c r="F972" t="str">
        <f>"000920"</f>
        <v>0</v>
      </c>
      <c r="G972" t="s">
        <v>18359</v>
      </c>
    </row>
    <row r="973" spans="1:7">
      <c r="A973">
        <v>972</v>
      </c>
      <c r="B973" t="str">
        <f>"011328"</f>
        <v>0</v>
      </c>
      <c r="C973" t="s">
        <v>19584</v>
      </c>
      <c r="D973" t="s">
        <v>7296</v>
      </c>
      <c r="E973" t="str">
        <f>"3800500085622"</f>
        <v>0</v>
      </c>
      <c r="F973" t="str">
        <f>"000920"</f>
        <v>0</v>
      </c>
      <c r="G973" t="s">
        <v>18359</v>
      </c>
    </row>
    <row r="974" spans="1:7">
      <c r="A974">
        <v>973</v>
      </c>
      <c r="B974" t="str">
        <f>"011891"</f>
        <v>0</v>
      </c>
      <c r="C974" t="s">
        <v>7842</v>
      </c>
      <c r="D974" t="s">
        <v>19585</v>
      </c>
      <c r="E974" t="str">
        <f>"3809900029990"</f>
        <v>0</v>
      </c>
      <c r="F974" t="str">
        <f>"000920"</f>
        <v>0</v>
      </c>
      <c r="G974" t="s">
        <v>18359</v>
      </c>
    </row>
    <row r="975" spans="1:7">
      <c r="A975">
        <v>974</v>
      </c>
      <c r="B975" t="str">
        <f>"012126"</f>
        <v>0</v>
      </c>
      <c r="C975" t="s">
        <v>3634</v>
      </c>
      <c r="D975" t="s">
        <v>19586</v>
      </c>
      <c r="E975" t="str">
        <f>"3809700097151"</f>
        <v>0</v>
      </c>
      <c r="F975" t="str">
        <f>"000920"</f>
        <v>0</v>
      </c>
      <c r="G975" t="s">
        <v>18359</v>
      </c>
    </row>
    <row r="976" spans="1:7">
      <c r="A976">
        <v>975</v>
      </c>
      <c r="B976" t="str">
        <f>"012345"</f>
        <v>0</v>
      </c>
      <c r="C976" t="s">
        <v>16297</v>
      </c>
      <c r="D976" t="s">
        <v>11331</v>
      </c>
      <c r="E976" t="str">
        <f>"3801300930681"</f>
        <v>0</v>
      </c>
      <c r="F976" t="str">
        <f>"000920"</f>
        <v>0</v>
      </c>
      <c r="G976" t="s">
        <v>18359</v>
      </c>
    </row>
    <row r="977" spans="1:7">
      <c r="A977">
        <v>976</v>
      </c>
      <c r="B977" t="str">
        <f>"012490"</f>
        <v>0</v>
      </c>
      <c r="C977" t="s">
        <v>19587</v>
      </c>
      <c r="D977" t="s">
        <v>19588</v>
      </c>
      <c r="E977" t="str">
        <f>"3801200056261"</f>
        <v>0</v>
      </c>
      <c r="F977" t="str">
        <f>"000920"</f>
        <v>0</v>
      </c>
      <c r="G977" t="s">
        <v>18359</v>
      </c>
    </row>
    <row r="978" spans="1:7">
      <c r="A978">
        <v>977</v>
      </c>
      <c r="B978" t="str">
        <f>"012678"</f>
        <v>0</v>
      </c>
      <c r="C978" t="s">
        <v>197</v>
      </c>
      <c r="D978" t="s">
        <v>19589</v>
      </c>
      <c r="E978" t="str">
        <f>"3819900004318"</f>
        <v>0</v>
      </c>
      <c r="F978" t="str">
        <f>"000920"</f>
        <v>0</v>
      </c>
      <c r="G978" t="s">
        <v>18359</v>
      </c>
    </row>
    <row r="979" spans="1:7">
      <c r="A979">
        <v>978</v>
      </c>
      <c r="B979" t="str">
        <f>"012811"</f>
        <v>0</v>
      </c>
      <c r="C979" t="s">
        <v>19590</v>
      </c>
      <c r="D979" t="s">
        <v>19591</v>
      </c>
      <c r="E979" t="str">
        <f>"3940400234501"</f>
        <v>0</v>
      </c>
      <c r="F979" t="str">
        <f>"000920"</f>
        <v>0</v>
      </c>
      <c r="G979" t="s">
        <v>18359</v>
      </c>
    </row>
    <row r="980" spans="1:7">
      <c r="A980">
        <v>979</v>
      </c>
      <c r="B980" t="str">
        <f>"014025"</f>
        <v>0</v>
      </c>
      <c r="C980" t="s">
        <v>4305</v>
      </c>
      <c r="D980" t="s">
        <v>19592</v>
      </c>
      <c r="E980" t="str">
        <f>"3809700191602"</f>
        <v>0</v>
      </c>
      <c r="F980" t="str">
        <f>"000920"</f>
        <v>0</v>
      </c>
      <c r="G980" t="s">
        <v>18359</v>
      </c>
    </row>
    <row r="981" spans="1:7">
      <c r="A981">
        <v>980</v>
      </c>
      <c r="B981" t="str">
        <f>"014525"</f>
        <v>0</v>
      </c>
      <c r="C981" t="s">
        <v>525</v>
      </c>
      <c r="D981" t="s">
        <v>340</v>
      </c>
      <c r="E981" t="str">
        <f>"3220100290925"</f>
        <v>0</v>
      </c>
      <c r="F981" t="str">
        <f>"000920"</f>
        <v>0</v>
      </c>
      <c r="G981" t="s">
        <v>18359</v>
      </c>
    </row>
    <row r="982" spans="1:7">
      <c r="A982">
        <v>981</v>
      </c>
      <c r="B982" t="str">
        <f>"016309"</f>
        <v>0</v>
      </c>
      <c r="C982" t="s">
        <v>2441</v>
      </c>
      <c r="D982" t="s">
        <v>19593</v>
      </c>
      <c r="E982" t="str">
        <f>"3800400029283"</f>
        <v>0</v>
      </c>
      <c r="F982" t="str">
        <f>"000920"</f>
        <v>0</v>
      </c>
      <c r="G982" t="s">
        <v>18359</v>
      </c>
    </row>
    <row r="983" spans="1:7">
      <c r="A983">
        <v>982</v>
      </c>
      <c r="B983" t="str">
        <f>"019089"</f>
        <v>0</v>
      </c>
      <c r="C983" t="s">
        <v>1021</v>
      </c>
      <c r="D983" t="s">
        <v>19594</v>
      </c>
      <c r="E983" t="str">
        <f>"3809700202663"</f>
        <v>0</v>
      </c>
      <c r="F983" t="str">
        <f>"000920"</f>
        <v>0</v>
      </c>
      <c r="G983" t="s">
        <v>18359</v>
      </c>
    </row>
    <row r="984" spans="1:7">
      <c r="A984">
        <v>983</v>
      </c>
      <c r="B984" t="str">
        <f>"019133"</f>
        <v>0</v>
      </c>
      <c r="C984" t="s">
        <v>19595</v>
      </c>
      <c r="D984" t="s">
        <v>19596</v>
      </c>
      <c r="E984" t="str">
        <f>"3809900366686"</f>
        <v>0</v>
      </c>
      <c r="F984" t="str">
        <f>"000920"</f>
        <v>0</v>
      </c>
      <c r="G984" t="s">
        <v>18359</v>
      </c>
    </row>
    <row r="985" spans="1:7">
      <c r="A985">
        <v>984</v>
      </c>
      <c r="B985" t="str">
        <f>"020185"</f>
        <v>0</v>
      </c>
      <c r="C985" t="s">
        <v>6526</v>
      </c>
      <c r="D985" t="s">
        <v>19597</v>
      </c>
      <c r="E985" t="str">
        <f>"3809900020348"</f>
        <v>0</v>
      </c>
      <c r="F985" t="str">
        <f>"000920"</f>
        <v>0</v>
      </c>
      <c r="G985" t="s">
        <v>18359</v>
      </c>
    </row>
    <row r="986" spans="1:7">
      <c r="A986">
        <v>985</v>
      </c>
      <c r="B986" t="str">
        <f>"022271"</f>
        <v>0</v>
      </c>
      <c r="C986" t="s">
        <v>2903</v>
      </c>
      <c r="D986" t="s">
        <v>19598</v>
      </c>
      <c r="E986" t="str">
        <f>"3939900144267"</f>
        <v>0</v>
      </c>
      <c r="F986" t="str">
        <f>"000920"</f>
        <v>0</v>
      </c>
      <c r="G986" t="s">
        <v>18359</v>
      </c>
    </row>
    <row r="987" spans="1:7">
      <c r="A987">
        <v>986</v>
      </c>
      <c r="B987" t="str">
        <f>"010382"</f>
        <v>0</v>
      </c>
      <c r="C987" t="s">
        <v>19599</v>
      </c>
      <c r="D987" t="s">
        <v>19600</v>
      </c>
      <c r="E987" t="str">
        <f>"3809900245773"</f>
        <v>0</v>
      </c>
      <c r="F987" t="str">
        <f>"000920"</f>
        <v>0</v>
      </c>
      <c r="G987" t="s">
        <v>18359</v>
      </c>
    </row>
    <row r="988" spans="1:7">
      <c r="A988">
        <v>987</v>
      </c>
      <c r="B988" t="str">
        <f>"012469"</f>
        <v>0</v>
      </c>
      <c r="C988" t="s">
        <v>104</v>
      </c>
      <c r="D988" t="s">
        <v>5246</v>
      </c>
      <c r="E988" t="str">
        <f>"3800900687336"</f>
        <v>0</v>
      </c>
      <c r="F988" t="str">
        <f>"000920"</f>
        <v>0</v>
      </c>
      <c r="G988" t="s">
        <v>18359</v>
      </c>
    </row>
    <row r="989" spans="1:7">
      <c r="A989">
        <v>988</v>
      </c>
      <c r="B989" t="str">
        <f>"014371"</f>
        <v>0</v>
      </c>
      <c r="C989" t="s">
        <v>19601</v>
      </c>
      <c r="D989" t="s">
        <v>19602</v>
      </c>
      <c r="E989" t="str">
        <f>"3102001923272"</f>
        <v>0</v>
      </c>
      <c r="F989" t="str">
        <f>"000920"</f>
        <v>0</v>
      </c>
      <c r="G989" t="s">
        <v>18359</v>
      </c>
    </row>
    <row r="990" spans="1:7">
      <c r="A990">
        <v>989</v>
      </c>
      <c r="B990" t="str">
        <f>"017923"</f>
        <v>0</v>
      </c>
      <c r="C990" t="s">
        <v>2331</v>
      </c>
      <c r="D990" t="s">
        <v>19603</v>
      </c>
      <c r="E990" t="str">
        <f>"3800800371761"</f>
        <v>0</v>
      </c>
      <c r="F990" t="str">
        <f>"000920"</f>
        <v>0</v>
      </c>
      <c r="G990" t="s">
        <v>18359</v>
      </c>
    </row>
    <row r="991" spans="1:7">
      <c r="A991">
        <v>990</v>
      </c>
      <c r="B991" t="str">
        <f>"007553"</f>
        <v>0</v>
      </c>
      <c r="C991" t="s">
        <v>19604</v>
      </c>
      <c r="D991" t="s">
        <v>19605</v>
      </c>
      <c r="E991" t="str">
        <f>"3809900018823"</f>
        <v>0</v>
      </c>
      <c r="F991" t="str">
        <f>"000920"</f>
        <v>0</v>
      </c>
      <c r="G991" t="s">
        <v>18359</v>
      </c>
    </row>
    <row r="992" spans="1:7">
      <c r="A992">
        <v>991</v>
      </c>
      <c r="B992" t="str">
        <f>"022708"</f>
        <v>0</v>
      </c>
      <c r="C992" t="s">
        <v>19606</v>
      </c>
      <c r="D992" t="s">
        <v>19607</v>
      </c>
      <c r="E992" t="str">
        <f>"3110300044023"</f>
        <v>0</v>
      </c>
      <c r="F992" t="str">
        <f>"000920"</f>
        <v>0</v>
      </c>
      <c r="G992" t="s">
        <v>18359</v>
      </c>
    </row>
    <row r="993" spans="1:7">
      <c r="A993">
        <v>992</v>
      </c>
      <c r="B993" t="str">
        <f>"025717"</f>
        <v>0</v>
      </c>
      <c r="C993" t="s">
        <v>19608</v>
      </c>
      <c r="D993" t="s">
        <v>19609</v>
      </c>
      <c r="E993" t="str">
        <f>"1809900321929"</f>
        <v>0</v>
      </c>
      <c r="F993" t="str">
        <f>"000920"</f>
        <v>0</v>
      </c>
      <c r="G993" t="s">
        <v>18359</v>
      </c>
    </row>
    <row r="994" spans="1:7">
      <c r="A994">
        <v>993</v>
      </c>
      <c r="B994" t="str">
        <f>"017511"</f>
        <v>0</v>
      </c>
      <c r="C994" t="s">
        <v>411</v>
      </c>
      <c r="D994" t="s">
        <v>19610</v>
      </c>
      <c r="E994" t="str">
        <f>"3800700651095"</f>
        <v>0</v>
      </c>
      <c r="F994" t="str">
        <f>"000920"</f>
        <v>0</v>
      </c>
      <c r="G994" t="s">
        <v>18359</v>
      </c>
    </row>
    <row r="995" spans="1:7">
      <c r="A995">
        <v>994</v>
      </c>
      <c r="B995" t="str">
        <f>"025599"</f>
        <v>0</v>
      </c>
      <c r="C995" t="s">
        <v>19611</v>
      </c>
      <c r="D995" t="s">
        <v>19612</v>
      </c>
      <c r="E995" t="str">
        <f>"1509900243319"</f>
        <v>0</v>
      </c>
      <c r="F995" t="str">
        <f>"000920"</f>
        <v>0</v>
      </c>
      <c r="G995" t="s">
        <v>18359</v>
      </c>
    </row>
    <row r="996" spans="1:7">
      <c r="A996">
        <v>995</v>
      </c>
      <c r="B996" t="str">
        <f>"015151"</f>
        <v>0</v>
      </c>
      <c r="C996" t="s">
        <v>474</v>
      </c>
      <c r="D996" t="s">
        <v>19613</v>
      </c>
      <c r="E996" t="str">
        <f>"3801300312936"</f>
        <v>0</v>
      </c>
      <c r="F996" t="str">
        <f>"000920"</f>
        <v>0</v>
      </c>
      <c r="G996" t="s">
        <v>18359</v>
      </c>
    </row>
    <row r="997" spans="1:7">
      <c r="A997">
        <v>996</v>
      </c>
      <c r="B997" t="str">
        <f>"010560"</f>
        <v>0</v>
      </c>
      <c r="C997" t="s">
        <v>2303</v>
      </c>
      <c r="D997" t="s">
        <v>19614</v>
      </c>
      <c r="E997" t="str">
        <f>"3800300095110"</f>
        <v>0</v>
      </c>
      <c r="F997" t="str">
        <f>"000920"</f>
        <v>0</v>
      </c>
      <c r="G997" t="s">
        <v>18359</v>
      </c>
    </row>
    <row r="998" spans="1:7">
      <c r="A998">
        <v>997</v>
      </c>
      <c r="B998" t="str">
        <f>"014114"</f>
        <v>0</v>
      </c>
      <c r="C998" t="s">
        <v>12504</v>
      </c>
      <c r="D998" t="s">
        <v>19615</v>
      </c>
      <c r="E998" t="str">
        <f>"3800800380034"</f>
        <v>0</v>
      </c>
      <c r="F998" t="str">
        <f>"000920"</f>
        <v>0</v>
      </c>
      <c r="G998" t="s">
        <v>18359</v>
      </c>
    </row>
    <row r="999" spans="1:7">
      <c r="A999">
        <v>998</v>
      </c>
      <c r="B999" t="str">
        <f>"015294"</f>
        <v>0</v>
      </c>
      <c r="C999" t="s">
        <v>2368</v>
      </c>
      <c r="D999" t="s">
        <v>19616</v>
      </c>
      <c r="E999" t="str">
        <f>"3800101606556"</f>
        <v>0</v>
      </c>
      <c r="F999" t="str">
        <f>"000920"</f>
        <v>0</v>
      </c>
      <c r="G999" t="s">
        <v>18359</v>
      </c>
    </row>
    <row r="1000" spans="1:7">
      <c r="A1000">
        <v>999</v>
      </c>
      <c r="B1000" t="str">
        <f>"015882"</f>
        <v>0</v>
      </c>
      <c r="C1000" t="s">
        <v>6659</v>
      </c>
      <c r="D1000" t="s">
        <v>19617</v>
      </c>
      <c r="E1000" t="str">
        <f>"3800300101730"</f>
        <v>0</v>
      </c>
      <c r="F1000" t="str">
        <f>"000920"</f>
        <v>0</v>
      </c>
      <c r="G1000" t="s">
        <v>18359</v>
      </c>
    </row>
    <row r="1001" spans="1:7">
      <c r="A1001">
        <v>1000</v>
      </c>
      <c r="B1001" t="str">
        <f>"016178"</f>
        <v>0</v>
      </c>
      <c r="C1001" t="s">
        <v>4903</v>
      </c>
      <c r="D1001" t="s">
        <v>19618</v>
      </c>
      <c r="E1001" t="str">
        <f>"3800400883675"</f>
        <v>0</v>
      </c>
      <c r="F1001" t="str">
        <f>"000920"</f>
        <v>0</v>
      </c>
      <c r="G1001" t="s">
        <v>18359</v>
      </c>
    </row>
    <row r="1002" spans="1:7">
      <c r="A1002">
        <v>1001</v>
      </c>
      <c r="B1002" t="str">
        <f>"016239"</f>
        <v>0</v>
      </c>
      <c r="C1002" t="s">
        <v>341</v>
      </c>
      <c r="D1002" t="s">
        <v>19619</v>
      </c>
      <c r="E1002" t="str">
        <f>"3800600233453"</f>
        <v>0</v>
      </c>
      <c r="F1002" t="str">
        <f>"000920"</f>
        <v>0</v>
      </c>
      <c r="G1002" t="s">
        <v>18359</v>
      </c>
    </row>
    <row r="1003" spans="1:7">
      <c r="A1003">
        <v>1002</v>
      </c>
      <c r="B1003" t="str">
        <f>"017166"</f>
        <v>0</v>
      </c>
      <c r="C1003" t="s">
        <v>19620</v>
      </c>
      <c r="D1003" t="s">
        <v>19621</v>
      </c>
      <c r="E1003" t="str">
        <f>"3800100414548"</f>
        <v>0</v>
      </c>
      <c r="F1003" t="str">
        <f>"000920"</f>
        <v>0</v>
      </c>
      <c r="G1003" t="s">
        <v>18359</v>
      </c>
    </row>
    <row r="1004" spans="1:7">
      <c r="A1004">
        <v>1003</v>
      </c>
      <c r="B1004" t="str">
        <f>"017393"</f>
        <v>0</v>
      </c>
      <c r="C1004" t="s">
        <v>5070</v>
      </c>
      <c r="D1004" t="s">
        <v>19622</v>
      </c>
      <c r="E1004" t="str">
        <f>"5809990008811"</f>
        <v>0</v>
      </c>
      <c r="F1004" t="str">
        <f>"000920"</f>
        <v>0</v>
      </c>
      <c r="G1004" t="s">
        <v>18359</v>
      </c>
    </row>
    <row r="1005" spans="1:7">
      <c r="A1005">
        <v>1004</v>
      </c>
      <c r="B1005" t="str">
        <f>"017472"</f>
        <v>0</v>
      </c>
      <c r="C1005" t="s">
        <v>2298</v>
      </c>
      <c r="D1005" t="s">
        <v>7369</v>
      </c>
      <c r="E1005" t="str">
        <f>"3809900276954"</f>
        <v>0</v>
      </c>
      <c r="F1005" t="str">
        <f>"000920"</f>
        <v>0</v>
      </c>
      <c r="G1005" t="s">
        <v>18359</v>
      </c>
    </row>
    <row r="1006" spans="1:7">
      <c r="A1006">
        <v>1005</v>
      </c>
      <c r="B1006" t="str">
        <f>"017701"</f>
        <v>0</v>
      </c>
      <c r="C1006" t="s">
        <v>19623</v>
      </c>
      <c r="D1006" t="s">
        <v>19624</v>
      </c>
      <c r="E1006" t="str">
        <f>"3800800217834"</f>
        <v>0</v>
      </c>
      <c r="F1006" t="str">
        <f>"000920"</f>
        <v>0</v>
      </c>
      <c r="G1006" t="s">
        <v>18359</v>
      </c>
    </row>
    <row r="1007" spans="1:7">
      <c r="A1007">
        <v>1006</v>
      </c>
      <c r="B1007" t="str">
        <f>"018137"</f>
        <v>0</v>
      </c>
      <c r="C1007" t="s">
        <v>19625</v>
      </c>
      <c r="D1007" t="s">
        <v>7369</v>
      </c>
      <c r="E1007" t="str">
        <f>"3809900276971"</f>
        <v>0</v>
      </c>
      <c r="F1007" t="str">
        <f>"000920"</f>
        <v>0</v>
      </c>
      <c r="G1007" t="s">
        <v>18359</v>
      </c>
    </row>
    <row r="1008" spans="1:7">
      <c r="A1008">
        <v>1007</v>
      </c>
      <c r="B1008" t="str">
        <f>"018920"</f>
        <v>0</v>
      </c>
      <c r="C1008" t="s">
        <v>4136</v>
      </c>
      <c r="D1008" t="s">
        <v>19626</v>
      </c>
      <c r="E1008" t="str">
        <f>"3901101106073"</f>
        <v>0</v>
      </c>
      <c r="F1008" t="str">
        <f>"000920"</f>
        <v>0</v>
      </c>
      <c r="G1008" t="s">
        <v>18359</v>
      </c>
    </row>
    <row r="1009" spans="1:7">
      <c r="A1009">
        <v>1008</v>
      </c>
      <c r="B1009" t="str">
        <f>"019136"</f>
        <v>0</v>
      </c>
      <c r="C1009" t="s">
        <v>19627</v>
      </c>
      <c r="D1009" t="s">
        <v>19628</v>
      </c>
      <c r="E1009" t="str">
        <f>"3800600610834"</f>
        <v>0</v>
      </c>
      <c r="F1009" t="str">
        <f>"000920"</f>
        <v>0</v>
      </c>
      <c r="G1009" t="s">
        <v>18359</v>
      </c>
    </row>
    <row r="1010" spans="1:7">
      <c r="A1010">
        <v>1009</v>
      </c>
      <c r="B1010" t="str">
        <f>"019251"</f>
        <v>0</v>
      </c>
      <c r="C1010" t="s">
        <v>19629</v>
      </c>
      <c r="D1010" t="s">
        <v>19630</v>
      </c>
      <c r="E1010" t="str">
        <f>"5801690001074"</f>
        <v>0</v>
      </c>
      <c r="F1010" t="str">
        <f>"000920"</f>
        <v>0</v>
      </c>
      <c r="G1010" t="s">
        <v>18359</v>
      </c>
    </row>
    <row r="1011" spans="1:7">
      <c r="A1011">
        <v>1010</v>
      </c>
      <c r="B1011" t="str">
        <f>"019415"</f>
        <v>0</v>
      </c>
      <c r="C1011" t="s">
        <v>703</v>
      </c>
      <c r="D1011" t="s">
        <v>19631</v>
      </c>
      <c r="E1011" t="str">
        <f>"3100905708117"</f>
        <v>0</v>
      </c>
      <c r="F1011" t="str">
        <f>"000920"</f>
        <v>0</v>
      </c>
      <c r="G1011" t="s">
        <v>18359</v>
      </c>
    </row>
    <row r="1012" spans="1:7">
      <c r="A1012">
        <v>1011</v>
      </c>
      <c r="B1012" t="str">
        <f>"019645"</f>
        <v>0</v>
      </c>
      <c r="C1012" t="s">
        <v>4233</v>
      </c>
      <c r="D1012" t="s">
        <v>19632</v>
      </c>
      <c r="E1012" t="str">
        <f>"3960600304775"</f>
        <v>0</v>
      </c>
      <c r="F1012" t="str">
        <f>"000920"</f>
        <v>0</v>
      </c>
      <c r="G1012" t="s">
        <v>18359</v>
      </c>
    </row>
    <row r="1013" spans="1:7">
      <c r="A1013">
        <v>1012</v>
      </c>
      <c r="B1013" t="str">
        <f>"019646"</f>
        <v>0</v>
      </c>
      <c r="C1013" t="s">
        <v>4305</v>
      </c>
      <c r="D1013" t="s">
        <v>17503</v>
      </c>
      <c r="E1013" t="str">
        <f>"3801200601251"</f>
        <v>0</v>
      </c>
      <c r="F1013" t="str">
        <f>"000920"</f>
        <v>0</v>
      </c>
      <c r="G1013" t="s">
        <v>18359</v>
      </c>
    </row>
    <row r="1014" spans="1:7">
      <c r="A1014">
        <v>1013</v>
      </c>
      <c r="B1014" t="str">
        <f>"021956"</f>
        <v>0</v>
      </c>
      <c r="C1014" t="s">
        <v>181</v>
      </c>
      <c r="D1014" t="s">
        <v>19633</v>
      </c>
      <c r="E1014" t="str">
        <f>"1801200004541"</f>
        <v>0</v>
      </c>
      <c r="F1014" t="str">
        <f>"000920"</f>
        <v>0</v>
      </c>
      <c r="G1014" t="s">
        <v>18359</v>
      </c>
    </row>
    <row r="1015" spans="1:7">
      <c r="A1015">
        <v>1014</v>
      </c>
      <c r="B1015" t="str">
        <f>"023037"</f>
        <v>0</v>
      </c>
      <c r="C1015" t="s">
        <v>19634</v>
      </c>
      <c r="D1015" t="s">
        <v>19635</v>
      </c>
      <c r="E1015" t="str">
        <f>"1500200029766"</f>
        <v>0</v>
      </c>
      <c r="F1015" t="str">
        <f>"000920"</f>
        <v>0</v>
      </c>
      <c r="G1015" t="s">
        <v>18359</v>
      </c>
    </row>
    <row r="1016" spans="1:7">
      <c r="A1016">
        <v>1015</v>
      </c>
      <c r="B1016" t="str">
        <f>"023688"</f>
        <v>0</v>
      </c>
      <c r="C1016" t="s">
        <v>18862</v>
      </c>
      <c r="D1016" t="s">
        <v>19636</v>
      </c>
      <c r="E1016" t="str">
        <f>"3800100928941"</f>
        <v>0</v>
      </c>
      <c r="F1016" t="str">
        <f>"000920"</f>
        <v>0</v>
      </c>
      <c r="G1016" t="s">
        <v>18359</v>
      </c>
    </row>
    <row r="1017" spans="1:7">
      <c r="A1017">
        <v>1016</v>
      </c>
      <c r="B1017" t="str">
        <f>"024228"</f>
        <v>0</v>
      </c>
      <c r="C1017" t="s">
        <v>11216</v>
      </c>
      <c r="D1017" t="s">
        <v>523</v>
      </c>
      <c r="E1017" t="str">
        <f>"1809900169094"</f>
        <v>0</v>
      </c>
      <c r="F1017" t="str">
        <f>"000920"</f>
        <v>0</v>
      </c>
      <c r="G1017" t="s">
        <v>18359</v>
      </c>
    </row>
    <row r="1018" spans="1:7">
      <c r="A1018">
        <v>1017</v>
      </c>
      <c r="B1018" t="str">
        <f>"024777"</f>
        <v>0</v>
      </c>
      <c r="C1018" t="s">
        <v>19637</v>
      </c>
      <c r="D1018" t="s">
        <v>19638</v>
      </c>
      <c r="E1018" t="str">
        <f>"3801100335592"</f>
        <v>0</v>
      </c>
      <c r="F1018" t="str">
        <f>"000920"</f>
        <v>0</v>
      </c>
      <c r="G1018" t="s">
        <v>18359</v>
      </c>
    </row>
    <row r="1019" spans="1:7">
      <c r="A1019">
        <v>1018</v>
      </c>
      <c r="B1019" t="str">
        <f>"025273"</f>
        <v>0</v>
      </c>
      <c r="C1019" t="s">
        <v>19523</v>
      </c>
      <c r="D1019" t="s">
        <v>19639</v>
      </c>
      <c r="E1019" t="str">
        <f>"1800300012731"</f>
        <v>0</v>
      </c>
      <c r="F1019" t="str">
        <f>"000920"</f>
        <v>0</v>
      </c>
      <c r="G1019" t="s">
        <v>18359</v>
      </c>
    </row>
    <row r="1020" spans="1:7">
      <c r="A1020">
        <v>1019</v>
      </c>
      <c r="B1020" t="str">
        <f>"025708"</f>
        <v>0</v>
      </c>
      <c r="C1020" t="s">
        <v>2149</v>
      </c>
      <c r="D1020" t="s">
        <v>19640</v>
      </c>
      <c r="E1020" t="str">
        <f>"1800400028523"</f>
        <v>0</v>
      </c>
      <c r="F1020" t="str">
        <f>"000920"</f>
        <v>0</v>
      </c>
      <c r="G1020" t="s">
        <v>18359</v>
      </c>
    </row>
    <row r="1021" spans="1:7">
      <c r="A1021">
        <v>1020</v>
      </c>
      <c r="B1021" t="str">
        <f>"025896"</f>
        <v>0</v>
      </c>
      <c r="C1021" t="s">
        <v>19641</v>
      </c>
      <c r="D1021" t="s">
        <v>19642</v>
      </c>
      <c r="E1021" t="str">
        <f>"1809900320876"</f>
        <v>0</v>
      </c>
      <c r="F1021" t="str">
        <f>"000920"</f>
        <v>0</v>
      </c>
      <c r="G1021" t="s">
        <v>18359</v>
      </c>
    </row>
    <row r="1022" spans="1:7">
      <c r="A1022">
        <v>1021</v>
      </c>
      <c r="B1022" t="str">
        <f>"025898"</f>
        <v>0</v>
      </c>
      <c r="C1022" t="s">
        <v>18296</v>
      </c>
      <c r="D1022" t="s">
        <v>19643</v>
      </c>
      <c r="E1022" t="str">
        <f>"3800800825401"</f>
        <v>0</v>
      </c>
      <c r="F1022" t="str">
        <f>"000920"</f>
        <v>0</v>
      </c>
      <c r="G1022" t="s">
        <v>18359</v>
      </c>
    </row>
    <row r="1023" spans="1:7">
      <c r="A1023">
        <v>1022</v>
      </c>
      <c r="B1023" t="str">
        <f>"026578"</f>
        <v>0</v>
      </c>
      <c r="C1023" t="s">
        <v>19644</v>
      </c>
      <c r="D1023" t="s">
        <v>5093</v>
      </c>
      <c r="E1023" t="str">
        <f>"1219800018979"</f>
        <v>0</v>
      </c>
      <c r="F1023" t="str">
        <f>"000920"</f>
        <v>0</v>
      </c>
      <c r="G1023" t="s">
        <v>18359</v>
      </c>
    </row>
    <row r="1024" spans="1:7">
      <c r="A1024">
        <v>1023</v>
      </c>
      <c r="B1024" t="str">
        <f>"018071"</f>
        <v>0</v>
      </c>
      <c r="C1024" t="s">
        <v>2082</v>
      </c>
      <c r="D1024" t="s">
        <v>19645</v>
      </c>
      <c r="E1024" t="str">
        <f>"5800890000054"</f>
        <v>0</v>
      </c>
      <c r="F1024" t="str">
        <f>"000920"</f>
        <v>0</v>
      </c>
      <c r="G1024" t="s">
        <v>18359</v>
      </c>
    </row>
    <row r="1025" spans="1:7">
      <c r="A1025">
        <v>1024</v>
      </c>
      <c r="B1025" t="str">
        <f>"026136"</f>
        <v>0</v>
      </c>
      <c r="C1025" t="s">
        <v>19646</v>
      </c>
      <c r="D1025" t="s">
        <v>19647</v>
      </c>
      <c r="E1025" t="str">
        <f>"1820500036200"</f>
        <v>0</v>
      </c>
      <c r="F1025" t="str">
        <f>"000920"</f>
        <v>0</v>
      </c>
      <c r="G1025" t="s">
        <v>18359</v>
      </c>
    </row>
    <row r="1026" spans="1:7">
      <c r="A1026">
        <v>1025</v>
      </c>
      <c r="B1026" t="str">
        <f>"025292"</f>
        <v>0</v>
      </c>
      <c r="C1026" t="s">
        <v>19648</v>
      </c>
      <c r="D1026" t="s">
        <v>19649</v>
      </c>
      <c r="E1026" t="str">
        <f>"2801600016943"</f>
        <v>0</v>
      </c>
      <c r="F1026" t="str">
        <f>"000920"</f>
        <v>0</v>
      </c>
      <c r="G1026" t="s">
        <v>18359</v>
      </c>
    </row>
    <row r="1027" spans="1:7">
      <c r="A1027">
        <v>1026</v>
      </c>
      <c r="B1027" t="str">
        <f>"025274"</f>
        <v>0</v>
      </c>
      <c r="C1027" t="s">
        <v>19650</v>
      </c>
      <c r="D1027" t="s">
        <v>19651</v>
      </c>
      <c r="E1027" t="str">
        <f>"3770400170793"</f>
        <v>0</v>
      </c>
      <c r="F1027" t="str">
        <f>"000920"</f>
        <v>0</v>
      </c>
      <c r="G1027" t="s">
        <v>18359</v>
      </c>
    </row>
    <row r="1028" spans="1:7">
      <c r="A1028">
        <v>1027</v>
      </c>
      <c r="B1028" t="str">
        <f>"020323"</f>
        <v>0</v>
      </c>
      <c r="C1028" t="s">
        <v>46</v>
      </c>
      <c r="D1028" t="s">
        <v>19652</v>
      </c>
      <c r="E1028" t="str">
        <f>"3900300630073"</f>
        <v>0</v>
      </c>
      <c r="F1028" t="str">
        <f>"000920"</f>
        <v>0</v>
      </c>
      <c r="G1028" t="s">
        <v>18359</v>
      </c>
    </row>
    <row r="1029" spans="1:7">
      <c r="A1029">
        <v>1028</v>
      </c>
      <c r="B1029" t="str">
        <f>"025897"</f>
        <v>0</v>
      </c>
      <c r="C1029" t="s">
        <v>19653</v>
      </c>
      <c r="D1029" t="s">
        <v>19654</v>
      </c>
      <c r="E1029" t="str">
        <f>"3900100839271"</f>
        <v>0</v>
      </c>
      <c r="F1029" t="str">
        <f>"000920"</f>
        <v>0</v>
      </c>
      <c r="G1029" t="s">
        <v>18359</v>
      </c>
    </row>
    <row r="1030" spans="1:7">
      <c r="A1030">
        <v>1029</v>
      </c>
      <c r="B1030" t="str">
        <f>"026135"</f>
        <v>0</v>
      </c>
      <c r="C1030" t="s">
        <v>19655</v>
      </c>
      <c r="D1030" t="s">
        <v>19656</v>
      </c>
      <c r="E1030" t="str">
        <f>"1900800041411"</f>
        <v>0</v>
      </c>
      <c r="F1030" t="str">
        <f>"000920"</f>
        <v>0</v>
      </c>
      <c r="G1030" t="s">
        <v>18359</v>
      </c>
    </row>
    <row r="1031" spans="1:7">
      <c r="A1031">
        <v>1030</v>
      </c>
      <c r="B1031" t="str">
        <f>"027475"</f>
        <v>0</v>
      </c>
      <c r="C1031" t="s">
        <v>19657</v>
      </c>
      <c r="D1031" t="s">
        <v>19658</v>
      </c>
      <c r="E1031" t="str">
        <f>"1909800928332"</f>
        <v>0</v>
      </c>
      <c r="F1031" t="str">
        <f>"000920"</f>
        <v>0</v>
      </c>
      <c r="G1031" t="s">
        <v>18359</v>
      </c>
    </row>
    <row r="1032" spans="1:7">
      <c r="A1032">
        <v>1031</v>
      </c>
      <c r="B1032" t="str">
        <f>"027132"</f>
        <v>0</v>
      </c>
      <c r="C1032" t="s">
        <v>3088</v>
      </c>
      <c r="D1032" t="s">
        <v>19659</v>
      </c>
      <c r="E1032" t="str">
        <f>"3919900037541"</f>
        <v>0</v>
      </c>
      <c r="F1032" t="str">
        <f>"000920"</f>
        <v>0</v>
      </c>
      <c r="G1032" t="s">
        <v>18359</v>
      </c>
    </row>
    <row r="1033" spans="1:7">
      <c r="A1033">
        <v>1032</v>
      </c>
      <c r="B1033" t="str">
        <f>"020315"</f>
        <v>0</v>
      </c>
      <c r="C1033" t="s">
        <v>574</v>
      </c>
      <c r="D1033" t="s">
        <v>17503</v>
      </c>
      <c r="E1033" t="str">
        <f>"3920100681570"</f>
        <v>0</v>
      </c>
      <c r="F1033" t="str">
        <f>"000920"</f>
        <v>0</v>
      </c>
      <c r="G1033" t="s">
        <v>18359</v>
      </c>
    </row>
    <row r="1034" spans="1:7">
      <c r="A1034">
        <v>1033</v>
      </c>
      <c r="B1034" t="str">
        <f>"027304"</f>
        <v>0</v>
      </c>
      <c r="C1034" t="s">
        <v>19660</v>
      </c>
      <c r="D1034" t="s">
        <v>8478</v>
      </c>
      <c r="E1034" t="str">
        <f>"3930500478801"</f>
        <v>0</v>
      </c>
      <c r="F1034" t="str">
        <f>"000920"</f>
        <v>0</v>
      </c>
      <c r="G1034" t="s">
        <v>18359</v>
      </c>
    </row>
    <row r="1035" spans="1:7">
      <c r="A1035">
        <v>1034</v>
      </c>
      <c r="B1035" t="str">
        <f>"019137"</f>
        <v>0</v>
      </c>
      <c r="C1035" t="s">
        <v>19661</v>
      </c>
      <c r="D1035" t="s">
        <v>19662</v>
      </c>
      <c r="E1035" t="str">
        <f>"3800400227069"</f>
        <v>0</v>
      </c>
      <c r="F1035" t="str">
        <f>"000920"</f>
        <v>0</v>
      </c>
      <c r="G1035" t="s">
        <v>18359</v>
      </c>
    </row>
    <row r="1036" spans="1:7">
      <c r="A1036">
        <v>1035</v>
      </c>
      <c r="B1036" t="str">
        <f>"000155"</f>
        <v>0</v>
      </c>
      <c r="C1036" t="s">
        <v>19663</v>
      </c>
      <c r="D1036" t="s">
        <v>85</v>
      </c>
      <c r="E1036" t="str">
        <f>"3120200451018"</f>
        <v>0</v>
      </c>
      <c r="F1036" t="str">
        <f>"000950"</f>
        <v>0</v>
      </c>
      <c r="G1036" t="s">
        <v>18359</v>
      </c>
    </row>
    <row r="1037" spans="1:7">
      <c r="A1037">
        <v>1036</v>
      </c>
      <c r="B1037" t="str">
        <f>"000530"</f>
        <v>0</v>
      </c>
      <c r="C1037" t="s">
        <v>2791</v>
      </c>
      <c r="D1037" t="s">
        <v>19664</v>
      </c>
      <c r="E1037" t="str">
        <f>"3120101622884"</f>
        <v>0</v>
      </c>
      <c r="F1037" t="str">
        <f>"000950"</f>
        <v>0</v>
      </c>
      <c r="G1037" t="s">
        <v>18359</v>
      </c>
    </row>
    <row r="1038" spans="1:7">
      <c r="A1038">
        <v>1037</v>
      </c>
      <c r="B1038" t="str">
        <f>"001519"</f>
        <v>0</v>
      </c>
      <c r="C1038" t="s">
        <v>4672</v>
      </c>
      <c r="D1038" t="s">
        <v>19665</v>
      </c>
      <c r="E1038" t="str">
        <f>"3120300190879"</f>
        <v>0</v>
      </c>
      <c r="F1038" t="str">
        <f>"000950"</f>
        <v>0</v>
      </c>
      <c r="G1038" t="s">
        <v>18359</v>
      </c>
    </row>
    <row r="1039" spans="1:7">
      <c r="A1039">
        <v>1038</v>
      </c>
      <c r="B1039" t="str">
        <f>"001634"</f>
        <v>0</v>
      </c>
      <c r="C1039" t="s">
        <v>2634</v>
      </c>
      <c r="D1039" t="s">
        <v>19666</v>
      </c>
      <c r="E1039" t="str">
        <f>"3102002780190"</f>
        <v>0</v>
      </c>
      <c r="F1039" t="str">
        <f>"000950"</f>
        <v>0</v>
      </c>
      <c r="G1039" t="s">
        <v>18359</v>
      </c>
    </row>
    <row r="1040" spans="1:7">
      <c r="A1040">
        <v>1039</v>
      </c>
      <c r="B1040" t="str">
        <f>"001655"</f>
        <v>0</v>
      </c>
      <c r="C1040" t="s">
        <v>160</v>
      </c>
      <c r="D1040" t="s">
        <v>14748</v>
      </c>
      <c r="E1040" t="str">
        <f>"3120100588411"</f>
        <v>0</v>
      </c>
      <c r="F1040" t="str">
        <f>"000950"</f>
        <v>0</v>
      </c>
      <c r="G1040" t="s">
        <v>18359</v>
      </c>
    </row>
    <row r="1041" spans="1:7">
      <c r="A1041">
        <v>1040</v>
      </c>
      <c r="B1041" t="str">
        <f>"002948"</f>
        <v>0</v>
      </c>
      <c r="C1041" t="s">
        <v>19667</v>
      </c>
      <c r="D1041" t="s">
        <v>6793</v>
      </c>
      <c r="E1041" t="str">
        <f>"3120100689012"</f>
        <v>0</v>
      </c>
      <c r="F1041" t="str">
        <f>"000950"</f>
        <v>0</v>
      </c>
      <c r="G1041" t="s">
        <v>18359</v>
      </c>
    </row>
    <row r="1042" spans="1:7">
      <c r="A1042">
        <v>1041</v>
      </c>
      <c r="B1042" t="str">
        <f>"002995"</f>
        <v>0</v>
      </c>
      <c r="C1042" t="s">
        <v>19668</v>
      </c>
      <c r="D1042" t="s">
        <v>1814</v>
      </c>
      <c r="E1042" t="str">
        <f>"3309900329491"</f>
        <v>0</v>
      </c>
      <c r="F1042" t="str">
        <f>"000950"</f>
        <v>0</v>
      </c>
      <c r="G1042" t="s">
        <v>18359</v>
      </c>
    </row>
    <row r="1043" spans="1:7">
      <c r="A1043">
        <v>1042</v>
      </c>
      <c r="B1043" t="str">
        <f>"003014"</f>
        <v>0</v>
      </c>
      <c r="C1043" t="s">
        <v>2987</v>
      </c>
      <c r="D1043" t="s">
        <v>19669</v>
      </c>
      <c r="E1043" t="str">
        <f>"3100202481941"</f>
        <v>0</v>
      </c>
      <c r="F1043" t="str">
        <f>"000950"</f>
        <v>0</v>
      </c>
      <c r="G1043" t="s">
        <v>18359</v>
      </c>
    </row>
    <row r="1044" spans="1:7">
      <c r="A1044">
        <v>1043</v>
      </c>
      <c r="B1044" t="str">
        <f>"003383"</f>
        <v>0</v>
      </c>
      <c r="C1044" t="s">
        <v>947</v>
      </c>
      <c r="D1044" t="s">
        <v>19670</v>
      </c>
      <c r="E1044" t="str">
        <f>"3120100569238"</f>
        <v>0</v>
      </c>
      <c r="F1044" t="str">
        <f>"000950"</f>
        <v>0</v>
      </c>
      <c r="G1044" t="s">
        <v>18359</v>
      </c>
    </row>
    <row r="1045" spans="1:7">
      <c r="A1045">
        <v>1044</v>
      </c>
      <c r="B1045" t="str">
        <f>"003557"</f>
        <v>0</v>
      </c>
      <c r="C1045" t="s">
        <v>5502</v>
      </c>
      <c r="D1045" t="s">
        <v>19671</v>
      </c>
      <c r="E1045" t="str">
        <f>"3969900116158"</f>
        <v>0</v>
      </c>
      <c r="F1045" t="str">
        <f>"000950"</f>
        <v>0</v>
      </c>
      <c r="G1045" t="s">
        <v>18359</v>
      </c>
    </row>
    <row r="1046" spans="1:7">
      <c r="A1046">
        <v>1045</v>
      </c>
      <c r="B1046" t="str">
        <f>"004550"</f>
        <v>0</v>
      </c>
      <c r="C1046" t="s">
        <v>7281</v>
      </c>
      <c r="D1046" t="s">
        <v>19672</v>
      </c>
      <c r="E1046" t="str">
        <f>"3129900388091"</f>
        <v>0</v>
      </c>
      <c r="F1046" t="str">
        <f>"000950"</f>
        <v>0</v>
      </c>
      <c r="G1046" t="s">
        <v>18359</v>
      </c>
    </row>
    <row r="1047" spans="1:7">
      <c r="A1047">
        <v>1046</v>
      </c>
      <c r="B1047" t="str">
        <f>"004568"</f>
        <v>0</v>
      </c>
      <c r="C1047" t="s">
        <v>458</v>
      </c>
      <c r="D1047" t="s">
        <v>19673</v>
      </c>
      <c r="E1047" t="str">
        <f>"3101900406300"</f>
        <v>0</v>
      </c>
      <c r="F1047" t="str">
        <f>"000950"</f>
        <v>0</v>
      </c>
      <c r="G1047" t="s">
        <v>18359</v>
      </c>
    </row>
    <row r="1048" spans="1:7">
      <c r="A1048">
        <v>1047</v>
      </c>
      <c r="B1048" t="str">
        <f>"004689"</f>
        <v>0</v>
      </c>
      <c r="C1048" t="s">
        <v>19674</v>
      </c>
      <c r="D1048" t="s">
        <v>19675</v>
      </c>
      <c r="E1048" t="str">
        <f>"3160100311753"</f>
        <v>0</v>
      </c>
      <c r="F1048" t="str">
        <f>"000950"</f>
        <v>0</v>
      </c>
      <c r="G1048" t="s">
        <v>18359</v>
      </c>
    </row>
    <row r="1049" spans="1:7">
      <c r="A1049">
        <v>1048</v>
      </c>
      <c r="B1049" t="str">
        <f>"005617"</f>
        <v>0</v>
      </c>
      <c r="C1049" t="s">
        <v>19676</v>
      </c>
      <c r="D1049" t="s">
        <v>19677</v>
      </c>
      <c r="E1049" t="str">
        <f>"3130700062541"</f>
        <v>0</v>
      </c>
      <c r="F1049" t="str">
        <f>"000950"</f>
        <v>0</v>
      </c>
      <c r="G1049" t="s">
        <v>18359</v>
      </c>
    </row>
    <row r="1050" spans="1:7">
      <c r="A1050">
        <v>1049</v>
      </c>
      <c r="B1050" t="str">
        <f>"006983"</f>
        <v>0</v>
      </c>
      <c r="C1050" t="s">
        <v>154</v>
      </c>
      <c r="D1050" t="s">
        <v>19678</v>
      </c>
      <c r="E1050" t="str">
        <f>"3120100253117"</f>
        <v>0</v>
      </c>
      <c r="F1050" t="str">
        <f>"000950"</f>
        <v>0</v>
      </c>
      <c r="G1050" t="s">
        <v>18359</v>
      </c>
    </row>
    <row r="1051" spans="1:7">
      <c r="A1051">
        <v>1050</v>
      </c>
      <c r="B1051" t="str">
        <f>"007114"</f>
        <v>0</v>
      </c>
      <c r="C1051" t="s">
        <v>7928</v>
      </c>
      <c r="D1051" t="s">
        <v>19679</v>
      </c>
      <c r="E1051" t="str">
        <f>"3120101915458"</f>
        <v>0</v>
      </c>
      <c r="F1051" t="str">
        <f>"000950"</f>
        <v>0</v>
      </c>
      <c r="G1051" t="s">
        <v>18359</v>
      </c>
    </row>
    <row r="1052" spans="1:7">
      <c r="A1052">
        <v>1051</v>
      </c>
      <c r="B1052" t="str">
        <f>"009250"</f>
        <v>0</v>
      </c>
      <c r="C1052" t="s">
        <v>4372</v>
      </c>
      <c r="D1052" t="s">
        <v>11498</v>
      </c>
      <c r="E1052" t="str">
        <f>"3459900170335"</f>
        <v>0</v>
      </c>
      <c r="F1052" t="str">
        <f>"000950"</f>
        <v>0</v>
      </c>
      <c r="G1052" t="s">
        <v>18359</v>
      </c>
    </row>
    <row r="1053" spans="1:7">
      <c r="A1053">
        <v>1052</v>
      </c>
      <c r="B1053" t="str">
        <f>"010973"</f>
        <v>0</v>
      </c>
      <c r="C1053" t="s">
        <v>8846</v>
      </c>
      <c r="D1053" t="s">
        <v>19680</v>
      </c>
      <c r="E1053" t="str">
        <f>"3730601006109"</f>
        <v>0</v>
      </c>
      <c r="F1053" t="str">
        <f>"000950"</f>
        <v>0</v>
      </c>
      <c r="G1053" t="s">
        <v>18359</v>
      </c>
    </row>
    <row r="1054" spans="1:7">
      <c r="A1054">
        <v>1053</v>
      </c>
      <c r="B1054" t="str">
        <f>"011407"</f>
        <v>0</v>
      </c>
      <c r="C1054" t="s">
        <v>19681</v>
      </c>
      <c r="D1054" t="s">
        <v>19682</v>
      </c>
      <c r="E1054" t="str">
        <f>"3129900055628"</f>
        <v>0</v>
      </c>
      <c r="F1054" t="str">
        <f>"000950"</f>
        <v>0</v>
      </c>
      <c r="G1054" t="s">
        <v>18359</v>
      </c>
    </row>
    <row r="1055" spans="1:7">
      <c r="A1055">
        <v>1054</v>
      </c>
      <c r="B1055" t="str">
        <f>"012621"</f>
        <v>0</v>
      </c>
      <c r="C1055" t="s">
        <v>19683</v>
      </c>
      <c r="D1055" t="s">
        <v>19684</v>
      </c>
      <c r="E1055" t="str">
        <f>"3102000851961"</f>
        <v>0</v>
      </c>
      <c r="F1055" t="str">
        <f>"000950"</f>
        <v>0</v>
      </c>
      <c r="G1055" t="s">
        <v>18359</v>
      </c>
    </row>
    <row r="1056" spans="1:7">
      <c r="A1056">
        <v>1055</v>
      </c>
      <c r="B1056" t="str">
        <f>"014976"</f>
        <v>0</v>
      </c>
      <c r="C1056" t="s">
        <v>4797</v>
      </c>
      <c r="D1056" t="s">
        <v>1491</v>
      </c>
      <c r="E1056" t="str">
        <f>"3800800567037"</f>
        <v>0</v>
      </c>
      <c r="F1056" t="str">
        <f>"000950"</f>
        <v>0</v>
      </c>
      <c r="G1056" t="s">
        <v>18359</v>
      </c>
    </row>
    <row r="1057" spans="1:7">
      <c r="A1057">
        <v>1056</v>
      </c>
      <c r="B1057" t="str">
        <f>"015200"</f>
        <v>0</v>
      </c>
      <c r="C1057" t="s">
        <v>48</v>
      </c>
      <c r="D1057" t="s">
        <v>71</v>
      </c>
      <c r="E1057" t="str">
        <f>"3120600595882"</f>
        <v>0</v>
      </c>
      <c r="F1057" t="str">
        <f>"000950"</f>
        <v>0</v>
      </c>
      <c r="G1057" t="s">
        <v>18359</v>
      </c>
    </row>
    <row r="1058" spans="1:7">
      <c r="A1058">
        <v>1057</v>
      </c>
      <c r="B1058" t="str">
        <f>"015538"</f>
        <v>0</v>
      </c>
      <c r="C1058" t="s">
        <v>19685</v>
      </c>
      <c r="D1058" t="s">
        <v>7620</v>
      </c>
      <c r="E1058" t="str">
        <f>"5100100001777"</f>
        <v>0</v>
      </c>
      <c r="F1058" t="str">
        <f>"000950"</f>
        <v>0</v>
      </c>
      <c r="G1058" t="s">
        <v>18359</v>
      </c>
    </row>
    <row r="1059" spans="1:7">
      <c r="A1059">
        <v>1058</v>
      </c>
      <c r="B1059" t="str">
        <f>"015728"</f>
        <v>0</v>
      </c>
      <c r="C1059" t="s">
        <v>19686</v>
      </c>
      <c r="D1059" t="s">
        <v>19687</v>
      </c>
      <c r="E1059" t="str">
        <f>"3769900258019"</f>
        <v>0</v>
      </c>
      <c r="F1059" t="str">
        <f>"000950"</f>
        <v>0</v>
      </c>
      <c r="G1059" t="s">
        <v>18359</v>
      </c>
    </row>
    <row r="1060" spans="1:7">
      <c r="A1060">
        <v>1059</v>
      </c>
      <c r="B1060" t="str">
        <f>"016067"</f>
        <v>0</v>
      </c>
      <c r="C1060" t="s">
        <v>525</v>
      </c>
      <c r="D1060" t="s">
        <v>9065</v>
      </c>
      <c r="E1060" t="str">
        <f>"3101000532040"</f>
        <v>0</v>
      </c>
      <c r="F1060" t="str">
        <f>"000950"</f>
        <v>0</v>
      </c>
      <c r="G1060" t="s">
        <v>18359</v>
      </c>
    </row>
    <row r="1061" spans="1:7">
      <c r="A1061">
        <v>1060</v>
      </c>
      <c r="B1061" t="str">
        <f>"016227"</f>
        <v>0</v>
      </c>
      <c r="C1061" t="s">
        <v>1880</v>
      </c>
      <c r="D1061" t="s">
        <v>19688</v>
      </c>
      <c r="E1061" t="str">
        <f>"3100503455991"</f>
        <v>0</v>
      </c>
      <c r="F1061" t="str">
        <f>"000950"</f>
        <v>0</v>
      </c>
      <c r="G1061" t="s">
        <v>18359</v>
      </c>
    </row>
    <row r="1062" spans="1:7">
      <c r="A1062">
        <v>1061</v>
      </c>
      <c r="B1062" t="str">
        <f>"016625"</f>
        <v>0</v>
      </c>
      <c r="C1062" t="s">
        <v>5307</v>
      </c>
      <c r="D1062" t="s">
        <v>948</v>
      </c>
      <c r="E1062" t="str">
        <f>"3120101787123"</f>
        <v>0</v>
      </c>
      <c r="F1062" t="str">
        <f>"000950"</f>
        <v>0</v>
      </c>
      <c r="G1062" t="s">
        <v>18359</v>
      </c>
    </row>
    <row r="1063" spans="1:7">
      <c r="A1063">
        <v>1062</v>
      </c>
      <c r="B1063" t="str">
        <f>"016681"</f>
        <v>0</v>
      </c>
      <c r="C1063" t="s">
        <v>462</v>
      </c>
      <c r="D1063" t="s">
        <v>19192</v>
      </c>
      <c r="E1063" t="str">
        <f>"3100500787801"</f>
        <v>0</v>
      </c>
      <c r="F1063" t="str">
        <f>"000950"</f>
        <v>0</v>
      </c>
      <c r="G1063" t="s">
        <v>18359</v>
      </c>
    </row>
    <row r="1064" spans="1:7">
      <c r="A1064">
        <v>1063</v>
      </c>
      <c r="B1064" t="str">
        <f>"016773"</f>
        <v>0</v>
      </c>
      <c r="C1064" t="s">
        <v>19689</v>
      </c>
      <c r="D1064" t="s">
        <v>7639</v>
      </c>
      <c r="E1064" t="str">
        <f>"3120600309421"</f>
        <v>0</v>
      </c>
      <c r="F1064" t="str">
        <f>"000950"</f>
        <v>0</v>
      </c>
      <c r="G1064" t="s">
        <v>18359</v>
      </c>
    </row>
    <row r="1065" spans="1:7">
      <c r="A1065">
        <v>1064</v>
      </c>
      <c r="B1065" t="str">
        <f>"016852"</f>
        <v>0</v>
      </c>
      <c r="C1065" t="s">
        <v>311</v>
      </c>
      <c r="D1065" t="s">
        <v>19690</v>
      </c>
      <c r="E1065" t="str">
        <f>"3609900943561"</f>
        <v>0</v>
      </c>
      <c r="F1065" t="str">
        <f>"000950"</f>
        <v>0</v>
      </c>
      <c r="G1065" t="s">
        <v>18359</v>
      </c>
    </row>
    <row r="1066" spans="1:7">
      <c r="A1066">
        <v>1065</v>
      </c>
      <c r="B1066" t="str">
        <f>"016861"</f>
        <v>0</v>
      </c>
      <c r="C1066" t="s">
        <v>14053</v>
      </c>
      <c r="D1066" t="s">
        <v>19691</v>
      </c>
      <c r="E1066" t="str">
        <f>"3120101255466"</f>
        <v>0</v>
      </c>
      <c r="F1066" t="str">
        <f>"000950"</f>
        <v>0</v>
      </c>
      <c r="G1066" t="s">
        <v>18359</v>
      </c>
    </row>
    <row r="1067" spans="1:7">
      <c r="A1067">
        <v>1066</v>
      </c>
      <c r="B1067" t="str">
        <f>"016929"</f>
        <v>0</v>
      </c>
      <c r="C1067" t="s">
        <v>19692</v>
      </c>
      <c r="D1067" t="s">
        <v>4618</v>
      </c>
      <c r="E1067" t="str">
        <f>"3860400502086"</f>
        <v>0</v>
      </c>
      <c r="F1067" t="str">
        <f>"000950"</f>
        <v>0</v>
      </c>
      <c r="G1067" t="s">
        <v>18359</v>
      </c>
    </row>
    <row r="1068" spans="1:7">
      <c r="A1068">
        <v>1067</v>
      </c>
      <c r="B1068" t="str">
        <f>"017029"</f>
        <v>0</v>
      </c>
      <c r="C1068" t="s">
        <v>17713</v>
      </c>
      <c r="D1068" t="s">
        <v>19693</v>
      </c>
      <c r="E1068" t="str">
        <f>"3120101421056"</f>
        <v>0</v>
      </c>
      <c r="F1068" t="str">
        <f>"000950"</f>
        <v>0</v>
      </c>
      <c r="G1068" t="s">
        <v>18359</v>
      </c>
    </row>
    <row r="1069" spans="1:7">
      <c r="A1069">
        <v>1068</v>
      </c>
      <c r="B1069" t="str">
        <f>"017320"</f>
        <v>0</v>
      </c>
      <c r="C1069" t="s">
        <v>19694</v>
      </c>
      <c r="D1069" t="s">
        <v>19695</v>
      </c>
      <c r="E1069" t="str">
        <f>"3101705577401"</f>
        <v>0</v>
      </c>
      <c r="F1069" t="str">
        <f>"000950"</f>
        <v>0</v>
      </c>
      <c r="G1069" t="s">
        <v>18359</v>
      </c>
    </row>
    <row r="1070" spans="1:7">
      <c r="A1070">
        <v>1069</v>
      </c>
      <c r="B1070" t="str">
        <f>"017686"</f>
        <v>0</v>
      </c>
      <c r="C1070" t="s">
        <v>2655</v>
      </c>
      <c r="D1070" t="s">
        <v>19696</v>
      </c>
      <c r="E1070" t="str">
        <f>"3100601812631"</f>
        <v>0</v>
      </c>
      <c r="F1070" t="str">
        <f>"000950"</f>
        <v>0</v>
      </c>
      <c r="G1070" t="s">
        <v>18359</v>
      </c>
    </row>
    <row r="1071" spans="1:7">
      <c r="A1071">
        <v>1070</v>
      </c>
      <c r="B1071" t="str">
        <f>"017836"</f>
        <v>0</v>
      </c>
      <c r="C1071" t="s">
        <v>19697</v>
      </c>
      <c r="D1071" t="s">
        <v>19698</v>
      </c>
      <c r="E1071" t="str">
        <f>"3120100449739"</f>
        <v>0</v>
      </c>
      <c r="F1071" t="str">
        <f>"000950"</f>
        <v>0</v>
      </c>
      <c r="G1071" t="s">
        <v>18359</v>
      </c>
    </row>
    <row r="1072" spans="1:7">
      <c r="A1072">
        <v>1071</v>
      </c>
      <c r="B1072" t="str">
        <f>"017926"</f>
        <v>0</v>
      </c>
      <c r="C1072" t="s">
        <v>6327</v>
      </c>
      <c r="D1072" t="s">
        <v>19699</v>
      </c>
      <c r="E1072" t="str">
        <f>"3969900148912"</f>
        <v>0</v>
      </c>
      <c r="F1072" t="str">
        <f>"000950"</f>
        <v>0</v>
      </c>
      <c r="G1072" t="s">
        <v>18359</v>
      </c>
    </row>
    <row r="1073" spans="1:7">
      <c r="A1073">
        <v>1072</v>
      </c>
      <c r="B1073" t="str">
        <f>"018005"</f>
        <v>0</v>
      </c>
      <c r="C1073" t="s">
        <v>19700</v>
      </c>
      <c r="D1073" t="s">
        <v>19701</v>
      </c>
      <c r="E1073" t="str">
        <f>"3120101836574"</f>
        <v>0</v>
      </c>
      <c r="F1073" t="str">
        <f>"000950"</f>
        <v>0</v>
      </c>
      <c r="G1073" t="s">
        <v>18359</v>
      </c>
    </row>
    <row r="1074" spans="1:7">
      <c r="A1074">
        <v>1073</v>
      </c>
      <c r="B1074" t="str">
        <f>"018263"</f>
        <v>0</v>
      </c>
      <c r="C1074" t="s">
        <v>19702</v>
      </c>
      <c r="D1074" t="s">
        <v>19703</v>
      </c>
      <c r="E1074" t="str">
        <f>"3120300333963"</f>
        <v>0</v>
      </c>
      <c r="F1074" t="str">
        <f>"000950"</f>
        <v>0</v>
      </c>
      <c r="G1074" t="s">
        <v>18359</v>
      </c>
    </row>
    <row r="1075" spans="1:7">
      <c r="A1075">
        <v>1074</v>
      </c>
      <c r="B1075" t="str">
        <f>"018562"</f>
        <v>0</v>
      </c>
      <c r="C1075" t="s">
        <v>311</v>
      </c>
      <c r="D1075" t="s">
        <v>19704</v>
      </c>
      <c r="E1075" t="str">
        <f>"3739900347399"</f>
        <v>0</v>
      </c>
      <c r="F1075" t="str">
        <f>"000950"</f>
        <v>0</v>
      </c>
      <c r="G1075" t="s">
        <v>18359</v>
      </c>
    </row>
    <row r="1076" spans="1:7">
      <c r="A1076">
        <v>1075</v>
      </c>
      <c r="B1076" t="str">
        <f>"019257"</f>
        <v>0</v>
      </c>
      <c r="C1076" t="s">
        <v>923</v>
      </c>
      <c r="D1076" t="s">
        <v>19705</v>
      </c>
      <c r="E1076" t="str">
        <f>"3120600810571"</f>
        <v>0</v>
      </c>
      <c r="F1076" t="str">
        <f>"000950"</f>
        <v>0</v>
      </c>
      <c r="G1076" t="s">
        <v>18359</v>
      </c>
    </row>
    <row r="1077" spans="1:7">
      <c r="A1077">
        <v>1076</v>
      </c>
      <c r="B1077" t="str">
        <f>"019320"</f>
        <v>0</v>
      </c>
      <c r="C1077" t="s">
        <v>19706</v>
      </c>
      <c r="D1077" t="s">
        <v>19707</v>
      </c>
      <c r="E1077" t="str">
        <f>"5450800002544"</f>
        <v>0</v>
      </c>
      <c r="F1077" t="str">
        <f>"000950"</f>
        <v>0</v>
      </c>
      <c r="G1077" t="s">
        <v>18359</v>
      </c>
    </row>
    <row r="1078" spans="1:7">
      <c r="A1078">
        <v>1077</v>
      </c>
      <c r="B1078" t="str">
        <f>"020377"</f>
        <v>0</v>
      </c>
      <c r="C1078" t="s">
        <v>19708</v>
      </c>
      <c r="D1078" t="s">
        <v>19709</v>
      </c>
      <c r="E1078" t="str">
        <f>"3100400052800"</f>
        <v>0</v>
      </c>
      <c r="F1078" t="str">
        <f>"000950"</f>
        <v>0</v>
      </c>
      <c r="G1078" t="s">
        <v>18359</v>
      </c>
    </row>
    <row r="1079" spans="1:7">
      <c r="A1079">
        <v>1078</v>
      </c>
      <c r="B1079" t="str">
        <f>"007347"</f>
        <v>0</v>
      </c>
      <c r="C1079" t="s">
        <v>767</v>
      </c>
      <c r="D1079" t="s">
        <v>19710</v>
      </c>
      <c r="E1079" t="str">
        <f>"3120101572321"</f>
        <v>0</v>
      </c>
      <c r="F1079" t="str">
        <f>"000950"</f>
        <v>0</v>
      </c>
      <c r="G1079" t="s">
        <v>18359</v>
      </c>
    </row>
    <row r="1080" spans="1:7">
      <c r="A1080">
        <v>1079</v>
      </c>
      <c r="B1080" t="str">
        <f>"025553"</f>
        <v>0</v>
      </c>
      <c r="C1080" t="s">
        <v>19711</v>
      </c>
      <c r="D1080" t="s">
        <v>19712</v>
      </c>
      <c r="E1080" t="str">
        <f>"3100500608478"</f>
        <v>0</v>
      </c>
      <c r="F1080" t="str">
        <f>"000950"</f>
        <v>0</v>
      </c>
      <c r="G1080" t="s">
        <v>18359</v>
      </c>
    </row>
    <row r="1081" spans="1:7">
      <c r="A1081">
        <v>1080</v>
      </c>
      <c r="B1081" t="str">
        <f>"011683"</f>
        <v>0</v>
      </c>
      <c r="C1081" t="s">
        <v>3411</v>
      </c>
      <c r="D1081" t="s">
        <v>19713</v>
      </c>
      <c r="E1081" t="str">
        <f>"3120100122462"</f>
        <v>0</v>
      </c>
      <c r="F1081" t="str">
        <f>"000950"</f>
        <v>0</v>
      </c>
      <c r="G1081" t="s">
        <v>18359</v>
      </c>
    </row>
    <row r="1082" spans="1:7">
      <c r="A1082">
        <v>1081</v>
      </c>
      <c r="B1082" t="str">
        <f>"019451"</f>
        <v>0</v>
      </c>
      <c r="C1082" t="s">
        <v>19714</v>
      </c>
      <c r="D1082" t="s">
        <v>7576</v>
      </c>
      <c r="E1082" t="str">
        <f>"3120100615990"</f>
        <v>0</v>
      </c>
      <c r="F1082" t="str">
        <f>"000950"</f>
        <v>0</v>
      </c>
      <c r="G1082" t="s">
        <v>18359</v>
      </c>
    </row>
    <row r="1083" spans="1:7">
      <c r="A1083">
        <v>1082</v>
      </c>
      <c r="B1083" t="str">
        <f>"001581"</f>
        <v>0</v>
      </c>
      <c r="C1083" t="s">
        <v>6737</v>
      </c>
      <c r="D1083" t="s">
        <v>19715</v>
      </c>
      <c r="E1083" t="str">
        <f>"3729900213414"</f>
        <v>0</v>
      </c>
      <c r="F1083" t="str">
        <f>"000950"</f>
        <v>0</v>
      </c>
      <c r="G1083" t="s">
        <v>18359</v>
      </c>
    </row>
    <row r="1084" spans="1:7">
      <c r="A1084">
        <v>1083</v>
      </c>
      <c r="B1084" t="str">
        <f>"024576"</f>
        <v>0</v>
      </c>
      <c r="C1084" t="s">
        <v>16378</v>
      </c>
      <c r="D1084" t="s">
        <v>15317</v>
      </c>
      <c r="E1084" t="str">
        <f>"3140600507444"</f>
        <v>0</v>
      </c>
      <c r="F1084" t="str">
        <f>"000950"</f>
        <v>0</v>
      </c>
      <c r="G1084" t="s">
        <v>18359</v>
      </c>
    </row>
    <row r="1085" spans="1:7">
      <c r="A1085">
        <v>1084</v>
      </c>
      <c r="B1085" t="str">
        <f>"025037"</f>
        <v>0</v>
      </c>
      <c r="C1085" t="s">
        <v>19716</v>
      </c>
      <c r="D1085" t="s">
        <v>19717</v>
      </c>
      <c r="E1085" t="str">
        <f>"3801200414354"</f>
        <v>0</v>
      </c>
      <c r="F1085" t="str">
        <f>"000950"</f>
        <v>0</v>
      </c>
      <c r="G1085" t="s">
        <v>18359</v>
      </c>
    </row>
    <row r="1086" spans="1:7">
      <c r="A1086">
        <v>1085</v>
      </c>
      <c r="B1086" t="str">
        <f>"021377"</f>
        <v>0</v>
      </c>
      <c r="C1086" t="s">
        <v>19718</v>
      </c>
      <c r="D1086" t="s">
        <v>19719</v>
      </c>
      <c r="E1086" t="str">
        <f>"3400101322896"</f>
        <v>0</v>
      </c>
      <c r="F1086" t="str">
        <f>"000950"</f>
        <v>0</v>
      </c>
      <c r="G1086" t="s">
        <v>18359</v>
      </c>
    </row>
    <row r="1087" spans="1:7">
      <c r="A1087">
        <v>1086</v>
      </c>
      <c r="B1087" t="str">
        <f>"025131"</f>
        <v>0</v>
      </c>
      <c r="C1087" t="s">
        <v>19720</v>
      </c>
      <c r="D1087" t="s">
        <v>19721</v>
      </c>
      <c r="E1087" t="str">
        <f>"1730500071898"</f>
        <v>0</v>
      </c>
      <c r="F1087" t="str">
        <f>"000950"</f>
        <v>0</v>
      </c>
      <c r="G1087" t="s">
        <v>18359</v>
      </c>
    </row>
    <row r="1088" spans="1:7">
      <c r="A1088">
        <v>1087</v>
      </c>
      <c r="B1088" t="str">
        <f>"022864"</f>
        <v>0</v>
      </c>
      <c r="C1088" t="s">
        <v>19722</v>
      </c>
      <c r="D1088" t="s">
        <v>19723</v>
      </c>
      <c r="E1088" t="str">
        <f>"3960200345300"</f>
        <v>0</v>
      </c>
      <c r="F1088" t="str">
        <f>"000950"</f>
        <v>0</v>
      </c>
      <c r="G1088" t="s">
        <v>18359</v>
      </c>
    </row>
    <row r="1089" spans="1:7">
      <c r="A1089">
        <v>1088</v>
      </c>
      <c r="B1089" t="str">
        <f>"001087"</f>
        <v>0</v>
      </c>
      <c r="C1089" t="s">
        <v>4395</v>
      </c>
      <c r="D1089" t="s">
        <v>7200</v>
      </c>
      <c r="E1089" t="str">
        <f>"3610600581895"</f>
        <v>0</v>
      </c>
      <c r="F1089" t="str">
        <f>"000960"</f>
        <v>0</v>
      </c>
      <c r="G1089" t="s">
        <v>18359</v>
      </c>
    </row>
    <row r="1090" spans="1:7">
      <c r="A1090">
        <v>1089</v>
      </c>
      <c r="B1090" t="str">
        <f>"001724"</f>
        <v>0</v>
      </c>
      <c r="C1090" t="s">
        <v>694</v>
      </c>
      <c r="D1090" t="s">
        <v>19724</v>
      </c>
      <c r="E1090" t="str">
        <f>"3601000077046"</f>
        <v>0</v>
      </c>
      <c r="F1090" t="str">
        <f>"000960"</f>
        <v>0</v>
      </c>
      <c r="G1090" t="s">
        <v>18359</v>
      </c>
    </row>
    <row r="1091" spans="1:7">
      <c r="A1091">
        <v>1090</v>
      </c>
      <c r="B1091" t="str">
        <f>"003423"</f>
        <v>0</v>
      </c>
      <c r="C1091" t="s">
        <v>391</v>
      </c>
      <c r="D1091" t="s">
        <v>7819</v>
      </c>
      <c r="E1091" t="str">
        <f>"3609900138383"</f>
        <v>0</v>
      </c>
      <c r="F1091" t="str">
        <f>"000960"</f>
        <v>0</v>
      </c>
      <c r="G1091" t="s">
        <v>18359</v>
      </c>
    </row>
    <row r="1092" spans="1:7">
      <c r="A1092">
        <v>1091</v>
      </c>
      <c r="B1092" t="str">
        <f>"004764"</f>
        <v>0</v>
      </c>
      <c r="C1092" t="s">
        <v>9970</v>
      </c>
      <c r="D1092" t="s">
        <v>19725</v>
      </c>
      <c r="E1092" t="str">
        <f>"3601101083173"</f>
        <v>0</v>
      </c>
      <c r="F1092" t="str">
        <f>"000960"</f>
        <v>0</v>
      </c>
      <c r="G1092" t="s">
        <v>18359</v>
      </c>
    </row>
    <row r="1093" spans="1:7">
      <c r="A1093">
        <v>1092</v>
      </c>
      <c r="B1093" t="str">
        <f>"004768"</f>
        <v>0</v>
      </c>
      <c r="C1093" t="s">
        <v>19726</v>
      </c>
      <c r="D1093" t="s">
        <v>19727</v>
      </c>
      <c r="E1093" t="str">
        <f>"3100904289498"</f>
        <v>0</v>
      </c>
      <c r="F1093" t="str">
        <f>"000960"</f>
        <v>0</v>
      </c>
      <c r="G1093" t="s">
        <v>18359</v>
      </c>
    </row>
    <row r="1094" spans="1:7">
      <c r="A1094">
        <v>1093</v>
      </c>
      <c r="B1094" t="str">
        <f>"004981"</f>
        <v>0</v>
      </c>
      <c r="C1094" t="s">
        <v>19728</v>
      </c>
      <c r="D1094" t="s">
        <v>19729</v>
      </c>
      <c r="E1094" t="str">
        <f>"3600800076370"</f>
        <v>0</v>
      </c>
      <c r="F1094" t="str">
        <f>"000960"</f>
        <v>0</v>
      </c>
      <c r="G1094" t="s">
        <v>18359</v>
      </c>
    </row>
    <row r="1095" spans="1:7">
      <c r="A1095">
        <v>1094</v>
      </c>
      <c r="B1095" t="str">
        <f>"005929"</f>
        <v>0</v>
      </c>
      <c r="C1095" t="s">
        <v>8064</v>
      </c>
      <c r="D1095" t="s">
        <v>13073</v>
      </c>
      <c r="E1095" t="str">
        <f>"3500500265330"</f>
        <v>0</v>
      </c>
      <c r="F1095" t="str">
        <f>"000960"</f>
        <v>0</v>
      </c>
      <c r="G1095" t="s">
        <v>18359</v>
      </c>
    </row>
    <row r="1096" spans="1:7">
      <c r="A1096">
        <v>1095</v>
      </c>
      <c r="B1096" t="str">
        <f>"006378"</f>
        <v>0</v>
      </c>
      <c r="C1096" t="s">
        <v>19730</v>
      </c>
      <c r="D1096" t="s">
        <v>19731</v>
      </c>
      <c r="E1096" t="str">
        <f>"3250100579437"</f>
        <v>0</v>
      </c>
      <c r="F1096" t="str">
        <f>"000960"</f>
        <v>0</v>
      </c>
      <c r="G1096" t="s">
        <v>18359</v>
      </c>
    </row>
    <row r="1097" spans="1:7">
      <c r="A1097">
        <v>1096</v>
      </c>
      <c r="B1097" t="str">
        <f>"006616"</f>
        <v>0</v>
      </c>
      <c r="C1097" t="s">
        <v>4861</v>
      </c>
      <c r="D1097" t="s">
        <v>19732</v>
      </c>
      <c r="E1097" t="str">
        <f>"3540200508571"</f>
        <v>0</v>
      </c>
      <c r="F1097" t="str">
        <f>"000960"</f>
        <v>0</v>
      </c>
      <c r="G1097" t="s">
        <v>18359</v>
      </c>
    </row>
    <row r="1098" spans="1:7">
      <c r="A1098">
        <v>1097</v>
      </c>
      <c r="B1098" t="str">
        <f>"006987"</f>
        <v>0</v>
      </c>
      <c r="C1098" t="s">
        <v>4158</v>
      </c>
      <c r="D1098" t="s">
        <v>7815</v>
      </c>
      <c r="E1098" t="str">
        <f>"3600100468488"</f>
        <v>0</v>
      </c>
      <c r="F1098" t="str">
        <f>"000960"</f>
        <v>0</v>
      </c>
      <c r="G1098" t="s">
        <v>18359</v>
      </c>
    </row>
    <row r="1099" spans="1:7">
      <c r="A1099">
        <v>1098</v>
      </c>
      <c r="B1099" t="str">
        <f>"008256"</f>
        <v>0</v>
      </c>
      <c r="C1099" t="s">
        <v>2262</v>
      </c>
      <c r="D1099" t="s">
        <v>19733</v>
      </c>
      <c r="E1099" t="str">
        <f>"3500900076747"</f>
        <v>0</v>
      </c>
      <c r="F1099" t="str">
        <f>"000960"</f>
        <v>0</v>
      </c>
      <c r="G1099" t="s">
        <v>18359</v>
      </c>
    </row>
    <row r="1100" spans="1:7">
      <c r="A1100">
        <v>1099</v>
      </c>
      <c r="B1100" t="str">
        <f>"008262"</f>
        <v>0</v>
      </c>
      <c r="C1100" t="s">
        <v>2824</v>
      </c>
      <c r="D1100" t="s">
        <v>8276</v>
      </c>
      <c r="E1100" t="str">
        <f>"5601290001605"</f>
        <v>0</v>
      </c>
      <c r="F1100" t="str">
        <f>"000960"</f>
        <v>0</v>
      </c>
      <c r="G1100" t="s">
        <v>18359</v>
      </c>
    </row>
    <row r="1101" spans="1:7">
      <c r="A1101">
        <v>1100</v>
      </c>
      <c r="B1101" t="str">
        <f>"008532"</f>
        <v>0</v>
      </c>
      <c r="C1101" t="s">
        <v>12864</v>
      </c>
      <c r="D1101" t="s">
        <v>19734</v>
      </c>
      <c r="E1101" t="str">
        <f>"3510200093045"</f>
        <v>0</v>
      </c>
      <c r="F1101" t="str">
        <f>"000960"</f>
        <v>0</v>
      </c>
      <c r="G1101" t="s">
        <v>18359</v>
      </c>
    </row>
    <row r="1102" spans="1:7">
      <c r="A1102">
        <v>1101</v>
      </c>
      <c r="B1102" t="str">
        <f>"009533"</f>
        <v>0</v>
      </c>
      <c r="C1102" t="s">
        <v>4435</v>
      </c>
      <c r="D1102" t="s">
        <v>19735</v>
      </c>
      <c r="E1102" t="str">
        <f>"4410700001297"</f>
        <v>0</v>
      </c>
      <c r="F1102" t="str">
        <f>"000960"</f>
        <v>0</v>
      </c>
      <c r="G1102" t="s">
        <v>18359</v>
      </c>
    </row>
    <row r="1103" spans="1:7">
      <c r="A1103">
        <v>1102</v>
      </c>
      <c r="B1103" t="str">
        <f>"009599"</f>
        <v>0</v>
      </c>
      <c r="C1103" t="s">
        <v>13054</v>
      </c>
      <c r="D1103" t="s">
        <v>7907</v>
      </c>
      <c r="E1103" t="str">
        <f>"5601190008314"</f>
        <v>0</v>
      </c>
      <c r="F1103" t="str">
        <f>"000960"</f>
        <v>0</v>
      </c>
      <c r="G1103" t="s">
        <v>18359</v>
      </c>
    </row>
    <row r="1104" spans="1:7">
      <c r="A1104">
        <v>1103</v>
      </c>
      <c r="B1104" t="str">
        <f>"009600"</f>
        <v>0</v>
      </c>
      <c r="C1104" t="s">
        <v>19736</v>
      </c>
      <c r="D1104" t="s">
        <v>12153</v>
      </c>
      <c r="E1104" t="str">
        <f>"3600600055671"</f>
        <v>0</v>
      </c>
      <c r="F1104" t="str">
        <f>"000960"</f>
        <v>0</v>
      </c>
      <c r="G1104" t="s">
        <v>18359</v>
      </c>
    </row>
    <row r="1105" spans="1:7">
      <c r="A1105">
        <v>1104</v>
      </c>
      <c r="B1105" t="str">
        <f>"011184"</f>
        <v>0</v>
      </c>
      <c r="C1105" t="s">
        <v>1341</v>
      </c>
      <c r="D1105" t="s">
        <v>11844</v>
      </c>
      <c r="E1105" t="str">
        <f>"3820800016189"</f>
        <v>0</v>
      </c>
      <c r="F1105" t="str">
        <f>"000960"</f>
        <v>0</v>
      </c>
      <c r="G1105" t="s">
        <v>18359</v>
      </c>
    </row>
    <row r="1106" spans="1:7">
      <c r="A1106">
        <v>1105</v>
      </c>
      <c r="B1106" t="str">
        <f>"011607"</f>
        <v>0</v>
      </c>
      <c r="C1106" t="s">
        <v>4622</v>
      </c>
      <c r="D1106" t="s">
        <v>19737</v>
      </c>
      <c r="E1106" t="str">
        <f>"3509900775554"</f>
        <v>0</v>
      </c>
      <c r="F1106" t="str">
        <f>"000960"</f>
        <v>0</v>
      </c>
      <c r="G1106" t="s">
        <v>18359</v>
      </c>
    </row>
    <row r="1107" spans="1:7">
      <c r="A1107">
        <v>1106</v>
      </c>
      <c r="B1107" t="str">
        <f>"011929"</f>
        <v>0</v>
      </c>
      <c r="C1107" t="s">
        <v>19738</v>
      </c>
      <c r="D1107" t="s">
        <v>19739</v>
      </c>
      <c r="E1107" t="str">
        <f>"3601101298048"</f>
        <v>0</v>
      </c>
      <c r="F1107" t="str">
        <f>"000960"</f>
        <v>0</v>
      </c>
      <c r="G1107" t="s">
        <v>18359</v>
      </c>
    </row>
    <row r="1108" spans="1:7">
      <c r="A1108">
        <v>1107</v>
      </c>
      <c r="B1108" t="str">
        <f>"013127"</f>
        <v>0</v>
      </c>
      <c r="C1108" t="s">
        <v>19740</v>
      </c>
      <c r="D1108" t="s">
        <v>19741</v>
      </c>
      <c r="E1108" t="str">
        <f>"3660600465313"</f>
        <v>0</v>
      </c>
      <c r="F1108" t="str">
        <f>"000960"</f>
        <v>0</v>
      </c>
      <c r="G1108" t="s">
        <v>18359</v>
      </c>
    </row>
    <row r="1109" spans="1:7">
      <c r="A1109">
        <v>1108</v>
      </c>
      <c r="B1109" t="str">
        <f>"016078"</f>
        <v>0</v>
      </c>
      <c r="C1109" t="s">
        <v>587</v>
      </c>
      <c r="D1109" t="s">
        <v>19742</v>
      </c>
      <c r="E1109" t="str">
        <f>"3609800001475"</f>
        <v>0</v>
      </c>
      <c r="F1109" t="str">
        <f>"000960"</f>
        <v>0</v>
      </c>
      <c r="G1109" t="s">
        <v>18359</v>
      </c>
    </row>
    <row r="1110" spans="1:7">
      <c r="A1110">
        <v>1109</v>
      </c>
      <c r="B1110" t="str">
        <f>"017054"</f>
        <v>0</v>
      </c>
      <c r="C1110" t="s">
        <v>2331</v>
      </c>
      <c r="D1110" t="s">
        <v>2924</v>
      </c>
      <c r="E1110" t="str">
        <f>"3580200018736"</f>
        <v>0</v>
      </c>
      <c r="F1110" t="str">
        <f>"000960"</f>
        <v>0</v>
      </c>
      <c r="G1110" t="s">
        <v>18359</v>
      </c>
    </row>
    <row r="1111" spans="1:7">
      <c r="A1111">
        <v>1110</v>
      </c>
      <c r="B1111" t="str">
        <f>"017346"</f>
        <v>0</v>
      </c>
      <c r="C1111" t="s">
        <v>2260</v>
      </c>
      <c r="D1111" t="s">
        <v>19743</v>
      </c>
      <c r="E1111" t="str">
        <f>"3609900143107"</f>
        <v>0</v>
      </c>
      <c r="F1111" t="str">
        <f>"000960"</f>
        <v>0</v>
      </c>
      <c r="G1111" t="s">
        <v>18359</v>
      </c>
    </row>
    <row r="1112" spans="1:7">
      <c r="A1112">
        <v>1111</v>
      </c>
      <c r="B1112" t="str">
        <f>"017395"</f>
        <v>0</v>
      </c>
      <c r="C1112" t="s">
        <v>4771</v>
      </c>
      <c r="D1112" t="s">
        <v>19744</v>
      </c>
      <c r="E1112" t="str">
        <f>"3601101298986"</f>
        <v>0</v>
      </c>
      <c r="F1112" t="str">
        <f>"000960"</f>
        <v>0</v>
      </c>
      <c r="G1112" t="s">
        <v>18359</v>
      </c>
    </row>
    <row r="1113" spans="1:7">
      <c r="A1113">
        <v>1112</v>
      </c>
      <c r="B1113" t="str">
        <f>"017885"</f>
        <v>0</v>
      </c>
      <c r="C1113" t="s">
        <v>520</v>
      </c>
      <c r="D1113" t="s">
        <v>7808</v>
      </c>
      <c r="E1113" t="str">
        <f>"3601101083149"</f>
        <v>0</v>
      </c>
      <c r="F1113" t="str">
        <f>"000960"</f>
        <v>0</v>
      </c>
      <c r="G1113" t="s">
        <v>18359</v>
      </c>
    </row>
    <row r="1114" spans="1:7">
      <c r="A1114">
        <v>1113</v>
      </c>
      <c r="B1114" t="str">
        <f>"017924"</f>
        <v>0</v>
      </c>
      <c r="C1114" t="s">
        <v>1162</v>
      </c>
      <c r="D1114" t="s">
        <v>19745</v>
      </c>
      <c r="E1114" t="str">
        <f>"3600400084375"</f>
        <v>0</v>
      </c>
      <c r="F1114" t="str">
        <f>"000960"</f>
        <v>0</v>
      </c>
      <c r="G1114" t="s">
        <v>18359</v>
      </c>
    </row>
    <row r="1115" spans="1:7">
      <c r="A1115">
        <v>1114</v>
      </c>
      <c r="B1115" t="str">
        <f>"018204"</f>
        <v>0</v>
      </c>
      <c r="C1115" t="s">
        <v>19746</v>
      </c>
      <c r="D1115" t="s">
        <v>99</v>
      </c>
      <c r="E1115" t="str">
        <f>"3609900138308"</f>
        <v>0</v>
      </c>
      <c r="F1115" t="str">
        <f>"000960"</f>
        <v>0</v>
      </c>
      <c r="G1115" t="s">
        <v>18359</v>
      </c>
    </row>
    <row r="1116" spans="1:7">
      <c r="A1116">
        <v>1115</v>
      </c>
      <c r="B1116" t="str">
        <f>"018479"</f>
        <v>0</v>
      </c>
      <c r="C1116" t="s">
        <v>19747</v>
      </c>
      <c r="D1116" t="s">
        <v>19748</v>
      </c>
      <c r="E1116" t="str">
        <f>"3461000178561"</f>
        <v>0</v>
      </c>
      <c r="F1116" t="str">
        <f>"000960"</f>
        <v>0</v>
      </c>
      <c r="G1116" t="s">
        <v>18359</v>
      </c>
    </row>
    <row r="1117" spans="1:7">
      <c r="A1117">
        <v>1116</v>
      </c>
      <c r="B1117" t="str">
        <f>"019399"</f>
        <v>0</v>
      </c>
      <c r="C1117" t="s">
        <v>19749</v>
      </c>
      <c r="D1117" t="s">
        <v>19750</v>
      </c>
      <c r="E1117" t="str">
        <f>"3720200399797"</f>
        <v>0</v>
      </c>
      <c r="F1117" t="str">
        <f>"000960"</f>
        <v>0</v>
      </c>
      <c r="G1117" t="s">
        <v>18359</v>
      </c>
    </row>
    <row r="1118" spans="1:7">
      <c r="A1118">
        <v>1117</v>
      </c>
      <c r="B1118" t="str">
        <f>"022400"</f>
        <v>0</v>
      </c>
      <c r="C1118" t="s">
        <v>19751</v>
      </c>
      <c r="D1118" t="s">
        <v>19752</v>
      </c>
      <c r="E1118" t="str">
        <f>"5609990011007"</f>
        <v>0</v>
      </c>
      <c r="F1118" t="str">
        <f>"000960"</f>
        <v>0</v>
      </c>
      <c r="G1118" t="s">
        <v>18359</v>
      </c>
    </row>
    <row r="1119" spans="1:7">
      <c r="A1119">
        <v>1118</v>
      </c>
      <c r="B1119" t="str">
        <f>"026455"</f>
        <v>0</v>
      </c>
      <c r="C1119" t="s">
        <v>19753</v>
      </c>
      <c r="D1119" t="s">
        <v>19754</v>
      </c>
      <c r="E1119" t="str">
        <f>"3251200265362"</f>
        <v>0</v>
      </c>
      <c r="F1119" t="str">
        <f>"000960"</f>
        <v>0</v>
      </c>
      <c r="G1119" t="s">
        <v>18359</v>
      </c>
    </row>
    <row r="1120" spans="1:7">
      <c r="A1120">
        <v>1119</v>
      </c>
      <c r="B1120" t="str">
        <f>"005344"</f>
        <v>0</v>
      </c>
      <c r="C1120" t="s">
        <v>19755</v>
      </c>
      <c r="D1120" t="s">
        <v>9510</v>
      </c>
      <c r="E1120" t="str">
        <f>"3609900005359"</f>
        <v>0</v>
      </c>
      <c r="F1120" t="str">
        <f>"000960"</f>
        <v>0</v>
      </c>
      <c r="G1120" t="s">
        <v>18359</v>
      </c>
    </row>
    <row r="1121" spans="1:7">
      <c r="A1121">
        <v>1120</v>
      </c>
      <c r="B1121" t="str">
        <f>"008781"</f>
        <v>0</v>
      </c>
      <c r="C1121" t="s">
        <v>4030</v>
      </c>
      <c r="D1121" t="s">
        <v>19756</v>
      </c>
      <c r="E1121" t="str">
        <f>"3180100090480"</f>
        <v>0</v>
      </c>
      <c r="F1121" t="str">
        <f>"000960"</f>
        <v>0</v>
      </c>
      <c r="G1121" t="s">
        <v>18359</v>
      </c>
    </row>
    <row r="1122" spans="1:7">
      <c r="A1122">
        <v>1121</v>
      </c>
      <c r="B1122" t="str">
        <f>"016193"</f>
        <v>0</v>
      </c>
      <c r="C1122" t="s">
        <v>19757</v>
      </c>
      <c r="D1122" t="s">
        <v>19758</v>
      </c>
      <c r="E1122" t="str">
        <f>"0000000000001"</f>
        <v>0</v>
      </c>
      <c r="F1122" t="str">
        <f>"000960"</f>
        <v>0</v>
      </c>
      <c r="G1122" t="s">
        <v>18359</v>
      </c>
    </row>
    <row r="1123" spans="1:7">
      <c r="A1123">
        <v>1122</v>
      </c>
      <c r="B1123" t="str">
        <f>"024945"</f>
        <v>0</v>
      </c>
      <c r="C1123" t="s">
        <v>19759</v>
      </c>
      <c r="D1123" t="s">
        <v>19760</v>
      </c>
      <c r="E1123" t="str">
        <f>"1189900059449"</f>
        <v>0</v>
      </c>
      <c r="F1123" t="str">
        <f>"000960"</f>
        <v>0</v>
      </c>
      <c r="G1123" t="s">
        <v>18359</v>
      </c>
    </row>
    <row r="1124" spans="1:7">
      <c r="A1124">
        <v>1123</v>
      </c>
      <c r="B1124" t="str">
        <f>"006593"</f>
        <v>0</v>
      </c>
      <c r="C1124" t="s">
        <v>19761</v>
      </c>
      <c r="D1124" t="s">
        <v>7817</v>
      </c>
      <c r="E1124" t="str">
        <f>"3600500177243"</f>
        <v>0</v>
      </c>
      <c r="F1124" t="str">
        <f>"000960"</f>
        <v>0</v>
      </c>
      <c r="G1124" t="s">
        <v>18359</v>
      </c>
    </row>
    <row r="1125" spans="1:7">
      <c r="A1125">
        <v>1124</v>
      </c>
      <c r="B1125" t="str">
        <f>"007465"</f>
        <v>0</v>
      </c>
      <c r="C1125" t="s">
        <v>19762</v>
      </c>
      <c r="D1125" t="s">
        <v>19763</v>
      </c>
      <c r="E1125" t="str">
        <f>"3340900443431"</f>
        <v>0</v>
      </c>
      <c r="F1125" t="str">
        <f>"000960"</f>
        <v>0</v>
      </c>
      <c r="G1125" t="s">
        <v>18359</v>
      </c>
    </row>
    <row r="1126" spans="1:7">
      <c r="A1126">
        <v>1125</v>
      </c>
      <c r="B1126" t="str">
        <f>"009503"</f>
        <v>0</v>
      </c>
      <c r="C1126" t="s">
        <v>19764</v>
      </c>
      <c r="D1126" t="s">
        <v>19765</v>
      </c>
      <c r="E1126" t="str">
        <f>"5420600016207"</f>
        <v>0</v>
      </c>
      <c r="F1126" t="str">
        <f>"000960"</f>
        <v>0</v>
      </c>
      <c r="G1126" t="s">
        <v>18359</v>
      </c>
    </row>
    <row r="1127" spans="1:7">
      <c r="A1127">
        <v>1126</v>
      </c>
      <c r="B1127" t="str">
        <f>"014532"</f>
        <v>0</v>
      </c>
      <c r="C1127" t="s">
        <v>68</v>
      </c>
      <c r="D1127" t="s">
        <v>19766</v>
      </c>
      <c r="E1127" t="str">
        <f>"5600890009452"</f>
        <v>0</v>
      </c>
      <c r="F1127" t="str">
        <f>"000960"</f>
        <v>0</v>
      </c>
      <c r="G1127" t="s">
        <v>18359</v>
      </c>
    </row>
    <row r="1128" spans="1:7">
      <c r="A1128">
        <v>1127</v>
      </c>
      <c r="B1128" t="str">
        <f>"022831"</f>
        <v>0</v>
      </c>
      <c r="C1128" t="s">
        <v>19767</v>
      </c>
      <c r="D1128" t="s">
        <v>19768</v>
      </c>
      <c r="E1128" t="str">
        <f>"3600900506961"</f>
        <v>0</v>
      </c>
      <c r="F1128" t="str">
        <f>"000960"</f>
        <v>0</v>
      </c>
      <c r="G1128" t="s">
        <v>18359</v>
      </c>
    </row>
    <row r="1129" spans="1:7">
      <c r="A1129">
        <v>1128</v>
      </c>
      <c r="B1129" t="str">
        <f>"024249"</f>
        <v>0</v>
      </c>
      <c r="C1129" t="s">
        <v>6686</v>
      </c>
      <c r="D1129" t="s">
        <v>19769</v>
      </c>
      <c r="E1129" t="str">
        <f>"1600100382099"</f>
        <v>0</v>
      </c>
      <c r="F1129" t="str">
        <f>"000960"</f>
        <v>0</v>
      </c>
      <c r="G1129" t="s">
        <v>18359</v>
      </c>
    </row>
    <row r="1130" spans="1:7">
      <c r="A1130">
        <v>1129</v>
      </c>
      <c r="B1130" t="str">
        <f>"025016"</f>
        <v>0</v>
      </c>
      <c r="C1130" t="s">
        <v>19770</v>
      </c>
      <c r="D1130" t="s">
        <v>19771</v>
      </c>
      <c r="E1130" t="str">
        <f>"3600101040058"</f>
        <v>0</v>
      </c>
      <c r="F1130" t="str">
        <f>"000960"</f>
        <v>0</v>
      </c>
      <c r="G1130" t="s">
        <v>18359</v>
      </c>
    </row>
    <row r="1131" spans="1:7">
      <c r="A1131">
        <v>1130</v>
      </c>
      <c r="B1131" t="str">
        <f>"003173"</f>
        <v>0</v>
      </c>
      <c r="C1131" t="s">
        <v>6522</v>
      </c>
      <c r="D1131" t="s">
        <v>19772</v>
      </c>
      <c r="E1131" t="str">
        <f>"3559900204948"</f>
        <v>0</v>
      </c>
      <c r="F1131" t="str">
        <f>"000980"</f>
        <v>0</v>
      </c>
      <c r="G1131" t="s">
        <v>18359</v>
      </c>
    </row>
    <row r="1132" spans="1:7">
      <c r="A1132">
        <v>1131</v>
      </c>
      <c r="B1132" t="str">
        <f>"005443"</f>
        <v>0</v>
      </c>
      <c r="C1132" t="s">
        <v>2751</v>
      </c>
      <c r="D1132" t="s">
        <v>19773</v>
      </c>
      <c r="E1132" t="str">
        <f>"3540600408175"</f>
        <v>0</v>
      </c>
      <c r="F1132" t="str">
        <f>"000980"</f>
        <v>0</v>
      </c>
      <c r="G1132" t="s">
        <v>18359</v>
      </c>
    </row>
    <row r="1133" spans="1:7">
      <c r="A1133">
        <v>1132</v>
      </c>
      <c r="B1133" t="str">
        <f>"007182"</f>
        <v>0</v>
      </c>
      <c r="C1133" t="s">
        <v>19774</v>
      </c>
      <c r="D1133" t="s">
        <v>2280</v>
      </c>
      <c r="E1133" t="str">
        <f>"3550700161082"</f>
        <v>0</v>
      </c>
      <c r="F1133" t="str">
        <f>"000980"</f>
        <v>0</v>
      </c>
      <c r="G1133" t="s">
        <v>18359</v>
      </c>
    </row>
    <row r="1134" spans="1:7">
      <c r="A1134">
        <v>1133</v>
      </c>
      <c r="B1134" t="str">
        <f>"007375"</f>
        <v>0</v>
      </c>
      <c r="C1134" t="s">
        <v>19775</v>
      </c>
      <c r="D1134" t="s">
        <v>19776</v>
      </c>
      <c r="E1134" t="str">
        <f>"3571100202421"</f>
        <v>0</v>
      </c>
      <c r="F1134" t="str">
        <f>"000980"</f>
        <v>0</v>
      </c>
      <c r="G1134" t="s">
        <v>18359</v>
      </c>
    </row>
    <row r="1135" spans="1:7">
      <c r="A1135">
        <v>1134</v>
      </c>
      <c r="B1135" t="str">
        <f>"008402"</f>
        <v>0</v>
      </c>
      <c r="C1135" t="s">
        <v>19777</v>
      </c>
      <c r="D1135" t="s">
        <v>19778</v>
      </c>
      <c r="E1135" t="str">
        <f>"3530200178270"</f>
        <v>0</v>
      </c>
      <c r="F1135" t="str">
        <f>"000980"</f>
        <v>0</v>
      </c>
      <c r="G1135" t="s">
        <v>18359</v>
      </c>
    </row>
    <row r="1136" spans="1:7">
      <c r="A1136">
        <v>1135</v>
      </c>
      <c r="B1136" t="str">
        <f>"008701"</f>
        <v>0</v>
      </c>
      <c r="C1136" t="s">
        <v>19779</v>
      </c>
      <c r="D1136" t="s">
        <v>19130</v>
      </c>
      <c r="E1136" t="str">
        <f>"5540490001269"</f>
        <v>0</v>
      </c>
      <c r="F1136" t="str">
        <f>"000980"</f>
        <v>0</v>
      </c>
      <c r="G1136" t="s">
        <v>18359</v>
      </c>
    </row>
    <row r="1137" spans="1:7">
      <c r="A1137">
        <v>1136</v>
      </c>
      <c r="B1137" t="str">
        <f>"009603"</f>
        <v>0</v>
      </c>
      <c r="C1137" t="s">
        <v>442</v>
      </c>
      <c r="D1137" t="s">
        <v>19780</v>
      </c>
      <c r="E1137" t="str">
        <f>"3550700091874"</f>
        <v>0</v>
      </c>
      <c r="F1137" t="str">
        <f>"000980"</f>
        <v>0</v>
      </c>
      <c r="G1137" t="s">
        <v>18359</v>
      </c>
    </row>
    <row r="1138" spans="1:7">
      <c r="A1138">
        <v>1137</v>
      </c>
      <c r="B1138" t="str">
        <f>"009864"</f>
        <v>0</v>
      </c>
      <c r="C1138" t="s">
        <v>3090</v>
      </c>
      <c r="D1138" t="s">
        <v>10914</v>
      </c>
      <c r="E1138" t="str">
        <f>"3640700217133"</f>
        <v>0</v>
      </c>
      <c r="F1138" t="str">
        <f>"000980"</f>
        <v>0</v>
      </c>
      <c r="G1138" t="s">
        <v>18359</v>
      </c>
    </row>
    <row r="1139" spans="1:7">
      <c r="A1139">
        <v>1138</v>
      </c>
      <c r="B1139" t="str">
        <f>"011456"</f>
        <v>0</v>
      </c>
      <c r="C1139" t="s">
        <v>2820</v>
      </c>
      <c r="D1139" t="s">
        <v>19781</v>
      </c>
      <c r="E1139" t="str">
        <f>"3550100691501"</f>
        <v>0</v>
      </c>
      <c r="F1139" t="str">
        <f>"000980"</f>
        <v>0</v>
      </c>
      <c r="G1139" t="s">
        <v>18359</v>
      </c>
    </row>
    <row r="1140" spans="1:7">
      <c r="A1140">
        <v>1139</v>
      </c>
      <c r="B1140" t="str">
        <f>"011597"</f>
        <v>0</v>
      </c>
      <c r="C1140" t="s">
        <v>19782</v>
      </c>
      <c r="D1140" t="s">
        <v>19783</v>
      </c>
      <c r="E1140" t="str">
        <f>"3559900054806"</f>
        <v>0</v>
      </c>
      <c r="F1140" t="str">
        <f>"000980"</f>
        <v>0</v>
      </c>
      <c r="G1140" t="s">
        <v>18359</v>
      </c>
    </row>
    <row r="1141" spans="1:7">
      <c r="A1141">
        <v>1140</v>
      </c>
      <c r="B1141" t="str">
        <f>"011599"</f>
        <v>0</v>
      </c>
      <c r="C1141" t="s">
        <v>19784</v>
      </c>
      <c r="D1141" t="s">
        <v>19785</v>
      </c>
      <c r="E1141" t="str">
        <f>"5550700005630"</f>
        <v>0</v>
      </c>
      <c r="F1141" t="str">
        <f>"000980"</f>
        <v>0</v>
      </c>
      <c r="G1141" t="s">
        <v>18359</v>
      </c>
    </row>
    <row r="1142" spans="1:7">
      <c r="A1142">
        <v>1141</v>
      </c>
      <c r="B1142" t="str">
        <f>"011777"</f>
        <v>0</v>
      </c>
      <c r="C1142" t="s">
        <v>19786</v>
      </c>
      <c r="D1142" t="s">
        <v>19787</v>
      </c>
      <c r="E1142" t="str">
        <f>"5550500035420"</f>
        <v>0</v>
      </c>
      <c r="F1142" t="str">
        <f>"000980"</f>
        <v>0</v>
      </c>
      <c r="G1142" t="s">
        <v>18359</v>
      </c>
    </row>
    <row r="1143" spans="1:7">
      <c r="A1143">
        <v>1142</v>
      </c>
      <c r="B1143" t="str">
        <f>"011844"</f>
        <v>0</v>
      </c>
      <c r="C1143" t="s">
        <v>3634</v>
      </c>
      <c r="D1143" t="s">
        <v>19788</v>
      </c>
      <c r="E1143" t="str">
        <f>"3550700122443"</f>
        <v>0</v>
      </c>
      <c r="F1143" t="str">
        <f>"000980"</f>
        <v>0</v>
      </c>
      <c r="G1143" t="s">
        <v>18359</v>
      </c>
    </row>
    <row r="1144" spans="1:7">
      <c r="A1144">
        <v>1143</v>
      </c>
      <c r="B1144" t="str">
        <f>"012130"</f>
        <v>0</v>
      </c>
      <c r="C1144" t="s">
        <v>19789</v>
      </c>
      <c r="D1144" t="s">
        <v>19790</v>
      </c>
      <c r="E1144" t="str">
        <f>"3501400118531"</f>
        <v>0</v>
      </c>
      <c r="F1144" t="str">
        <f>"000980"</f>
        <v>0</v>
      </c>
      <c r="G1144" t="s">
        <v>18359</v>
      </c>
    </row>
    <row r="1145" spans="1:7">
      <c r="A1145">
        <v>1144</v>
      </c>
      <c r="B1145" t="str">
        <f>"012418"</f>
        <v>0</v>
      </c>
      <c r="C1145" t="s">
        <v>5892</v>
      </c>
      <c r="D1145" t="s">
        <v>19791</v>
      </c>
      <c r="E1145" t="str">
        <f>"3140100082657"</f>
        <v>0</v>
      </c>
      <c r="F1145" t="str">
        <f>"000980"</f>
        <v>0</v>
      </c>
      <c r="G1145" t="s">
        <v>18359</v>
      </c>
    </row>
    <row r="1146" spans="1:7">
      <c r="A1146">
        <v>1145</v>
      </c>
      <c r="B1146" t="str">
        <f>"012675"</f>
        <v>0</v>
      </c>
      <c r="C1146" t="s">
        <v>19792</v>
      </c>
      <c r="D1146" t="s">
        <v>19793</v>
      </c>
      <c r="E1146" t="str">
        <f>"3559900132971"</f>
        <v>0</v>
      </c>
      <c r="F1146" t="str">
        <f>"000980"</f>
        <v>0</v>
      </c>
      <c r="G1146" t="s">
        <v>18359</v>
      </c>
    </row>
    <row r="1147" spans="1:7">
      <c r="A1147">
        <v>1146</v>
      </c>
      <c r="B1147" t="str">
        <f>"012676"</f>
        <v>0</v>
      </c>
      <c r="C1147" t="s">
        <v>260</v>
      </c>
      <c r="D1147" t="s">
        <v>19794</v>
      </c>
      <c r="E1147" t="str">
        <f>"3550800018451"</f>
        <v>0</v>
      </c>
      <c r="F1147" t="str">
        <f>"000980"</f>
        <v>0</v>
      </c>
      <c r="G1147" t="s">
        <v>18359</v>
      </c>
    </row>
    <row r="1148" spans="1:7">
      <c r="A1148">
        <v>1147</v>
      </c>
      <c r="B1148" t="str">
        <f>"012793"</f>
        <v>0</v>
      </c>
      <c r="C1148" t="s">
        <v>19795</v>
      </c>
      <c r="D1148" t="s">
        <v>19796</v>
      </c>
      <c r="E1148" t="str">
        <f>"3550700481290"</f>
        <v>0</v>
      </c>
      <c r="F1148" t="str">
        <f>"000980"</f>
        <v>0</v>
      </c>
      <c r="G1148" t="s">
        <v>18359</v>
      </c>
    </row>
    <row r="1149" spans="1:7">
      <c r="A1149">
        <v>1148</v>
      </c>
      <c r="B1149" t="str">
        <f>"013095"</f>
        <v>0</v>
      </c>
      <c r="C1149" t="s">
        <v>3411</v>
      </c>
      <c r="D1149" t="s">
        <v>19797</v>
      </c>
      <c r="E1149" t="str">
        <f>"3550600289966"</f>
        <v>0</v>
      </c>
      <c r="F1149" t="str">
        <f>"000980"</f>
        <v>0</v>
      </c>
      <c r="G1149" t="s">
        <v>18359</v>
      </c>
    </row>
    <row r="1150" spans="1:7">
      <c r="A1150">
        <v>1149</v>
      </c>
      <c r="B1150" t="str">
        <f>"013096"</f>
        <v>0</v>
      </c>
      <c r="C1150" t="s">
        <v>44</v>
      </c>
      <c r="D1150" t="s">
        <v>19798</v>
      </c>
      <c r="E1150" t="str">
        <f>"3559900129571"</f>
        <v>0</v>
      </c>
      <c r="F1150" t="str">
        <f>"000980"</f>
        <v>0</v>
      </c>
      <c r="G1150" t="s">
        <v>18359</v>
      </c>
    </row>
    <row r="1151" spans="1:7">
      <c r="A1151">
        <v>1150</v>
      </c>
      <c r="B1151" t="str">
        <f>"013264"</f>
        <v>0</v>
      </c>
      <c r="C1151" t="s">
        <v>130</v>
      </c>
      <c r="D1151" t="s">
        <v>19799</v>
      </c>
      <c r="E1151" t="str">
        <f>"3550800013280"</f>
        <v>0</v>
      </c>
      <c r="F1151" t="str">
        <f>"000980"</f>
        <v>0</v>
      </c>
      <c r="G1151" t="s">
        <v>18359</v>
      </c>
    </row>
    <row r="1152" spans="1:7">
      <c r="A1152">
        <v>1151</v>
      </c>
      <c r="B1152" t="str">
        <f>"013562"</f>
        <v>0</v>
      </c>
      <c r="C1152" t="s">
        <v>5247</v>
      </c>
      <c r="D1152" t="s">
        <v>19800</v>
      </c>
      <c r="E1152" t="str">
        <f>"3550600133338"</f>
        <v>0</v>
      </c>
      <c r="F1152" t="str">
        <f>"000980"</f>
        <v>0</v>
      </c>
      <c r="G1152" t="s">
        <v>18359</v>
      </c>
    </row>
    <row r="1153" spans="1:7">
      <c r="A1153">
        <v>1152</v>
      </c>
      <c r="B1153" t="str">
        <f>"013575"</f>
        <v>0</v>
      </c>
      <c r="C1153" t="s">
        <v>13272</v>
      </c>
      <c r="D1153" t="s">
        <v>19801</v>
      </c>
      <c r="E1153" t="str">
        <f>"3559900088034"</f>
        <v>0</v>
      </c>
      <c r="F1153" t="str">
        <f>"000980"</f>
        <v>0</v>
      </c>
      <c r="G1153" t="s">
        <v>18359</v>
      </c>
    </row>
    <row r="1154" spans="1:7">
      <c r="A1154">
        <v>1153</v>
      </c>
      <c r="B1154" t="str">
        <f>"013970"</f>
        <v>0</v>
      </c>
      <c r="C1154" t="s">
        <v>2303</v>
      </c>
      <c r="D1154" t="s">
        <v>19802</v>
      </c>
      <c r="E1154" t="str">
        <f>"3550700051678"</f>
        <v>0</v>
      </c>
      <c r="F1154" t="str">
        <f>"000980"</f>
        <v>0</v>
      </c>
      <c r="G1154" t="s">
        <v>18359</v>
      </c>
    </row>
    <row r="1155" spans="1:7">
      <c r="A1155">
        <v>1154</v>
      </c>
      <c r="B1155" t="str">
        <f>"014032"</f>
        <v>0</v>
      </c>
      <c r="C1155" t="s">
        <v>4305</v>
      </c>
      <c r="D1155" t="s">
        <v>8101</v>
      </c>
      <c r="E1155" t="str">
        <f>"3550100352928"</f>
        <v>0</v>
      </c>
      <c r="F1155" t="str">
        <f>"000980"</f>
        <v>0</v>
      </c>
      <c r="G1155" t="s">
        <v>18359</v>
      </c>
    </row>
    <row r="1156" spans="1:7">
      <c r="A1156">
        <v>1155</v>
      </c>
      <c r="B1156" t="str">
        <f>"014389"</f>
        <v>0</v>
      </c>
      <c r="C1156" t="s">
        <v>3572</v>
      </c>
      <c r="D1156" t="s">
        <v>19772</v>
      </c>
      <c r="E1156" t="str">
        <f>"3559900204956"</f>
        <v>0</v>
      </c>
      <c r="F1156" t="str">
        <f>"000980"</f>
        <v>0</v>
      </c>
      <c r="G1156" t="s">
        <v>18359</v>
      </c>
    </row>
    <row r="1157" spans="1:7">
      <c r="A1157">
        <v>1156</v>
      </c>
      <c r="B1157" t="str">
        <f>"015096"</f>
        <v>0</v>
      </c>
      <c r="C1157" t="s">
        <v>789</v>
      </c>
      <c r="D1157" t="s">
        <v>19803</v>
      </c>
      <c r="E1157" t="str">
        <f>"3550100756492"</f>
        <v>0</v>
      </c>
      <c r="F1157" t="str">
        <f>"000980"</f>
        <v>0</v>
      </c>
      <c r="G1157" t="s">
        <v>18359</v>
      </c>
    </row>
    <row r="1158" spans="1:7">
      <c r="A1158">
        <v>1157</v>
      </c>
      <c r="B1158" t="str">
        <f>"015549"</f>
        <v>0</v>
      </c>
      <c r="C1158" t="s">
        <v>2785</v>
      </c>
      <c r="D1158" t="s">
        <v>10273</v>
      </c>
      <c r="E1158" t="str">
        <f>"3550700192646"</f>
        <v>0</v>
      </c>
      <c r="F1158" t="str">
        <f>"000980"</f>
        <v>0</v>
      </c>
      <c r="G1158" t="s">
        <v>18359</v>
      </c>
    </row>
    <row r="1159" spans="1:7">
      <c r="A1159">
        <v>1158</v>
      </c>
      <c r="B1159" t="str">
        <f>"015575"</f>
        <v>0</v>
      </c>
      <c r="C1159" t="s">
        <v>7166</v>
      </c>
      <c r="D1159" t="s">
        <v>19804</v>
      </c>
      <c r="E1159" t="str">
        <f>"3559900172183"</f>
        <v>0</v>
      </c>
      <c r="F1159" t="str">
        <f>"000980"</f>
        <v>0</v>
      </c>
      <c r="G1159" t="s">
        <v>18359</v>
      </c>
    </row>
    <row r="1160" spans="1:7">
      <c r="A1160">
        <v>1159</v>
      </c>
      <c r="B1160" t="str">
        <f>"015916"</f>
        <v>0</v>
      </c>
      <c r="C1160" t="s">
        <v>6327</v>
      </c>
      <c r="D1160" t="s">
        <v>10379</v>
      </c>
      <c r="E1160" t="str">
        <f>"3550100723004"</f>
        <v>0</v>
      </c>
      <c r="F1160" t="str">
        <f>"000980"</f>
        <v>0</v>
      </c>
      <c r="G1160" t="s">
        <v>18359</v>
      </c>
    </row>
    <row r="1161" spans="1:7">
      <c r="A1161">
        <v>1160</v>
      </c>
      <c r="B1161" t="str">
        <f>"016771"</f>
        <v>0</v>
      </c>
      <c r="C1161" t="s">
        <v>19805</v>
      </c>
      <c r="D1161" t="s">
        <v>19806</v>
      </c>
      <c r="E1161" t="str">
        <f>"3550400108127"</f>
        <v>0</v>
      </c>
      <c r="F1161" t="str">
        <f>"000980"</f>
        <v>0</v>
      </c>
      <c r="G1161" t="s">
        <v>18359</v>
      </c>
    </row>
    <row r="1162" spans="1:7">
      <c r="A1162">
        <v>1161</v>
      </c>
      <c r="B1162" t="str">
        <f>"017519"</f>
        <v>0</v>
      </c>
      <c r="C1162" t="s">
        <v>19807</v>
      </c>
      <c r="D1162" t="s">
        <v>19808</v>
      </c>
      <c r="E1162" t="str">
        <f>"5550700020205"</f>
        <v>0</v>
      </c>
      <c r="F1162" t="str">
        <f>"000980"</f>
        <v>0</v>
      </c>
      <c r="G1162" t="s">
        <v>18359</v>
      </c>
    </row>
    <row r="1163" spans="1:7">
      <c r="A1163">
        <v>1162</v>
      </c>
      <c r="B1163" t="str">
        <f>"017925"</f>
        <v>0</v>
      </c>
      <c r="C1163" t="s">
        <v>421</v>
      </c>
      <c r="D1163" t="s">
        <v>11896</v>
      </c>
      <c r="E1163" t="str">
        <f>"3559900100794"</f>
        <v>0</v>
      </c>
      <c r="F1163" t="str">
        <f>"000980"</f>
        <v>0</v>
      </c>
      <c r="G1163" t="s">
        <v>18359</v>
      </c>
    </row>
    <row r="1164" spans="1:7">
      <c r="A1164">
        <v>1163</v>
      </c>
      <c r="B1164" t="str">
        <f>"017994"</f>
        <v>0</v>
      </c>
      <c r="C1164" t="s">
        <v>15156</v>
      </c>
      <c r="D1164" t="s">
        <v>13537</v>
      </c>
      <c r="E1164" t="str">
        <f>"3550100634389"</f>
        <v>0</v>
      </c>
      <c r="F1164" t="str">
        <f>"000980"</f>
        <v>0</v>
      </c>
      <c r="G1164" t="s">
        <v>18359</v>
      </c>
    </row>
    <row r="1165" spans="1:7">
      <c r="A1165">
        <v>1164</v>
      </c>
      <c r="B1165" t="str">
        <f>"020682"</f>
        <v>0</v>
      </c>
      <c r="C1165" t="s">
        <v>4249</v>
      </c>
      <c r="D1165" t="s">
        <v>19809</v>
      </c>
      <c r="E1165" t="str">
        <f>"3530900028408"</f>
        <v>0</v>
      </c>
      <c r="F1165" t="str">
        <f>"000980"</f>
        <v>0</v>
      </c>
      <c r="G1165" t="s">
        <v>18359</v>
      </c>
    </row>
    <row r="1166" spans="1:7">
      <c r="A1166">
        <v>1165</v>
      </c>
      <c r="B1166" t="str">
        <f>"027296"</f>
        <v>0</v>
      </c>
      <c r="C1166" t="s">
        <v>44</v>
      </c>
      <c r="D1166" t="s">
        <v>10544</v>
      </c>
      <c r="E1166" t="str">
        <f>"3559900162242"</f>
        <v>0</v>
      </c>
      <c r="F1166" t="str">
        <f>"000980"</f>
        <v>0</v>
      </c>
      <c r="G1166" t="s">
        <v>18359</v>
      </c>
    </row>
    <row r="1167" spans="1:7">
      <c r="A1167">
        <v>1166</v>
      </c>
      <c r="B1167" t="str">
        <f>"024879"</f>
        <v>0</v>
      </c>
      <c r="C1167" t="s">
        <v>12925</v>
      </c>
      <c r="D1167" t="s">
        <v>19810</v>
      </c>
      <c r="E1167" t="str">
        <f>"3550700121391"</f>
        <v>0</v>
      </c>
      <c r="F1167" t="str">
        <f>"000980"</f>
        <v>0</v>
      </c>
      <c r="G1167" t="s">
        <v>18359</v>
      </c>
    </row>
    <row r="1168" spans="1:7">
      <c r="A1168">
        <v>1167</v>
      </c>
      <c r="B1168" t="str">
        <f>"025912"</f>
        <v>0</v>
      </c>
      <c r="C1168" t="s">
        <v>1317</v>
      </c>
      <c r="D1168" t="s">
        <v>15819</v>
      </c>
      <c r="E1168" t="str">
        <f>"1509900458544"</f>
        <v>0</v>
      </c>
      <c r="F1168" t="str">
        <f>"000980"</f>
        <v>0</v>
      </c>
      <c r="G1168" t="s">
        <v>18359</v>
      </c>
    </row>
    <row r="1169" spans="1:7">
      <c r="A1169">
        <v>1168</v>
      </c>
      <c r="B1169" t="str">
        <f>"015488"</f>
        <v>0</v>
      </c>
      <c r="C1169" t="s">
        <v>19811</v>
      </c>
      <c r="D1169" t="s">
        <v>10514</v>
      </c>
      <c r="E1169" t="str">
        <f>"3510101354843"</f>
        <v>0</v>
      </c>
      <c r="F1169" t="str">
        <f>"000980"</f>
        <v>0</v>
      </c>
      <c r="G1169" t="s">
        <v>18359</v>
      </c>
    </row>
    <row r="1170" spans="1:7">
      <c r="A1170">
        <v>1169</v>
      </c>
      <c r="B1170" t="str">
        <f>"021180"</f>
        <v>0</v>
      </c>
      <c r="C1170" t="s">
        <v>19812</v>
      </c>
      <c r="D1170" t="s">
        <v>8274</v>
      </c>
      <c r="E1170" t="str">
        <f>"3550300072848"</f>
        <v>0</v>
      </c>
      <c r="F1170" t="str">
        <f>"000980"</f>
        <v>0</v>
      </c>
      <c r="G1170" t="s">
        <v>18359</v>
      </c>
    </row>
    <row r="1171" spans="1:7">
      <c r="A1171">
        <v>1170</v>
      </c>
      <c r="B1171" t="str">
        <f>"022509"</f>
        <v>0</v>
      </c>
      <c r="C1171" t="s">
        <v>19813</v>
      </c>
      <c r="D1171" t="s">
        <v>6793</v>
      </c>
      <c r="E1171" t="str">
        <f>"1559900048966"</f>
        <v>0</v>
      </c>
      <c r="F1171" t="str">
        <f>"000980"</f>
        <v>0</v>
      </c>
      <c r="G1171" t="s">
        <v>18359</v>
      </c>
    </row>
    <row r="1172" spans="1:7">
      <c r="A1172">
        <v>1171</v>
      </c>
      <c r="B1172" t="str">
        <f>"022651"</f>
        <v>0</v>
      </c>
      <c r="C1172" t="s">
        <v>19814</v>
      </c>
      <c r="D1172" t="s">
        <v>19815</v>
      </c>
      <c r="E1172" t="str">
        <f>"3550100441777"</f>
        <v>0</v>
      </c>
      <c r="F1172" t="str">
        <f>"000980"</f>
        <v>0</v>
      </c>
      <c r="G1172" t="s">
        <v>18359</v>
      </c>
    </row>
    <row r="1173" spans="1:7">
      <c r="A1173">
        <v>1172</v>
      </c>
      <c r="B1173" t="str">
        <f>"022964"</f>
        <v>0</v>
      </c>
      <c r="C1173" t="s">
        <v>19816</v>
      </c>
      <c r="D1173" t="s">
        <v>19817</v>
      </c>
      <c r="E1173" t="str">
        <f>"3550100022669"</f>
        <v>0</v>
      </c>
      <c r="F1173" t="str">
        <f>"000980"</f>
        <v>0</v>
      </c>
      <c r="G1173" t="s">
        <v>18359</v>
      </c>
    </row>
    <row r="1174" spans="1:7">
      <c r="A1174">
        <v>1173</v>
      </c>
      <c r="B1174" t="str">
        <f>"023383"</f>
        <v>0</v>
      </c>
      <c r="C1174" t="s">
        <v>4020</v>
      </c>
      <c r="D1174" t="s">
        <v>1312</v>
      </c>
      <c r="E1174" t="str">
        <f>"3550300018916"</f>
        <v>0</v>
      </c>
      <c r="F1174" t="str">
        <f>"000980"</f>
        <v>0</v>
      </c>
      <c r="G1174" t="s">
        <v>18359</v>
      </c>
    </row>
    <row r="1175" spans="1:7">
      <c r="A1175">
        <v>1174</v>
      </c>
      <c r="B1175" t="str">
        <f>"024021"</f>
        <v>0</v>
      </c>
      <c r="C1175" t="s">
        <v>494</v>
      </c>
      <c r="D1175" t="s">
        <v>19818</v>
      </c>
      <c r="E1175" t="str">
        <f>"1551000031687"</f>
        <v>0</v>
      </c>
      <c r="F1175" t="str">
        <f>"000980"</f>
        <v>0</v>
      </c>
      <c r="G1175" t="s">
        <v>18359</v>
      </c>
    </row>
    <row r="1176" spans="1:7">
      <c r="A1176">
        <v>1175</v>
      </c>
      <c r="B1176" t="str">
        <f>"025238"</f>
        <v>0</v>
      </c>
      <c r="C1176" t="s">
        <v>19819</v>
      </c>
      <c r="D1176" t="s">
        <v>19820</v>
      </c>
      <c r="E1176" t="str">
        <f>"5550100004217"</f>
        <v>0</v>
      </c>
      <c r="F1176" t="str">
        <f>"000980"</f>
        <v>0</v>
      </c>
      <c r="G1176" t="s">
        <v>18359</v>
      </c>
    </row>
    <row r="1177" spans="1:7">
      <c r="A1177">
        <v>1176</v>
      </c>
      <c r="B1177" t="str">
        <f>"025505"</f>
        <v>0</v>
      </c>
      <c r="C1177" t="s">
        <v>19821</v>
      </c>
      <c r="D1177" t="s">
        <v>19822</v>
      </c>
      <c r="E1177" t="str">
        <f>"1559900115264"</f>
        <v>0</v>
      </c>
      <c r="F1177" t="str">
        <f>"000980"</f>
        <v>0</v>
      </c>
      <c r="G1177" t="s">
        <v>18359</v>
      </c>
    </row>
    <row r="1178" spans="1:7">
      <c r="A1178">
        <v>1177</v>
      </c>
      <c r="B1178" t="str">
        <f>"025589"</f>
        <v>0</v>
      </c>
      <c r="C1178" t="s">
        <v>2305</v>
      </c>
      <c r="D1178" t="s">
        <v>19823</v>
      </c>
      <c r="E1178" t="str">
        <f>"1550900063100"</f>
        <v>0</v>
      </c>
      <c r="F1178" t="str">
        <f>"000980"</f>
        <v>0</v>
      </c>
      <c r="G1178" t="s">
        <v>18359</v>
      </c>
    </row>
    <row r="1179" spans="1:7">
      <c r="A1179">
        <v>1178</v>
      </c>
      <c r="B1179" t="str">
        <f>"025911"</f>
        <v>0</v>
      </c>
      <c r="C1179" t="s">
        <v>3967</v>
      </c>
      <c r="D1179" t="s">
        <v>19824</v>
      </c>
      <c r="E1179" t="str">
        <f>"1559990001026"</f>
        <v>0</v>
      </c>
      <c r="F1179" t="str">
        <f>"000980"</f>
        <v>0</v>
      </c>
      <c r="G1179" t="s">
        <v>18359</v>
      </c>
    </row>
    <row r="1180" spans="1:7">
      <c r="A1180">
        <v>1179</v>
      </c>
      <c r="B1180" t="str">
        <f>"026034"</f>
        <v>0</v>
      </c>
      <c r="C1180" t="s">
        <v>19825</v>
      </c>
      <c r="D1180" t="s">
        <v>19826</v>
      </c>
      <c r="E1180" t="str">
        <f>"1550500030107"</f>
        <v>0</v>
      </c>
      <c r="F1180" t="str">
        <f>"000980"</f>
        <v>0</v>
      </c>
      <c r="G1180" t="s">
        <v>18359</v>
      </c>
    </row>
    <row r="1181" spans="1:7">
      <c r="A1181">
        <v>1180</v>
      </c>
      <c r="B1181" t="str">
        <f>"026142"</f>
        <v>0</v>
      </c>
      <c r="C1181" t="s">
        <v>3957</v>
      </c>
      <c r="D1181" t="s">
        <v>19827</v>
      </c>
      <c r="E1181" t="str">
        <f>"1559900249503"</f>
        <v>0</v>
      </c>
      <c r="F1181" t="str">
        <f>"000980"</f>
        <v>0</v>
      </c>
      <c r="G1181" t="s">
        <v>18359</v>
      </c>
    </row>
    <row r="1182" spans="1:7">
      <c r="A1182">
        <v>1181</v>
      </c>
      <c r="B1182" t="str">
        <f>"026143"</f>
        <v>0</v>
      </c>
      <c r="C1182" t="s">
        <v>1335</v>
      </c>
      <c r="D1182" t="s">
        <v>19828</v>
      </c>
      <c r="E1182" t="str">
        <f>"1559900231370"</f>
        <v>0</v>
      </c>
      <c r="F1182" t="str">
        <f>"000980"</f>
        <v>0</v>
      </c>
      <c r="G1182" t="s">
        <v>18359</v>
      </c>
    </row>
    <row r="1183" spans="1:7">
      <c r="A1183">
        <v>1182</v>
      </c>
      <c r="B1183" t="str">
        <f>"026144"</f>
        <v>0</v>
      </c>
      <c r="C1183" t="s">
        <v>19829</v>
      </c>
      <c r="D1183" t="s">
        <v>19830</v>
      </c>
      <c r="E1183" t="str">
        <f>"1550500109935"</f>
        <v>0</v>
      </c>
      <c r="F1183" t="str">
        <f>"000980"</f>
        <v>0</v>
      </c>
      <c r="G1183" t="s">
        <v>18359</v>
      </c>
    </row>
    <row r="1184" spans="1:7">
      <c r="A1184">
        <v>1183</v>
      </c>
      <c r="B1184" t="str">
        <f>"026502"</f>
        <v>0</v>
      </c>
      <c r="C1184" t="s">
        <v>19831</v>
      </c>
      <c r="D1184" t="s">
        <v>19832</v>
      </c>
      <c r="E1184" t="str">
        <f>"1550400008371"</f>
        <v>0</v>
      </c>
      <c r="F1184" t="str">
        <f>"000980"</f>
        <v>0</v>
      </c>
      <c r="G1184" t="s">
        <v>18359</v>
      </c>
    </row>
    <row r="1185" spans="1:7">
      <c r="A1185">
        <v>1184</v>
      </c>
      <c r="B1185" t="str">
        <f>"027365"</f>
        <v>0</v>
      </c>
      <c r="C1185" t="s">
        <v>909</v>
      </c>
      <c r="D1185" t="s">
        <v>19833</v>
      </c>
      <c r="E1185" t="str">
        <f>"1559900134722"</f>
        <v>0</v>
      </c>
      <c r="F1185" t="str">
        <f>"000980"</f>
        <v>0</v>
      </c>
      <c r="G1185" t="s">
        <v>18359</v>
      </c>
    </row>
    <row r="1186" spans="1:7">
      <c r="A1186">
        <v>1185</v>
      </c>
      <c r="B1186" t="str">
        <f>"023657"</f>
        <v>0</v>
      </c>
      <c r="C1186" t="s">
        <v>4607</v>
      </c>
      <c r="D1186" t="s">
        <v>19834</v>
      </c>
      <c r="E1186" t="str">
        <f>"3560300710496"</f>
        <v>0</v>
      </c>
      <c r="F1186" t="str">
        <f>"000980"</f>
        <v>0</v>
      </c>
      <c r="G1186" t="s">
        <v>18359</v>
      </c>
    </row>
    <row r="1187" spans="1:7">
      <c r="A1187">
        <v>1186</v>
      </c>
      <c r="B1187" t="str">
        <f>"025606"</f>
        <v>0</v>
      </c>
      <c r="C1187" t="s">
        <v>19835</v>
      </c>
      <c r="D1187" t="s">
        <v>19836</v>
      </c>
      <c r="E1187" t="str">
        <f>"1560100165561"</f>
        <v>0</v>
      </c>
      <c r="F1187" t="str">
        <f>"000980"</f>
        <v>0</v>
      </c>
      <c r="G1187" t="s">
        <v>18359</v>
      </c>
    </row>
    <row r="1188" spans="1:7">
      <c r="A1188">
        <v>1187</v>
      </c>
      <c r="B1188" t="str">
        <f>"026717"</f>
        <v>0</v>
      </c>
      <c r="C1188" t="s">
        <v>1806</v>
      </c>
      <c r="D1188" t="s">
        <v>19837</v>
      </c>
      <c r="E1188" t="str">
        <f>"3560700084886"</f>
        <v>0</v>
      </c>
      <c r="F1188" t="str">
        <f>"000980"</f>
        <v>0</v>
      </c>
      <c r="G1188" t="s">
        <v>18359</v>
      </c>
    </row>
    <row r="1189" spans="1:7">
      <c r="A1189">
        <v>1188</v>
      </c>
      <c r="B1189" t="str">
        <f>"027363"</f>
        <v>0</v>
      </c>
      <c r="C1189" t="s">
        <v>19838</v>
      </c>
      <c r="D1189" t="s">
        <v>13495</v>
      </c>
      <c r="E1189" t="str">
        <f>"1560100349084"</f>
        <v>0</v>
      </c>
      <c r="F1189" t="str">
        <f>"000980"</f>
        <v>0</v>
      </c>
      <c r="G1189" t="s">
        <v>18359</v>
      </c>
    </row>
    <row r="1190" spans="1:7">
      <c r="A1190">
        <v>1189</v>
      </c>
      <c r="B1190" t="str">
        <f>"026721"</f>
        <v>0</v>
      </c>
      <c r="C1190" t="s">
        <v>5549</v>
      </c>
      <c r="D1190" t="s">
        <v>16936</v>
      </c>
      <c r="E1190" t="str">
        <f>"1570400009131"</f>
        <v>0</v>
      </c>
      <c r="F1190" t="str">
        <f>"000980"</f>
        <v>0</v>
      </c>
      <c r="G1190" t="s">
        <v>18359</v>
      </c>
    </row>
    <row r="1191" spans="1:7">
      <c r="A1191">
        <v>1190</v>
      </c>
      <c r="B1191" t="str">
        <f>"027368"</f>
        <v>0</v>
      </c>
      <c r="C1191" t="s">
        <v>4182</v>
      </c>
      <c r="D1191" t="s">
        <v>19839</v>
      </c>
      <c r="E1191" t="str">
        <f>"1589900005949"</f>
        <v>0</v>
      </c>
      <c r="F1191" t="str">
        <f>"000980"</f>
        <v>0</v>
      </c>
      <c r="G1191" t="s">
        <v>18359</v>
      </c>
    </row>
    <row r="1192" spans="1:7">
      <c r="A1192">
        <v>1191</v>
      </c>
      <c r="B1192" t="str">
        <f>"015708"</f>
        <v>0</v>
      </c>
      <c r="C1192" t="s">
        <v>684</v>
      </c>
      <c r="D1192" t="s">
        <v>19840</v>
      </c>
      <c r="E1192" t="str">
        <f>"3559900023439"</f>
        <v>0</v>
      </c>
      <c r="F1192" t="str">
        <f>"000980"</f>
        <v>0</v>
      </c>
      <c r="G1192" t="s">
        <v>18359</v>
      </c>
    </row>
    <row r="1193" spans="1:7">
      <c r="A1193">
        <v>1192</v>
      </c>
      <c r="B1193" t="str">
        <f>"009155"</f>
        <v>0</v>
      </c>
      <c r="C1193" t="s">
        <v>1804</v>
      </c>
      <c r="D1193" t="s">
        <v>19841</v>
      </c>
      <c r="E1193" t="str">
        <f>"3960100279208"</f>
        <v>0</v>
      </c>
      <c r="F1193" t="str">
        <f>"001010"</f>
        <v>0</v>
      </c>
      <c r="G1193" t="s">
        <v>18359</v>
      </c>
    </row>
    <row r="1194" spans="1:7">
      <c r="A1194">
        <v>1193</v>
      </c>
      <c r="B1194" t="str">
        <f>"013517"</f>
        <v>0</v>
      </c>
      <c r="C1194" t="s">
        <v>19842</v>
      </c>
      <c r="D1194" t="s">
        <v>5989</v>
      </c>
      <c r="E1194" t="str">
        <f>"3470700056883"</f>
        <v>0</v>
      </c>
      <c r="F1194" t="str">
        <f>"001010"</f>
        <v>0</v>
      </c>
      <c r="G1194" t="s">
        <v>18359</v>
      </c>
    </row>
    <row r="1195" spans="1:7">
      <c r="A1195">
        <v>1194</v>
      </c>
      <c r="B1195" t="str">
        <f>"021085"</f>
        <v>0</v>
      </c>
      <c r="C1195" t="s">
        <v>19843</v>
      </c>
      <c r="D1195" t="s">
        <v>19844</v>
      </c>
      <c r="E1195" t="str">
        <f>"1969800007083"</f>
        <v>0</v>
      </c>
      <c r="F1195" t="str">
        <f>"001010"</f>
        <v>0</v>
      </c>
      <c r="G1195" t="s">
        <v>18359</v>
      </c>
    </row>
    <row r="1196" spans="1:7">
      <c r="A1196">
        <v>1195</v>
      </c>
      <c r="B1196" t="str">
        <f>"026580"</f>
        <v>0</v>
      </c>
      <c r="C1196" t="s">
        <v>19845</v>
      </c>
      <c r="D1196" t="s">
        <v>19846</v>
      </c>
      <c r="E1196" t="str">
        <f>"1219900133354"</f>
        <v>0</v>
      </c>
      <c r="F1196" t="str">
        <f>"001010"</f>
        <v>0</v>
      </c>
      <c r="G1196" t="s">
        <v>18359</v>
      </c>
    </row>
    <row r="1197" spans="1:7">
      <c r="A1197">
        <v>1196</v>
      </c>
      <c r="B1197" t="str">
        <f>"026891"</f>
        <v>0</v>
      </c>
      <c r="C1197" t="s">
        <v>19847</v>
      </c>
      <c r="D1197" t="s">
        <v>667</v>
      </c>
      <c r="E1197" t="str">
        <f>"3900200087939"</f>
        <v>0</v>
      </c>
      <c r="F1197" t="str">
        <f>"001010"</f>
        <v>0</v>
      </c>
      <c r="G1197" t="s">
        <v>18359</v>
      </c>
    </row>
    <row r="1198" spans="1:7">
      <c r="A1198">
        <v>1197</v>
      </c>
      <c r="B1198" t="str">
        <f>"026993"</f>
        <v>0</v>
      </c>
      <c r="C1198" t="s">
        <v>4791</v>
      </c>
      <c r="D1198" t="s">
        <v>14245</v>
      </c>
      <c r="E1198" t="str">
        <f>"1909900261852"</f>
        <v>0</v>
      </c>
      <c r="F1198" t="str">
        <f>"001010"</f>
        <v>0</v>
      </c>
      <c r="G1198" t="s">
        <v>18359</v>
      </c>
    </row>
    <row r="1199" spans="1:7">
      <c r="A1199">
        <v>1198</v>
      </c>
      <c r="B1199" t="str">
        <f>"026352"</f>
        <v>0</v>
      </c>
      <c r="C1199" t="s">
        <v>19848</v>
      </c>
      <c r="D1199" t="s">
        <v>19849</v>
      </c>
      <c r="E1199" t="str">
        <f>"1910500100641"</f>
        <v>0</v>
      </c>
      <c r="F1199" t="str">
        <f>"001010"</f>
        <v>0</v>
      </c>
      <c r="G1199" t="s">
        <v>18359</v>
      </c>
    </row>
    <row r="1200" spans="1:7">
      <c r="A1200">
        <v>1199</v>
      </c>
      <c r="B1200" t="str">
        <f>"024263"</f>
        <v>0</v>
      </c>
      <c r="C1200" t="s">
        <v>19850</v>
      </c>
      <c r="D1200" t="s">
        <v>19851</v>
      </c>
      <c r="E1200" t="str">
        <f>"3940800027082"</f>
        <v>0</v>
      </c>
      <c r="F1200" t="str">
        <f>"001010"</f>
        <v>0</v>
      </c>
      <c r="G1200" t="s">
        <v>18359</v>
      </c>
    </row>
    <row r="1201" spans="1:7">
      <c r="A1201">
        <v>1200</v>
      </c>
      <c r="B1201" t="str">
        <f>"011933"</f>
        <v>0</v>
      </c>
      <c r="C1201" t="s">
        <v>4577</v>
      </c>
      <c r="D1201" t="s">
        <v>19852</v>
      </c>
      <c r="E1201" t="str">
        <f>"3801100384119"</f>
        <v>0</v>
      </c>
      <c r="F1201" t="str">
        <f>"001010"</f>
        <v>0</v>
      </c>
      <c r="G1201" t="s">
        <v>18359</v>
      </c>
    </row>
    <row r="1202" spans="1:7">
      <c r="A1202">
        <v>1201</v>
      </c>
      <c r="B1202" t="str">
        <f>"021658"</f>
        <v>0</v>
      </c>
      <c r="C1202" t="s">
        <v>19853</v>
      </c>
      <c r="D1202" t="s">
        <v>19854</v>
      </c>
      <c r="E1202" t="str">
        <f>"5969999003152"</f>
        <v>0</v>
      </c>
      <c r="F1202" t="str">
        <f>"001010"</f>
        <v>0</v>
      </c>
      <c r="G1202" t="s">
        <v>18359</v>
      </c>
    </row>
    <row r="1203" spans="1:7">
      <c r="A1203">
        <v>1202</v>
      </c>
      <c r="B1203" t="str">
        <f>"023697"</f>
        <v>0</v>
      </c>
      <c r="C1203" t="s">
        <v>8655</v>
      </c>
      <c r="D1203" t="s">
        <v>19855</v>
      </c>
      <c r="E1203" t="str">
        <f>"3961100313202"</f>
        <v>0</v>
      </c>
      <c r="F1203" t="str">
        <f>"001010"</f>
        <v>0</v>
      </c>
      <c r="G1203" t="s">
        <v>18359</v>
      </c>
    </row>
    <row r="1204" spans="1:7">
      <c r="A1204">
        <v>1203</v>
      </c>
      <c r="B1204" t="str">
        <f>"024350"</f>
        <v>0</v>
      </c>
      <c r="C1204" t="s">
        <v>19856</v>
      </c>
      <c r="D1204" t="s">
        <v>19857</v>
      </c>
      <c r="E1204" t="str">
        <f>"1960200003151"</f>
        <v>0</v>
      </c>
      <c r="F1204" t="str">
        <f>"001010"</f>
        <v>0</v>
      </c>
      <c r="G1204" t="s">
        <v>18359</v>
      </c>
    </row>
    <row r="1205" spans="1:7">
      <c r="A1205">
        <v>1204</v>
      </c>
      <c r="B1205" t="str">
        <f>"025280"</f>
        <v>0</v>
      </c>
      <c r="C1205" t="s">
        <v>18218</v>
      </c>
      <c r="D1205" t="s">
        <v>6143</v>
      </c>
      <c r="E1205" t="str">
        <f>"3969900201228"</f>
        <v>0</v>
      </c>
      <c r="F1205" t="str">
        <f>"001010"</f>
        <v>0</v>
      </c>
      <c r="G1205" t="s">
        <v>18359</v>
      </c>
    </row>
    <row r="1206" spans="1:7">
      <c r="A1206">
        <v>1205</v>
      </c>
      <c r="B1206" t="str">
        <f>"005102"</f>
        <v>0</v>
      </c>
      <c r="C1206" t="s">
        <v>19858</v>
      </c>
      <c r="D1206" t="s">
        <v>19859</v>
      </c>
      <c r="E1206" t="str">
        <f>"3319900151960"</f>
        <v>0</v>
      </c>
      <c r="F1206" t="str">
        <f>"001020"</f>
        <v>0</v>
      </c>
      <c r="G1206" t="s">
        <v>18359</v>
      </c>
    </row>
    <row r="1207" spans="1:7">
      <c r="A1207">
        <v>1206</v>
      </c>
      <c r="B1207" t="str">
        <f>"006209"</f>
        <v>0</v>
      </c>
      <c r="C1207" t="s">
        <v>5390</v>
      </c>
      <c r="D1207" t="s">
        <v>19860</v>
      </c>
      <c r="E1207" t="str">
        <f>"5310300045539"</f>
        <v>0</v>
      </c>
      <c r="F1207" t="str">
        <f>"001020"</f>
        <v>0</v>
      </c>
      <c r="G1207" t="s">
        <v>18359</v>
      </c>
    </row>
    <row r="1208" spans="1:7">
      <c r="A1208">
        <v>1207</v>
      </c>
      <c r="B1208" t="str">
        <f>"006836"</f>
        <v>0</v>
      </c>
      <c r="C1208" t="s">
        <v>19861</v>
      </c>
      <c r="D1208" t="s">
        <v>10897</v>
      </c>
      <c r="E1208" t="str">
        <f>"3310900578655"</f>
        <v>0</v>
      </c>
      <c r="F1208" t="str">
        <f>"001020"</f>
        <v>0</v>
      </c>
      <c r="G1208" t="s">
        <v>18359</v>
      </c>
    </row>
    <row r="1209" spans="1:7">
      <c r="A1209">
        <v>1208</v>
      </c>
      <c r="B1209" t="str">
        <f>"007407"</f>
        <v>0</v>
      </c>
      <c r="C1209" t="s">
        <v>449</v>
      </c>
      <c r="D1209" t="s">
        <v>19862</v>
      </c>
      <c r="E1209" t="str">
        <f>"5310900001842"</f>
        <v>0</v>
      </c>
      <c r="F1209" t="str">
        <f>"001020"</f>
        <v>0</v>
      </c>
      <c r="G1209" t="s">
        <v>18359</v>
      </c>
    </row>
    <row r="1210" spans="1:7">
      <c r="A1210">
        <v>1209</v>
      </c>
      <c r="B1210" t="str">
        <f>"007427"</f>
        <v>0</v>
      </c>
      <c r="C1210" t="s">
        <v>19863</v>
      </c>
      <c r="D1210" t="s">
        <v>19864</v>
      </c>
      <c r="E1210" t="str">
        <f>"3479900234783"</f>
        <v>0</v>
      </c>
      <c r="F1210" t="str">
        <f>"001020"</f>
        <v>0</v>
      </c>
      <c r="G1210" t="s">
        <v>18359</v>
      </c>
    </row>
    <row r="1211" spans="1:7">
      <c r="A1211">
        <v>1210</v>
      </c>
      <c r="B1211" t="str">
        <f>"007457"</f>
        <v>0</v>
      </c>
      <c r="C1211" t="s">
        <v>19865</v>
      </c>
      <c r="D1211" t="s">
        <v>8526</v>
      </c>
      <c r="E1211" t="str">
        <f>"3319900042338"</f>
        <v>0</v>
      </c>
      <c r="F1211" t="str">
        <f>"001020"</f>
        <v>0</v>
      </c>
      <c r="G1211" t="s">
        <v>18359</v>
      </c>
    </row>
    <row r="1212" spans="1:7">
      <c r="A1212">
        <v>1211</v>
      </c>
      <c r="B1212" t="str">
        <f>"007494"</f>
        <v>0</v>
      </c>
      <c r="C1212" t="s">
        <v>2303</v>
      </c>
      <c r="D1212" t="s">
        <v>19866</v>
      </c>
      <c r="E1212" t="str">
        <f>"5311000071021"</f>
        <v>0</v>
      </c>
      <c r="F1212" t="str">
        <f>"001020"</f>
        <v>0</v>
      </c>
      <c r="G1212" t="s">
        <v>18359</v>
      </c>
    </row>
    <row r="1213" spans="1:7">
      <c r="A1213">
        <v>1212</v>
      </c>
      <c r="B1213" t="str">
        <f>"007565"</f>
        <v>0</v>
      </c>
      <c r="C1213" t="s">
        <v>1408</v>
      </c>
      <c r="D1213" t="s">
        <v>8505</v>
      </c>
      <c r="E1213" t="str">
        <f>"3310700064127"</f>
        <v>0</v>
      </c>
      <c r="F1213" t="str">
        <f>"001020"</f>
        <v>0</v>
      </c>
      <c r="G1213" t="s">
        <v>18359</v>
      </c>
    </row>
    <row r="1214" spans="1:7">
      <c r="A1214">
        <v>1213</v>
      </c>
      <c r="B1214" t="str">
        <f>"007567"</f>
        <v>0</v>
      </c>
      <c r="C1214" t="s">
        <v>19867</v>
      </c>
      <c r="D1214" t="s">
        <v>19868</v>
      </c>
      <c r="E1214" t="str">
        <f>"3310300761815"</f>
        <v>0</v>
      </c>
      <c r="F1214" t="str">
        <f>"001020"</f>
        <v>0</v>
      </c>
      <c r="G1214" t="s">
        <v>18359</v>
      </c>
    </row>
    <row r="1215" spans="1:7">
      <c r="A1215">
        <v>1214</v>
      </c>
      <c r="B1215" t="str">
        <f>"007573"</f>
        <v>0</v>
      </c>
      <c r="C1215" t="s">
        <v>19869</v>
      </c>
      <c r="D1215" t="s">
        <v>19864</v>
      </c>
      <c r="E1215" t="str">
        <f>"3310200238886"</f>
        <v>0</v>
      </c>
      <c r="F1215" t="str">
        <f>"001020"</f>
        <v>0</v>
      </c>
      <c r="G1215" t="s">
        <v>18359</v>
      </c>
    </row>
    <row r="1216" spans="1:7">
      <c r="A1216">
        <v>1215</v>
      </c>
      <c r="B1216" t="str">
        <f>"008270"</f>
        <v>0</v>
      </c>
      <c r="C1216" t="s">
        <v>881</v>
      </c>
      <c r="D1216" t="s">
        <v>19870</v>
      </c>
      <c r="E1216" t="str">
        <f>"3310600054235"</f>
        <v>0</v>
      </c>
      <c r="F1216" t="str">
        <f>"001020"</f>
        <v>0</v>
      </c>
      <c r="G1216" t="s">
        <v>18359</v>
      </c>
    </row>
    <row r="1217" spans="1:7">
      <c r="A1217">
        <v>1216</v>
      </c>
      <c r="B1217" t="str">
        <f>"008685"</f>
        <v>0</v>
      </c>
      <c r="C1217" t="s">
        <v>19871</v>
      </c>
      <c r="D1217" t="s">
        <v>19872</v>
      </c>
      <c r="E1217" t="str">
        <f>"3310400103976"</f>
        <v>0</v>
      </c>
      <c r="F1217" t="str">
        <f>"001020"</f>
        <v>0</v>
      </c>
      <c r="G1217" t="s">
        <v>18359</v>
      </c>
    </row>
    <row r="1218" spans="1:7">
      <c r="A1218">
        <v>1217</v>
      </c>
      <c r="B1218" t="str">
        <f>"009521"</f>
        <v>0</v>
      </c>
      <c r="C1218" t="s">
        <v>2262</v>
      </c>
      <c r="D1218" t="s">
        <v>19873</v>
      </c>
      <c r="E1218" t="str">
        <f>"3320300665581"</f>
        <v>0</v>
      </c>
      <c r="F1218" t="str">
        <f>"001020"</f>
        <v>0</v>
      </c>
      <c r="G1218" t="s">
        <v>18359</v>
      </c>
    </row>
    <row r="1219" spans="1:7">
      <c r="A1219">
        <v>1218</v>
      </c>
      <c r="B1219" t="str">
        <f>"009704"</f>
        <v>0</v>
      </c>
      <c r="C1219" t="s">
        <v>4614</v>
      </c>
      <c r="D1219" t="s">
        <v>19874</v>
      </c>
      <c r="E1219" t="str">
        <f>"3310400166129"</f>
        <v>0</v>
      </c>
      <c r="F1219" t="str">
        <f>"001020"</f>
        <v>0</v>
      </c>
      <c r="G1219" t="s">
        <v>18359</v>
      </c>
    </row>
    <row r="1220" spans="1:7">
      <c r="A1220">
        <v>1219</v>
      </c>
      <c r="B1220" t="str">
        <f>"009970"</f>
        <v>0</v>
      </c>
      <c r="C1220" t="s">
        <v>5303</v>
      </c>
      <c r="D1220" t="s">
        <v>424</v>
      </c>
      <c r="E1220" t="str">
        <f>"4310600004996"</f>
        <v>0</v>
      </c>
      <c r="F1220" t="str">
        <f>"001020"</f>
        <v>0</v>
      </c>
      <c r="G1220" t="s">
        <v>18359</v>
      </c>
    </row>
    <row r="1221" spans="1:7">
      <c r="A1221">
        <v>1220</v>
      </c>
      <c r="B1221" t="str">
        <f>"010310"</f>
        <v>0</v>
      </c>
      <c r="C1221" t="s">
        <v>7350</v>
      </c>
      <c r="D1221" t="s">
        <v>19875</v>
      </c>
      <c r="E1221" t="str">
        <f>"3319900182091"</f>
        <v>0</v>
      </c>
      <c r="F1221" t="str">
        <f>"001020"</f>
        <v>0</v>
      </c>
      <c r="G1221" t="s">
        <v>18359</v>
      </c>
    </row>
    <row r="1222" spans="1:7">
      <c r="A1222">
        <v>1221</v>
      </c>
      <c r="B1222" t="str">
        <f>"011885"</f>
        <v>0</v>
      </c>
      <c r="C1222" t="s">
        <v>822</v>
      </c>
      <c r="D1222" t="s">
        <v>19876</v>
      </c>
      <c r="E1222" t="str">
        <f>"3310600019456"</f>
        <v>0</v>
      </c>
      <c r="F1222" t="str">
        <f>"001020"</f>
        <v>0</v>
      </c>
      <c r="G1222" t="s">
        <v>18359</v>
      </c>
    </row>
    <row r="1223" spans="1:7">
      <c r="A1223">
        <v>1222</v>
      </c>
      <c r="B1223" t="str">
        <f>"011985"</f>
        <v>0</v>
      </c>
      <c r="C1223" t="s">
        <v>4928</v>
      </c>
      <c r="D1223" t="s">
        <v>19877</v>
      </c>
      <c r="E1223" t="str">
        <f>"3319900041480"</f>
        <v>0</v>
      </c>
      <c r="F1223" t="str">
        <f>"001020"</f>
        <v>0</v>
      </c>
      <c r="G1223" t="s">
        <v>18359</v>
      </c>
    </row>
    <row r="1224" spans="1:7">
      <c r="A1224">
        <v>1223</v>
      </c>
      <c r="B1224" t="str">
        <f>"011986"</f>
        <v>0</v>
      </c>
      <c r="C1224" t="s">
        <v>19878</v>
      </c>
      <c r="D1224" t="s">
        <v>19879</v>
      </c>
      <c r="E1224" t="str">
        <f>"3309900112425"</f>
        <v>0</v>
      </c>
      <c r="F1224" t="str">
        <f>"001020"</f>
        <v>0</v>
      </c>
      <c r="G1224" t="s">
        <v>18359</v>
      </c>
    </row>
    <row r="1225" spans="1:7">
      <c r="A1225">
        <v>1224</v>
      </c>
      <c r="B1225" t="str">
        <f>"016648"</f>
        <v>0</v>
      </c>
      <c r="C1225" t="s">
        <v>4435</v>
      </c>
      <c r="D1225" t="s">
        <v>19880</v>
      </c>
      <c r="E1225" t="str">
        <f>"3311100887913"</f>
        <v>0</v>
      </c>
      <c r="F1225" t="str">
        <f>"001020"</f>
        <v>0</v>
      </c>
      <c r="G1225" t="s">
        <v>18359</v>
      </c>
    </row>
    <row r="1226" spans="1:7">
      <c r="A1226">
        <v>1225</v>
      </c>
      <c r="B1226" t="str">
        <f>"018122"</f>
        <v>0</v>
      </c>
      <c r="C1226" t="s">
        <v>16093</v>
      </c>
      <c r="D1226" t="s">
        <v>8479</v>
      </c>
      <c r="E1226" t="str">
        <f>"3311000928821"</f>
        <v>0</v>
      </c>
      <c r="F1226" t="str">
        <f>"001020"</f>
        <v>0</v>
      </c>
      <c r="G1226" t="s">
        <v>18359</v>
      </c>
    </row>
    <row r="1227" spans="1:7">
      <c r="A1227">
        <v>1226</v>
      </c>
      <c r="B1227" t="str">
        <f>"020239"</f>
        <v>0</v>
      </c>
      <c r="C1227" t="s">
        <v>19881</v>
      </c>
      <c r="D1227" t="s">
        <v>8484</v>
      </c>
      <c r="E1227" t="str">
        <f>"3510300027486"</f>
        <v>0</v>
      </c>
      <c r="F1227" t="str">
        <f>"001020"</f>
        <v>0</v>
      </c>
      <c r="G1227" t="s">
        <v>18359</v>
      </c>
    </row>
    <row r="1228" spans="1:7">
      <c r="A1228">
        <v>1227</v>
      </c>
      <c r="B1228" t="str">
        <f>"025384"</f>
        <v>0</v>
      </c>
      <c r="C1228" t="s">
        <v>19882</v>
      </c>
      <c r="D1228" t="s">
        <v>19883</v>
      </c>
      <c r="E1228" t="str">
        <f>"5310800027351"</f>
        <v>0</v>
      </c>
      <c r="F1228" t="str">
        <f>"001020"</f>
        <v>0</v>
      </c>
      <c r="G1228" t="s">
        <v>18359</v>
      </c>
    </row>
    <row r="1229" spans="1:7">
      <c r="A1229">
        <v>1228</v>
      </c>
      <c r="B1229" t="str">
        <f>"026966"</f>
        <v>0</v>
      </c>
      <c r="C1229" t="s">
        <v>19884</v>
      </c>
      <c r="D1229" t="s">
        <v>10601</v>
      </c>
      <c r="E1229" t="str">
        <f>"3311001144645"</f>
        <v>0</v>
      </c>
      <c r="F1229" t="str">
        <f>"001020"</f>
        <v>0</v>
      </c>
      <c r="G1229" t="s">
        <v>18359</v>
      </c>
    </row>
    <row r="1230" spans="1:7">
      <c r="A1230">
        <v>1229</v>
      </c>
      <c r="B1230" t="str">
        <f>"014877"</f>
        <v>0</v>
      </c>
      <c r="C1230" t="s">
        <v>19885</v>
      </c>
      <c r="D1230" t="s">
        <v>18060</v>
      </c>
      <c r="E1230" t="str">
        <f>"3310700963547"</f>
        <v>0</v>
      </c>
      <c r="F1230" t="str">
        <f>"001020"</f>
        <v>0</v>
      </c>
      <c r="G1230" t="s">
        <v>18359</v>
      </c>
    </row>
    <row r="1231" spans="1:7">
      <c r="A1231">
        <v>1230</v>
      </c>
      <c r="B1231" t="str">
        <f>"018480"</f>
        <v>0</v>
      </c>
      <c r="C1231" t="s">
        <v>44</v>
      </c>
      <c r="D1231" t="s">
        <v>19886</v>
      </c>
      <c r="E1231" t="str">
        <f>"5310490026018"</f>
        <v>0</v>
      </c>
      <c r="F1231" t="str">
        <f>"001020"</f>
        <v>0</v>
      </c>
      <c r="G1231" t="s">
        <v>18359</v>
      </c>
    </row>
    <row r="1232" spans="1:7">
      <c r="A1232">
        <v>1231</v>
      </c>
      <c r="B1232" t="str">
        <f>"023622"</f>
        <v>0</v>
      </c>
      <c r="C1232" t="s">
        <v>19887</v>
      </c>
      <c r="D1232" t="s">
        <v>19888</v>
      </c>
      <c r="E1232" t="str">
        <f>"2920600009546"</f>
        <v>0</v>
      </c>
      <c r="F1232" t="str">
        <f>"001020"</f>
        <v>0</v>
      </c>
      <c r="G1232" t="s">
        <v>18359</v>
      </c>
    </row>
    <row r="1233" spans="1:7">
      <c r="A1233">
        <v>1232</v>
      </c>
      <c r="B1233" t="str">
        <f>"021201"</f>
        <v>0</v>
      </c>
      <c r="C1233" t="s">
        <v>19889</v>
      </c>
      <c r="D1233" t="s">
        <v>2542</v>
      </c>
      <c r="E1233" t="str">
        <f>"3301900211264"</f>
        <v>0</v>
      </c>
      <c r="F1233" t="str">
        <f>"001020"</f>
        <v>0</v>
      </c>
      <c r="G1233" t="s">
        <v>18359</v>
      </c>
    </row>
    <row r="1234" spans="1:7">
      <c r="A1234">
        <v>1233</v>
      </c>
      <c r="B1234" t="str">
        <f>"021354"</f>
        <v>0</v>
      </c>
      <c r="C1234" t="s">
        <v>17241</v>
      </c>
      <c r="D1234" t="s">
        <v>19890</v>
      </c>
      <c r="E1234" t="str">
        <f>"5302000013692"</f>
        <v>0</v>
      </c>
      <c r="F1234" t="str">
        <f>"001020"</f>
        <v>0</v>
      </c>
      <c r="G1234" t="s">
        <v>18359</v>
      </c>
    </row>
    <row r="1235" spans="1:7">
      <c r="A1235">
        <v>1234</v>
      </c>
      <c r="B1235" t="str">
        <f>"022165"</f>
        <v>0</v>
      </c>
      <c r="C1235" t="s">
        <v>19891</v>
      </c>
      <c r="D1235" t="s">
        <v>19892</v>
      </c>
      <c r="E1235" t="str">
        <f>"3300700375017"</f>
        <v>0</v>
      </c>
      <c r="F1235" t="str">
        <f>"001020"</f>
        <v>0</v>
      </c>
      <c r="G1235" t="s">
        <v>18359</v>
      </c>
    </row>
    <row r="1236" spans="1:7">
      <c r="A1236">
        <v>1235</v>
      </c>
      <c r="B1236" t="str">
        <f>"022653"</f>
        <v>0</v>
      </c>
      <c r="C1236" t="s">
        <v>1844</v>
      </c>
      <c r="D1236" t="s">
        <v>19893</v>
      </c>
      <c r="E1236" t="str">
        <f>"3302100479239"</f>
        <v>0</v>
      </c>
      <c r="F1236" t="str">
        <f>"001020"</f>
        <v>0</v>
      </c>
      <c r="G1236" t="s">
        <v>18359</v>
      </c>
    </row>
    <row r="1237" spans="1:7">
      <c r="A1237">
        <v>1236</v>
      </c>
      <c r="B1237" t="str">
        <f>"023698"</f>
        <v>0</v>
      </c>
      <c r="C1237" t="s">
        <v>19894</v>
      </c>
      <c r="D1237" t="s">
        <v>19895</v>
      </c>
      <c r="E1237" t="str">
        <f>"3302200404435"</f>
        <v>0</v>
      </c>
      <c r="F1237" t="str">
        <f>"001020"</f>
        <v>0</v>
      </c>
      <c r="G1237" t="s">
        <v>18359</v>
      </c>
    </row>
    <row r="1238" spans="1:7">
      <c r="A1238">
        <v>1237</v>
      </c>
      <c r="B1238" t="str">
        <f>"023840"</f>
        <v>0</v>
      </c>
      <c r="C1238" t="s">
        <v>2301</v>
      </c>
      <c r="D1238" t="s">
        <v>19896</v>
      </c>
      <c r="E1238" t="str">
        <f>"3301700967756"</f>
        <v>0</v>
      </c>
      <c r="F1238" t="str">
        <f>"001020"</f>
        <v>0</v>
      </c>
      <c r="G1238" t="s">
        <v>18359</v>
      </c>
    </row>
    <row r="1239" spans="1:7">
      <c r="A1239">
        <v>1238</v>
      </c>
      <c r="B1239" t="str">
        <f>"024237"</f>
        <v>0</v>
      </c>
      <c r="C1239" t="s">
        <v>9823</v>
      </c>
      <c r="D1239" t="s">
        <v>19897</v>
      </c>
      <c r="E1239" t="str">
        <f>"3490200181263"</f>
        <v>0</v>
      </c>
      <c r="F1239" t="str">
        <f>"001020"</f>
        <v>0</v>
      </c>
      <c r="G1239" t="s">
        <v>18359</v>
      </c>
    </row>
    <row r="1240" spans="1:7">
      <c r="A1240">
        <v>1239</v>
      </c>
      <c r="B1240" t="str">
        <f>"024497"</f>
        <v>0</v>
      </c>
      <c r="C1240" t="s">
        <v>3537</v>
      </c>
      <c r="D1240" t="s">
        <v>19898</v>
      </c>
      <c r="E1240" t="str">
        <f>"3309900612398"</f>
        <v>0</v>
      </c>
      <c r="F1240" t="str">
        <f>"001020"</f>
        <v>0</v>
      </c>
      <c r="G1240" t="s">
        <v>18359</v>
      </c>
    </row>
    <row r="1241" spans="1:7">
      <c r="A1241">
        <v>1240</v>
      </c>
      <c r="B1241" t="str">
        <f>"024793"</f>
        <v>0</v>
      </c>
      <c r="C1241" t="s">
        <v>19899</v>
      </c>
      <c r="D1241" t="s">
        <v>19900</v>
      </c>
      <c r="E1241" t="str">
        <f>"3302000040146"</f>
        <v>0</v>
      </c>
      <c r="F1241" t="str">
        <f>"001020"</f>
        <v>0</v>
      </c>
      <c r="G1241" t="s">
        <v>18359</v>
      </c>
    </row>
    <row r="1242" spans="1:7">
      <c r="A1242">
        <v>1241</v>
      </c>
      <c r="B1242" t="str">
        <f>"024955"</f>
        <v>0</v>
      </c>
      <c r="C1242" t="s">
        <v>19901</v>
      </c>
      <c r="D1242" t="s">
        <v>19902</v>
      </c>
      <c r="E1242" t="str">
        <f>"1300200091811"</f>
        <v>0</v>
      </c>
      <c r="F1242" t="str">
        <f>"001020"</f>
        <v>0</v>
      </c>
      <c r="G1242" t="s">
        <v>18359</v>
      </c>
    </row>
    <row r="1243" spans="1:7">
      <c r="A1243">
        <v>1242</v>
      </c>
      <c r="B1243" t="str">
        <f>"007667"</f>
        <v>0</v>
      </c>
      <c r="C1243" t="s">
        <v>19903</v>
      </c>
      <c r="D1243" t="s">
        <v>19904</v>
      </c>
      <c r="E1243" t="str">
        <f>"3301700123507"</f>
        <v>0</v>
      </c>
      <c r="F1243" t="str">
        <f>"001020"</f>
        <v>0</v>
      </c>
      <c r="G1243" t="s">
        <v>18359</v>
      </c>
    </row>
    <row r="1244" spans="1:7">
      <c r="A1244">
        <v>1243</v>
      </c>
      <c r="B1244" t="str">
        <f>"008269"</f>
        <v>0</v>
      </c>
      <c r="C1244" t="s">
        <v>19905</v>
      </c>
      <c r="D1244" t="s">
        <v>19906</v>
      </c>
      <c r="E1244" t="str">
        <f>"3311000452265"</f>
        <v>0</v>
      </c>
      <c r="F1244" t="str">
        <f>"001020"</f>
        <v>0</v>
      </c>
      <c r="G1244" t="s">
        <v>18359</v>
      </c>
    </row>
    <row r="1245" spans="1:7">
      <c r="A1245">
        <v>1244</v>
      </c>
      <c r="B1245" t="str">
        <f>"008449"</f>
        <v>0</v>
      </c>
      <c r="C1245" t="s">
        <v>3823</v>
      </c>
      <c r="D1245" t="s">
        <v>8525</v>
      </c>
      <c r="E1245" t="str">
        <f>"3310900264421"</f>
        <v>0</v>
      </c>
      <c r="F1245" t="str">
        <f>"001020"</f>
        <v>0</v>
      </c>
      <c r="G1245" t="s">
        <v>18359</v>
      </c>
    </row>
    <row r="1246" spans="1:7">
      <c r="A1246">
        <v>1245</v>
      </c>
      <c r="B1246" t="str">
        <f>"010162"</f>
        <v>0</v>
      </c>
      <c r="C1246" t="s">
        <v>5158</v>
      </c>
      <c r="D1246" t="s">
        <v>19907</v>
      </c>
      <c r="E1246" t="str">
        <f>"3410612060064"</f>
        <v>0</v>
      </c>
      <c r="F1246" t="str">
        <f>"001020"</f>
        <v>0</v>
      </c>
      <c r="G1246" t="s">
        <v>18359</v>
      </c>
    </row>
    <row r="1247" spans="1:7">
      <c r="A1247">
        <v>1246</v>
      </c>
      <c r="B1247" t="str">
        <f>"010170"</f>
        <v>0</v>
      </c>
      <c r="C1247" t="s">
        <v>19908</v>
      </c>
      <c r="D1247" t="s">
        <v>19909</v>
      </c>
      <c r="E1247" t="str">
        <f>"3310700556771"</f>
        <v>0</v>
      </c>
      <c r="F1247" t="str">
        <f>"001020"</f>
        <v>0</v>
      </c>
      <c r="G1247" t="s">
        <v>18359</v>
      </c>
    </row>
    <row r="1248" spans="1:7">
      <c r="A1248">
        <v>1247</v>
      </c>
      <c r="B1248" t="str">
        <f>"010383"</f>
        <v>0</v>
      </c>
      <c r="C1248" t="s">
        <v>19910</v>
      </c>
      <c r="D1248" t="s">
        <v>19911</v>
      </c>
      <c r="E1248" t="str">
        <f>"3311000013253"</f>
        <v>0</v>
      </c>
      <c r="F1248" t="str">
        <f>"001020"</f>
        <v>0</v>
      </c>
      <c r="G1248" t="s">
        <v>18359</v>
      </c>
    </row>
    <row r="1249" spans="1:7">
      <c r="A1249">
        <v>1248</v>
      </c>
      <c r="B1249" t="str">
        <f>"011887"</f>
        <v>0</v>
      </c>
      <c r="C1249" t="s">
        <v>154</v>
      </c>
      <c r="D1249" t="s">
        <v>19912</v>
      </c>
      <c r="E1249" t="str">
        <f>"3311100002440"</f>
        <v>0</v>
      </c>
      <c r="F1249" t="str">
        <f>"001020"</f>
        <v>0</v>
      </c>
      <c r="G1249" t="s">
        <v>18359</v>
      </c>
    </row>
    <row r="1250" spans="1:7">
      <c r="A1250">
        <v>1249</v>
      </c>
      <c r="B1250" t="str">
        <f>"011890"</f>
        <v>0</v>
      </c>
      <c r="C1250" t="s">
        <v>12368</v>
      </c>
      <c r="D1250" t="s">
        <v>19913</v>
      </c>
      <c r="E1250" t="str">
        <f>"3331101164800"</f>
        <v>0</v>
      </c>
      <c r="F1250" t="str">
        <f>"001020"</f>
        <v>0</v>
      </c>
      <c r="G1250" t="s">
        <v>18359</v>
      </c>
    </row>
    <row r="1251" spans="1:7">
      <c r="A1251">
        <v>1250</v>
      </c>
      <c r="B1251" t="str">
        <f>"022030"</f>
        <v>0</v>
      </c>
      <c r="C1251" t="s">
        <v>5498</v>
      </c>
      <c r="D1251" t="s">
        <v>19914</v>
      </c>
      <c r="E1251" t="str">
        <f>"3310101611244"</f>
        <v>0</v>
      </c>
      <c r="F1251" t="str">
        <f>"001020"</f>
        <v>0</v>
      </c>
      <c r="G1251" t="s">
        <v>18359</v>
      </c>
    </row>
    <row r="1252" spans="1:7">
      <c r="A1252">
        <v>1251</v>
      </c>
      <c r="B1252" t="str">
        <f>"023256"</f>
        <v>0</v>
      </c>
      <c r="C1252" t="s">
        <v>19915</v>
      </c>
      <c r="D1252" t="s">
        <v>19916</v>
      </c>
      <c r="E1252" t="str">
        <f>"3319900080051"</f>
        <v>0</v>
      </c>
      <c r="F1252" t="str">
        <f>"001020"</f>
        <v>0</v>
      </c>
      <c r="G1252" t="s">
        <v>18359</v>
      </c>
    </row>
    <row r="1253" spans="1:7">
      <c r="A1253">
        <v>1252</v>
      </c>
      <c r="B1253" t="str">
        <f>"023389"</f>
        <v>0</v>
      </c>
      <c r="C1253" t="s">
        <v>19917</v>
      </c>
      <c r="D1253" t="s">
        <v>19918</v>
      </c>
      <c r="E1253" t="str">
        <f>"3310700343654"</f>
        <v>0</v>
      </c>
      <c r="F1253" t="str">
        <f>"001020"</f>
        <v>0</v>
      </c>
      <c r="G1253" t="s">
        <v>18359</v>
      </c>
    </row>
    <row r="1254" spans="1:7">
      <c r="A1254">
        <v>1253</v>
      </c>
      <c r="B1254" t="str">
        <f>"024256"</f>
        <v>0</v>
      </c>
      <c r="C1254" t="s">
        <v>4924</v>
      </c>
      <c r="D1254" t="s">
        <v>19919</v>
      </c>
      <c r="E1254" t="str">
        <f>"1409800096196"</f>
        <v>0</v>
      </c>
      <c r="F1254" t="str">
        <f>"001020"</f>
        <v>0</v>
      </c>
      <c r="G1254" t="s">
        <v>18359</v>
      </c>
    </row>
    <row r="1255" spans="1:7">
      <c r="A1255">
        <v>1254</v>
      </c>
      <c r="B1255" t="str">
        <f>"024276"</f>
        <v>0</v>
      </c>
      <c r="C1255" t="s">
        <v>19920</v>
      </c>
      <c r="D1255" t="s">
        <v>16271</v>
      </c>
      <c r="E1255" t="str">
        <f>"3400800087152"</f>
        <v>0</v>
      </c>
      <c r="F1255" t="str">
        <f>"001020"</f>
        <v>0</v>
      </c>
      <c r="G1255" t="s">
        <v>18359</v>
      </c>
    </row>
    <row r="1256" spans="1:7">
      <c r="A1256">
        <v>1255</v>
      </c>
      <c r="B1256" t="str">
        <f>"024360"</f>
        <v>0</v>
      </c>
      <c r="C1256" t="s">
        <v>19921</v>
      </c>
      <c r="D1256" t="s">
        <v>19922</v>
      </c>
      <c r="E1256" t="str">
        <f>"1319900059773"</f>
        <v>0</v>
      </c>
      <c r="F1256" t="str">
        <f>"001020"</f>
        <v>0</v>
      </c>
      <c r="G1256" t="s">
        <v>18359</v>
      </c>
    </row>
    <row r="1257" spans="1:7">
      <c r="A1257">
        <v>1256</v>
      </c>
      <c r="B1257" t="str">
        <f>"024386"</f>
        <v>0</v>
      </c>
      <c r="C1257" t="s">
        <v>3221</v>
      </c>
      <c r="D1257" t="s">
        <v>19923</v>
      </c>
      <c r="E1257" t="str">
        <f>"2319900016851"</f>
        <v>0</v>
      </c>
      <c r="F1257" t="str">
        <f>"001020"</f>
        <v>0</v>
      </c>
      <c r="G1257" t="s">
        <v>18359</v>
      </c>
    </row>
    <row r="1258" spans="1:7">
      <c r="A1258">
        <v>1257</v>
      </c>
      <c r="B1258" t="str">
        <f>"024430"</f>
        <v>0</v>
      </c>
      <c r="C1258" t="s">
        <v>19924</v>
      </c>
      <c r="D1258" t="s">
        <v>19925</v>
      </c>
      <c r="E1258" t="str">
        <f>"3310900324734"</f>
        <v>0</v>
      </c>
      <c r="F1258" t="str">
        <f>"001020"</f>
        <v>0</v>
      </c>
      <c r="G1258" t="s">
        <v>18359</v>
      </c>
    </row>
    <row r="1259" spans="1:7">
      <c r="A1259">
        <v>1258</v>
      </c>
      <c r="B1259" t="str">
        <f>"024526"</f>
        <v>0</v>
      </c>
      <c r="C1259" t="s">
        <v>19926</v>
      </c>
      <c r="D1259" t="s">
        <v>8712</v>
      </c>
      <c r="E1259" t="str">
        <f>"3310100314505"</f>
        <v>0</v>
      </c>
      <c r="F1259" t="str">
        <f>"001020"</f>
        <v>0</v>
      </c>
      <c r="G1259" t="s">
        <v>18359</v>
      </c>
    </row>
    <row r="1260" spans="1:7">
      <c r="A1260">
        <v>1259</v>
      </c>
      <c r="B1260" t="str">
        <f>"024625"</f>
        <v>0</v>
      </c>
      <c r="C1260" t="s">
        <v>19927</v>
      </c>
      <c r="D1260" t="s">
        <v>19928</v>
      </c>
      <c r="E1260" t="str">
        <f>"1310700084873"</f>
        <v>0</v>
      </c>
      <c r="F1260" t="str">
        <f>"001020"</f>
        <v>0</v>
      </c>
      <c r="G1260" t="s">
        <v>18359</v>
      </c>
    </row>
    <row r="1261" spans="1:7">
      <c r="A1261">
        <v>1260</v>
      </c>
      <c r="B1261" t="str">
        <f>"025677"</f>
        <v>0</v>
      </c>
      <c r="C1261" t="s">
        <v>19929</v>
      </c>
      <c r="D1261" t="s">
        <v>19930</v>
      </c>
      <c r="E1261" t="str">
        <f>"1310400015680"</f>
        <v>0</v>
      </c>
      <c r="F1261" t="str">
        <f>"001020"</f>
        <v>0</v>
      </c>
      <c r="G1261" t="s">
        <v>18359</v>
      </c>
    </row>
    <row r="1262" spans="1:7">
      <c r="A1262">
        <v>1261</v>
      </c>
      <c r="B1262" t="str">
        <f>"025888"</f>
        <v>0</v>
      </c>
      <c r="C1262" t="s">
        <v>4946</v>
      </c>
      <c r="D1262" t="s">
        <v>19931</v>
      </c>
      <c r="E1262" t="str">
        <f>"1310400033491"</f>
        <v>0</v>
      </c>
      <c r="F1262" t="str">
        <f>"001020"</f>
        <v>0</v>
      </c>
      <c r="G1262" t="s">
        <v>18359</v>
      </c>
    </row>
    <row r="1263" spans="1:7">
      <c r="A1263">
        <v>1262</v>
      </c>
      <c r="B1263" t="str">
        <f>"025200"</f>
        <v>0</v>
      </c>
      <c r="C1263" t="s">
        <v>18216</v>
      </c>
      <c r="D1263" t="s">
        <v>19932</v>
      </c>
      <c r="E1263" t="str">
        <f>"3320501085060"</f>
        <v>0</v>
      </c>
      <c r="F1263" t="str">
        <f>"001020"</f>
        <v>0</v>
      </c>
      <c r="G1263" t="s">
        <v>18359</v>
      </c>
    </row>
    <row r="1264" spans="1:7">
      <c r="A1264">
        <v>1263</v>
      </c>
      <c r="B1264" t="str">
        <f>"026724"</f>
        <v>0</v>
      </c>
      <c r="C1264" t="s">
        <v>19933</v>
      </c>
      <c r="D1264" t="s">
        <v>19934</v>
      </c>
      <c r="E1264" t="str">
        <f>"1720300039923"</f>
        <v>0</v>
      </c>
      <c r="F1264" t="str">
        <f>"001020"</f>
        <v>0</v>
      </c>
      <c r="G1264" t="s">
        <v>18359</v>
      </c>
    </row>
    <row r="1265" spans="1:7">
      <c r="A1265">
        <v>1264</v>
      </c>
      <c r="B1265" t="str">
        <f>"020263"</f>
        <v>0</v>
      </c>
      <c r="C1265" t="s">
        <v>4710</v>
      </c>
      <c r="D1265" t="s">
        <v>19935</v>
      </c>
      <c r="E1265" t="str">
        <f>"3310900324564"</f>
        <v>0</v>
      </c>
      <c r="F1265" t="str">
        <f>"001020"</f>
        <v>0</v>
      </c>
      <c r="G1265" t="s">
        <v>18359</v>
      </c>
    </row>
    <row r="1266" spans="1:7">
      <c r="A1266">
        <v>1265</v>
      </c>
      <c r="B1266" t="str">
        <f>"026583"</f>
        <v>0</v>
      </c>
      <c r="C1266" t="s">
        <v>12493</v>
      </c>
      <c r="D1266" t="s">
        <v>19936</v>
      </c>
      <c r="E1266" t="str">
        <f>"1310700028400"</f>
        <v>0</v>
      </c>
      <c r="F1266" t="str">
        <f>"001020"</f>
        <v>0</v>
      </c>
      <c r="G1266" t="s">
        <v>18359</v>
      </c>
    </row>
    <row r="1267" spans="1:7">
      <c r="A1267">
        <v>1266</v>
      </c>
      <c r="B1267" t="str">
        <f>"018108"</f>
        <v>0</v>
      </c>
      <c r="C1267" t="s">
        <v>36</v>
      </c>
      <c r="D1267" t="s">
        <v>19937</v>
      </c>
      <c r="E1267" t="str">
        <f>"3411900509301"</f>
        <v>0</v>
      </c>
      <c r="F1267" t="str">
        <f>"001020"</f>
        <v>0</v>
      </c>
      <c r="G1267" t="s">
        <v>18359</v>
      </c>
    </row>
    <row r="1268" spans="1:7">
      <c r="A1268">
        <v>1267</v>
      </c>
      <c r="B1268" t="str">
        <f>"027517"</f>
        <v>0</v>
      </c>
      <c r="C1268" t="s">
        <v>2777</v>
      </c>
      <c r="D1268" t="s">
        <v>19938</v>
      </c>
      <c r="E1268" t="str">
        <f>"3301500465170"</f>
        <v>0</v>
      </c>
      <c r="F1268" t="str">
        <f>"001020"</f>
        <v>0</v>
      </c>
      <c r="G1268" t="s">
        <v>18359</v>
      </c>
    </row>
    <row r="1269" spans="1:7">
      <c r="A1269">
        <v>1268</v>
      </c>
      <c r="B1269" t="str">
        <f>"027518"</f>
        <v>0</v>
      </c>
      <c r="C1269" t="s">
        <v>19939</v>
      </c>
      <c r="D1269" t="s">
        <v>19940</v>
      </c>
      <c r="E1269" t="str">
        <f>"1310500100093"</f>
        <v>0</v>
      </c>
      <c r="F1269" t="str">
        <f>"001020"</f>
        <v>0</v>
      </c>
      <c r="G1269" t="s">
        <v>18359</v>
      </c>
    </row>
    <row r="1270" spans="1:7">
      <c r="A1270">
        <v>1269</v>
      </c>
      <c r="B1270" t="str">
        <f>"007972"</f>
        <v>0</v>
      </c>
      <c r="C1270" t="s">
        <v>19941</v>
      </c>
      <c r="D1270" t="s">
        <v>8776</v>
      </c>
      <c r="E1270" t="str">
        <f>"3430600102191"</f>
        <v>0</v>
      </c>
      <c r="F1270" t="str">
        <f>"001035"</f>
        <v>0</v>
      </c>
      <c r="G1270" t="s">
        <v>18359</v>
      </c>
    </row>
    <row r="1271" spans="1:7">
      <c r="A1271">
        <v>1270</v>
      </c>
      <c r="B1271" t="str">
        <f>"010501"</f>
        <v>0</v>
      </c>
      <c r="C1271" t="s">
        <v>19942</v>
      </c>
      <c r="D1271" t="s">
        <v>19943</v>
      </c>
      <c r="E1271" t="str">
        <f>"5411990006661"</f>
        <v>0</v>
      </c>
      <c r="F1271" t="str">
        <f>"001035"</f>
        <v>0</v>
      </c>
      <c r="G1271" t="s">
        <v>18359</v>
      </c>
    </row>
    <row r="1272" spans="1:7">
      <c r="A1272">
        <v>1271</v>
      </c>
      <c r="B1272" t="str">
        <f>"010639"</f>
        <v>0</v>
      </c>
      <c r="C1272" t="s">
        <v>130</v>
      </c>
      <c r="D1272" t="s">
        <v>19944</v>
      </c>
      <c r="E1272" t="str">
        <f>"3411400135282"</f>
        <v>0</v>
      </c>
      <c r="F1272" t="str">
        <f>"001035"</f>
        <v>0</v>
      </c>
      <c r="G1272" t="s">
        <v>18359</v>
      </c>
    </row>
    <row r="1273" spans="1:7">
      <c r="A1273">
        <v>1272</v>
      </c>
      <c r="B1273" t="str">
        <f>"013171"</f>
        <v>0</v>
      </c>
      <c r="C1273" t="s">
        <v>19945</v>
      </c>
      <c r="D1273" t="s">
        <v>17849</v>
      </c>
      <c r="E1273" t="str">
        <f>"3439900033575"</f>
        <v>0</v>
      </c>
      <c r="F1273" t="str">
        <f>"001035"</f>
        <v>0</v>
      </c>
      <c r="G1273" t="s">
        <v>18359</v>
      </c>
    </row>
    <row r="1274" spans="1:7">
      <c r="A1274">
        <v>1273</v>
      </c>
      <c r="B1274" t="str">
        <f>"024697"</f>
        <v>0</v>
      </c>
      <c r="C1274" t="s">
        <v>19946</v>
      </c>
      <c r="D1274" t="s">
        <v>19947</v>
      </c>
      <c r="E1274" t="str">
        <f>"3800200094171"</f>
        <v>0</v>
      </c>
      <c r="F1274" t="str">
        <f>"001035"</f>
        <v>0</v>
      </c>
      <c r="G1274" t="s">
        <v>18359</v>
      </c>
    </row>
    <row r="1275" spans="1:7">
      <c r="A1275">
        <v>1274</v>
      </c>
      <c r="B1275" t="str">
        <f>"024798"</f>
        <v>0</v>
      </c>
      <c r="C1275" t="s">
        <v>19948</v>
      </c>
      <c r="D1275" t="s">
        <v>19949</v>
      </c>
      <c r="E1275" t="str">
        <f>"1330900015921"</f>
        <v>0</v>
      </c>
      <c r="F1275" t="str">
        <f>"001035"</f>
        <v>0</v>
      </c>
      <c r="G1275" t="s">
        <v>18359</v>
      </c>
    </row>
    <row r="1276" spans="1:7">
      <c r="A1276">
        <v>1275</v>
      </c>
      <c r="B1276" t="str">
        <f>"027143"</f>
        <v>0</v>
      </c>
      <c r="C1276" t="s">
        <v>5633</v>
      </c>
      <c r="D1276" t="s">
        <v>19950</v>
      </c>
      <c r="E1276" t="str">
        <f>"5103600011677"</f>
        <v>0</v>
      </c>
      <c r="F1276" t="str">
        <f>"001035"</f>
        <v>0</v>
      </c>
      <c r="G1276" t="s">
        <v>18359</v>
      </c>
    </row>
    <row r="1277" spans="1:7">
      <c r="A1277">
        <v>1276</v>
      </c>
      <c r="B1277" t="str">
        <f>"027374"</f>
        <v>0</v>
      </c>
      <c r="C1277" t="s">
        <v>19951</v>
      </c>
      <c r="D1277" t="s">
        <v>19952</v>
      </c>
      <c r="E1277" t="str">
        <f>"1250600039583"</f>
        <v>0</v>
      </c>
      <c r="F1277" t="str">
        <f>"001035"</f>
        <v>0</v>
      </c>
      <c r="G1277" t="s">
        <v>18359</v>
      </c>
    </row>
    <row r="1278" spans="1:7">
      <c r="A1278">
        <v>1277</v>
      </c>
      <c r="B1278" t="str">
        <f>"025916"</f>
        <v>0</v>
      </c>
      <c r="C1278" t="s">
        <v>19953</v>
      </c>
      <c r="D1278" t="s">
        <v>19954</v>
      </c>
      <c r="E1278" t="str">
        <f>"1340500046641"</f>
        <v>0</v>
      </c>
      <c r="F1278" t="str">
        <f>"001035"</f>
        <v>0</v>
      </c>
      <c r="G1278" t="s">
        <v>18359</v>
      </c>
    </row>
    <row r="1279" spans="1:7">
      <c r="A1279">
        <v>1278</v>
      </c>
      <c r="B1279" t="str">
        <f>"015050"</f>
        <v>0</v>
      </c>
      <c r="C1279" t="s">
        <v>19955</v>
      </c>
      <c r="D1279" t="s">
        <v>19956</v>
      </c>
      <c r="E1279" t="str">
        <f>"3412000118993"</f>
        <v>0</v>
      </c>
      <c r="F1279" t="str">
        <f>"001035"</f>
        <v>0</v>
      </c>
      <c r="G1279" t="s">
        <v>18359</v>
      </c>
    </row>
    <row r="1280" spans="1:7">
      <c r="A1280">
        <v>1279</v>
      </c>
      <c r="B1280" t="str">
        <f>"009125"</f>
        <v>0</v>
      </c>
      <c r="C1280" t="s">
        <v>755</v>
      </c>
      <c r="D1280" t="s">
        <v>3526</v>
      </c>
      <c r="E1280" t="str">
        <f>"4430600001856"</f>
        <v>0</v>
      </c>
      <c r="F1280" t="str">
        <f>"001035"</f>
        <v>0</v>
      </c>
      <c r="G1280" t="s">
        <v>18359</v>
      </c>
    </row>
    <row r="1281" spans="1:7">
      <c r="A1281">
        <v>1280</v>
      </c>
      <c r="B1281" t="str">
        <f>"015520"</f>
        <v>0</v>
      </c>
      <c r="C1281" t="s">
        <v>488</v>
      </c>
      <c r="D1281" t="s">
        <v>19957</v>
      </c>
      <c r="E1281" t="str">
        <f>"3411201001847"</f>
        <v>0</v>
      </c>
      <c r="F1281" t="str">
        <f>"001035"</f>
        <v>0</v>
      </c>
      <c r="G1281" t="s">
        <v>18359</v>
      </c>
    </row>
    <row r="1282" spans="1:7">
      <c r="A1282">
        <v>1281</v>
      </c>
      <c r="B1282" t="str">
        <f>"024795"</f>
        <v>0</v>
      </c>
      <c r="C1282" t="s">
        <v>19958</v>
      </c>
      <c r="D1282" t="s">
        <v>19959</v>
      </c>
      <c r="E1282" t="str">
        <f>"3471100178105"</f>
        <v>0</v>
      </c>
      <c r="F1282" t="str">
        <f>"001035"</f>
        <v>0</v>
      </c>
      <c r="G1282" t="s">
        <v>18359</v>
      </c>
    </row>
    <row r="1283" spans="1:7">
      <c r="A1283">
        <v>1282</v>
      </c>
      <c r="B1283" t="str">
        <f>"027141"</f>
        <v>0</v>
      </c>
      <c r="C1283" t="s">
        <v>1263</v>
      </c>
      <c r="D1283" t="s">
        <v>19960</v>
      </c>
      <c r="E1283" t="str">
        <f>"1509901576699"</f>
        <v>0</v>
      </c>
      <c r="F1283" t="str">
        <f>"001035"</f>
        <v>0</v>
      </c>
      <c r="G1283" t="s">
        <v>18359</v>
      </c>
    </row>
    <row r="1284" spans="1:7">
      <c r="A1284">
        <v>1283</v>
      </c>
      <c r="B1284" t="str">
        <f>"026898"</f>
        <v>0</v>
      </c>
      <c r="C1284" t="s">
        <v>19961</v>
      </c>
      <c r="D1284" t="s">
        <v>19962</v>
      </c>
      <c r="E1284" t="str">
        <f>"1509901143105"</f>
        <v>0</v>
      </c>
      <c r="F1284" t="str">
        <f>"001035"</f>
        <v>0</v>
      </c>
      <c r="G1284" t="s">
        <v>18359</v>
      </c>
    </row>
    <row r="1285" spans="1:7">
      <c r="A1285">
        <v>1284</v>
      </c>
      <c r="B1285" t="str">
        <f>"020766"</f>
        <v>0</v>
      </c>
      <c r="C1285" t="s">
        <v>767</v>
      </c>
      <c r="D1285" t="s">
        <v>19963</v>
      </c>
      <c r="E1285" t="str">
        <f>"3430301080161"</f>
        <v>0</v>
      </c>
      <c r="F1285" t="str">
        <f>"001035"</f>
        <v>0</v>
      </c>
      <c r="G1285" t="s">
        <v>18359</v>
      </c>
    </row>
    <row r="1286" spans="1:7">
      <c r="A1286">
        <v>1285</v>
      </c>
      <c r="B1286" t="str">
        <f>"021620"</f>
        <v>0</v>
      </c>
      <c r="C1286" t="s">
        <v>5261</v>
      </c>
      <c r="D1286" t="s">
        <v>19964</v>
      </c>
      <c r="E1286" t="str">
        <f>"3320600651250"</f>
        <v>0</v>
      </c>
      <c r="F1286" t="str">
        <f>"001035"</f>
        <v>0</v>
      </c>
      <c r="G1286" t="s">
        <v>18359</v>
      </c>
    </row>
    <row r="1287" spans="1:7">
      <c r="A1287">
        <v>1286</v>
      </c>
      <c r="B1287" t="str">
        <f>"021719"</f>
        <v>0</v>
      </c>
      <c r="C1287" t="s">
        <v>2608</v>
      </c>
      <c r="D1287" t="s">
        <v>19965</v>
      </c>
      <c r="E1287" t="str">
        <f>"3410100585214"</f>
        <v>0</v>
      </c>
      <c r="F1287" t="str">
        <f>"001035"</f>
        <v>0</v>
      </c>
      <c r="G1287" t="s">
        <v>18359</v>
      </c>
    </row>
    <row r="1288" spans="1:7">
      <c r="A1288">
        <v>1287</v>
      </c>
      <c r="B1288" t="str">
        <f>"022131"</f>
        <v>0</v>
      </c>
      <c r="C1288" t="s">
        <v>19966</v>
      </c>
      <c r="D1288" t="s">
        <v>19967</v>
      </c>
      <c r="E1288" t="str">
        <f>"3401600591397"</f>
        <v>0</v>
      </c>
      <c r="F1288" t="str">
        <f>"001035"</f>
        <v>0</v>
      </c>
      <c r="G1288" t="s">
        <v>18359</v>
      </c>
    </row>
    <row r="1289" spans="1:7">
      <c r="A1289">
        <v>1288</v>
      </c>
      <c r="B1289" t="str">
        <f>"022833"</f>
        <v>0</v>
      </c>
      <c r="C1289" t="s">
        <v>19968</v>
      </c>
      <c r="D1289" t="s">
        <v>19969</v>
      </c>
      <c r="E1289" t="str">
        <f>"3431000108326"</f>
        <v>0</v>
      </c>
      <c r="F1289" t="str">
        <f>"001035"</f>
        <v>0</v>
      </c>
      <c r="G1289" t="s">
        <v>18359</v>
      </c>
    </row>
    <row r="1290" spans="1:7">
      <c r="A1290">
        <v>1289</v>
      </c>
      <c r="B1290" t="str">
        <f>"023391"</f>
        <v>0</v>
      </c>
      <c r="C1290" t="s">
        <v>19970</v>
      </c>
      <c r="D1290" t="s">
        <v>19971</v>
      </c>
      <c r="E1290" t="str">
        <f>"3430500767255"</f>
        <v>0</v>
      </c>
      <c r="F1290" t="str">
        <f>"001035"</f>
        <v>0</v>
      </c>
      <c r="G1290" t="s">
        <v>18359</v>
      </c>
    </row>
    <row r="1291" spans="1:7">
      <c r="A1291">
        <v>1290</v>
      </c>
      <c r="B1291" t="str">
        <f>"023395"</f>
        <v>0</v>
      </c>
      <c r="C1291" t="s">
        <v>12139</v>
      </c>
      <c r="D1291" t="s">
        <v>19972</v>
      </c>
      <c r="E1291" t="str">
        <f>"3460900014785"</f>
        <v>0</v>
      </c>
      <c r="F1291" t="str">
        <f>"001035"</f>
        <v>0</v>
      </c>
      <c r="G1291" t="s">
        <v>18359</v>
      </c>
    </row>
    <row r="1292" spans="1:7">
      <c r="A1292">
        <v>1291</v>
      </c>
      <c r="B1292" t="str">
        <f>"024124"</f>
        <v>0</v>
      </c>
      <c r="C1292" t="s">
        <v>19973</v>
      </c>
      <c r="D1292" t="s">
        <v>19974</v>
      </c>
      <c r="E1292" t="str">
        <f>"3430300219467"</f>
        <v>0</v>
      </c>
      <c r="F1292" t="str">
        <f>"001035"</f>
        <v>0</v>
      </c>
      <c r="G1292" t="s">
        <v>18359</v>
      </c>
    </row>
    <row r="1293" spans="1:7">
      <c r="A1293">
        <v>1292</v>
      </c>
      <c r="B1293" t="str">
        <f>"024498"</f>
        <v>0</v>
      </c>
      <c r="C1293" t="s">
        <v>8239</v>
      </c>
      <c r="D1293" t="s">
        <v>19975</v>
      </c>
      <c r="E1293" t="str">
        <f>"3451100093568"</f>
        <v>0</v>
      </c>
      <c r="F1293" t="str">
        <f>"001035"</f>
        <v>0</v>
      </c>
      <c r="G1293" t="s">
        <v>18359</v>
      </c>
    </row>
    <row r="1294" spans="1:7">
      <c r="A1294">
        <v>1293</v>
      </c>
      <c r="B1294" t="str">
        <f>"025042"</f>
        <v>0</v>
      </c>
      <c r="C1294" t="s">
        <v>19976</v>
      </c>
      <c r="D1294" t="s">
        <v>19977</v>
      </c>
      <c r="E1294" t="str">
        <f>"3360400728518"</f>
        <v>0</v>
      </c>
      <c r="F1294" t="str">
        <f>"001035"</f>
        <v>0</v>
      </c>
      <c r="G1294" t="s">
        <v>18359</v>
      </c>
    </row>
    <row r="1295" spans="1:7">
      <c r="A1295">
        <v>1294</v>
      </c>
      <c r="B1295" t="str">
        <f>"025915"</f>
        <v>0</v>
      </c>
      <c r="C1295" t="s">
        <v>19978</v>
      </c>
      <c r="D1295" t="s">
        <v>19979</v>
      </c>
      <c r="E1295" t="str">
        <f>"3410300159260"</f>
        <v>0</v>
      </c>
      <c r="F1295" t="str">
        <f>"001035"</f>
        <v>0</v>
      </c>
      <c r="G1295" t="s">
        <v>18359</v>
      </c>
    </row>
    <row r="1296" spans="1:7">
      <c r="A1296">
        <v>1295</v>
      </c>
      <c r="B1296" t="str">
        <f>"026584"</f>
        <v>0</v>
      </c>
      <c r="C1296" t="s">
        <v>19980</v>
      </c>
      <c r="D1296" t="s">
        <v>19981</v>
      </c>
      <c r="E1296" t="str">
        <f>"1431100007819"</f>
        <v>0</v>
      </c>
      <c r="F1296" t="str">
        <f>"001035"</f>
        <v>0</v>
      </c>
      <c r="G1296" t="s">
        <v>18359</v>
      </c>
    </row>
    <row r="1297" spans="1:7">
      <c r="A1297">
        <v>1296</v>
      </c>
      <c r="B1297" t="str">
        <f>"026619"</f>
        <v>0</v>
      </c>
      <c r="C1297" t="s">
        <v>19982</v>
      </c>
      <c r="D1297" t="s">
        <v>19983</v>
      </c>
      <c r="E1297" t="str">
        <f>"1529900509157"</f>
        <v>0</v>
      </c>
      <c r="F1297" t="str">
        <f>"001035"</f>
        <v>0</v>
      </c>
      <c r="G1297" t="s">
        <v>18359</v>
      </c>
    </row>
    <row r="1298" spans="1:7">
      <c r="A1298">
        <v>1297</v>
      </c>
      <c r="B1298" t="str">
        <f>"000393"</f>
        <v>0</v>
      </c>
      <c r="C1298" t="s">
        <v>445</v>
      </c>
      <c r="D1298" t="s">
        <v>7542</v>
      </c>
      <c r="E1298" t="str">
        <f>"3330300949377"</f>
        <v>0</v>
      </c>
      <c r="F1298" t="str">
        <f>"001040"</f>
        <v>0</v>
      </c>
      <c r="G1298" t="s">
        <v>18359</v>
      </c>
    </row>
    <row r="1299" spans="1:7">
      <c r="A1299">
        <v>1298</v>
      </c>
      <c r="B1299" t="str">
        <f>"002519"</f>
        <v>0</v>
      </c>
      <c r="C1299" t="s">
        <v>470</v>
      </c>
      <c r="D1299" t="s">
        <v>19984</v>
      </c>
      <c r="E1299" t="str">
        <f>"3130400029841"</f>
        <v>0</v>
      </c>
      <c r="F1299" t="str">
        <f>"001040"</f>
        <v>0</v>
      </c>
      <c r="G1299" t="s">
        <v>18359</v>
      </c>
    </row>
    <row r="1300" spans="1:7">
      <c r="A1300">
        <v>1299</v>
      </c>
      <c r="B1300" t="str">
        <f>"024196"</f>
        <v>0</v>
      </c>
      <c r="C1300" t="s">
        <v>15966</v>
      </c>
      <c r="D1300" t="s">
        <v>8923</v>
      </c>
      <c r="E1300" t="str">
        <f>"3130300237166"</f>
        <v>0</v>
      </c>
      <c r="F1300" t="str">
        <f>"001040"</f>
        <v>0</v>
      </c>
      <c r="G1300" t="s">
        <v>18359</v>
      </c>
    </row>
    <row r="1301" spans="1:7">
      <c r="A1301">
        <v>1300</v>
      </c>
      <c r="B1301" t="str">
        <f>"000272"</f>
        <v>0</v>
      </c>
      <c r="C1301" t="s">
        <v>686</v>
      </c>
      <c r="D1301" t="s">
        <v>10649</v>
      </c>
      <c r="E1301" t="str">
        <f>"3100101004358"</f>
        <v>0</v>
      </c>
      <c r="F1301" t="str">
        <f>"001040"</f>
        <v>0</v>
      </c>
      <c r="G1301" t="s">
        <v>18359</v>
      </c>
    </row>
    <row r="1302" spans="1:7">
      <c r="A1302">
        <v>1301</v>
      </c>
      <c r="B1302" t="str">
        <f>"001414"</f>
        <v>0</v>
      </c>
      <c r="C1302" t="s">
        <v>19985</v>
      </c>
      <c r="D1302" t="s">
        <v>19986</v>
      </c>
      <c r="E1302" t="str">
        <f>"3100101209707"</f>
        <v>0</v>
      </c>
      <c r="F1302" t="str">
        <f>"001040"</f>
        <v>0</v>
      </c>
      <c r="G1302" t="s">
        <v>18359</v>
      </c>
    </row>
    <row r="1303" spans="1:7">
      <c r="A1303">
        <v>1302</v>
      </c>
      <c r="B1303" t="str">
        <f>"023018"</f>
        <v>0</v>
      </c>
      <c r="C1303" t="s">
        <v>19987</v>
      </c>
      <c r="D1303" t="s">
        <v>19988</v>
      </c>
      <c r="E1303" t="str">
        <f>"3100504382571"</f>
        <v>0</v>
      </c>
      <c r="F1303" t="str">
        <f>"001040"</f>
        <v>0</v>
      </c>
      <c r="G1303" t="s">
        <v>18359</v>
      </c>
    </row>
    <row r="1304" spans="1:7">
      <c r="A1304">
        <v>1303</v>
      </c>
      <c r="B1304" t="str">
        <f>"023108"</f>
        <v>0</v>
      </c>
      <c r="C1304" t="s">
        <v>19989</v>
      </c>
      <c r="D1304" t="s">
        <v>17896</v>
      </c>
      <c r="E1304" t="str">
        <f>"1101500038498"</f>
        <v>0</v>
      </c>
      <c r="F1304" t="str">
        <f>"001040"</f>
        <v>0</v>
      </c>
      <c r="G1304" t="s">
        <v>18359</v>
      </c>
    </row>
    <row r="1305" spans="1:7">
      <c r="A1305">
        <v>1304</v>
      </c>
      <c r="B1305" t="str">
        <f>"025779"</f>
        <v>0</v>
      </c>
      <c r="C1305" t="s">
        <v>19990</v>
      </c>
      <c r="D1305" t="s">
        <v>19991</v>
      </c>
      <c r="E1305" t="str">
        <f>"3100502863173"</f>
        <v>0</v>
      </c>
      <c r="F1305" t="str">
        <f>"001040"</f>
        <v>0</v>
      </c>
      <c r="G1305" t="s">
        <v>18359</v>
      </c>
    </row>
    <row r="1306" spans="1:7">
      <c r="A1306">
        <v>1305</v>
      </c>
      <c r="B1306" t="str">
        <f>"010614"</f>
        <v>0</v>
      </c>
      <c r="C1306" t="s">
        <v>338</v>
      </c>
      <c r="D1306" t="s">
        <v>19992</v>
      </c>
      <c r="E1306" t="str">
        <f>"3180100349882"</f>
        <v>0</v>
      </c>
      <c r="F1306" t="str">
        <f>"001040"</f>
        <v>0</v>
      </c>
      <c r="G1306" t="s">
        <v>18359</v>
      </c>
    </row>
    <row r="1307" spans="1:7">
      <c r="A1307">
        <v>1306</v>
      </c>
      <c r="B1307" t="str">
        <f>"012852"</f>
        <v>0</v>
      </c>
      <c r="C1307" t="s">
        <v>2601</v>
      </c>
      <c r="D1307" t="s">
        <v>19993</v>
      </c>
      <c r="E1307" t="str">
        <f>"3150700051264"</f>
        <v>0</v>
      </c>
      <c r="F1307" t="str">
        <f>"001040"</f>
        <v>0</v>
      </c>
      <c r="G1307" t="s">
        <v>18359</v>
      </c>
    </row>
    <row r="1308" spans="1:7">
      <c r="A1308">
        <v>1307</v>
      </c>
      <c r="B1308" t="str">
        <f>"022762"</f>
        <v>0</v>
      </c>
      <c r="C1308" t="s">
        <v>19994</v>
      </c>
      <c r="D1308" t="s">
        <v>19995</v>
      </c>
      <c r="E1308" t="str">
        <f>"3720800408274"</f>
        <v>0</v>
      </c>
      <c r="F1308" t="str">
        <f>"001040"</f>
        <v>0</v>
      </c>
      <c r="G1308" t="s">
        <v>18359</v>
      </c>
    </row>
    <row r="1309" spans="1:7">
      <c r="A1309">
        <v>1308</v>
      </c>
      <c r="B1309" t="str">
        <f>"022830"</f>
        <v>0</v>
      </c>
      <c r="C1309" t="s">
        <v>19996</v>
      </c>
      <c r="D1309" t="s">
        <v>19997</v>
      </c>
      <c r="E1309" t="str">
        <f>"3260400125300"</f>
        <v>0</v>
      </c>
      <c r="F1309" t="str">
        <f>"001040"</f>
        <v>0</v>
      </c>
      <c r="G1309" t="s">
        <v>18359</v>
      </c>
    </row>
    <row r="1310" spans="1:7">
      <c r="A1310">
        <v>1309</v>
      </c>
      <c r="B1310" t="str">
        <f>"023974"</f>
        <v>0</v>
      </c>
      <c r="C1310" t="s">
        <v>18788</v>
      </c>
      <c r="D1310" t="s">
        <v>19998</v>
      </c>
      <c r="E1310" t="str">
        <f>"1301600026007"</f>
        <v>0</v>
      </c>
      <c r="F1310" t="str">
        <f>"001040"</f>
        <v>0</v>
      </c>
      <c r="G1310" t="s">
        <v>18359</v>
      </c>
    </row>
    <row r="1311" spans="1:7">
      <c r="A1311">
        <v>1310</v>
      </c>
      <c r="B1311" t="str">
        <f>"009042"</f>
        <v>0</v>
      </c>
      <c r="C1311" t="s">
        <v>3740</v>
      </c>
      <c r="D1311" t="s">
        <v>19999</v>
      </c>
      <c r="E1311" t="str">
        <f>"3779800083136"</f>
        <v>0</v>
      </c>
      <c r="F1311" t="str">
        <f>"001050"</f>
        <v>0</v>
      </c>
      <c r="G1311" t="s">
        <v>18359</v>
      </c>
    </row>
    <row r="1312" spans="1:7">
      <c r="A1312">
        <v>1311</v>
      </c>
      <c r="B1312" t="str">
        <f>"015721"</f>
        <v>0</v>
      </c>
      <c r="C1312" t="s">
        <v>5287</v>
      </c>
      <c r="D1312" t="s">
        <v>20000</v>
      </c>
      <c r="E1312" t="str">
        <f>"3779900072438"</f>
        <v>0</v>
      </c>
      <c r="F1312" t="str">
        <f>"001050"</f>
        <v>0</v>
      </c>
      <c r="G1312" t="s">
        <v>18359</v>
      </c>
    </row>
    <row r="1313" spans="1:7">
      <c r="A1313">
        <v>1312</v>
      </c>
      <c r="B1313" t="str">
        <f>"018400"</f>
        <v>0</v>
      </c>
      <c r="C1313" t="s">
        <v>15816</v>
      </c>
      <c r="D1313" t="s">
        <v>20001</v>
      </c>
      <c r="E1313" t="str">
        <f>"3770300262122"</f>
        <v>0</v>
      </c>
      <c r="F1313" t="str">
        <f>"001050"</f>
        <v>0</v>
      </c>
      <c r="G1313" t="s">
        <v>18359</v>
      </c>
    </row>
    <row r="1314" spans="1:7">
      <c r="A1314">
        <v>1313</v>
      </c>
      <c r="B1314" t="str">
        <f>"019563"</f>
        <v>0</v>
      </c>
      <c r="C1314" t="s">
        <v>20002</v>
      </c>
      <c r="D1314" t="s">
        <v>20003</v>
      </c>
      <c r="E1314" t="str">
        <f>"3770400570716"</f>
        <v>0</v>
      </c>
      <c r="F1314" t="str">
        <f>"001050"</f>
        <v>0</v>
      </c>
      <c r="G1314" t="s">
        <v>18359</v>
      </c>
    </row>
    <row r="1315" spans="1:7">
      <c r="A1315">
        <v>1314</v>
      </c>
      <c r="B1315" t="str">
        <f>"021570"</f>
        <v>0</v>
      </c>
      <c r="C1315" t="s">
        <v>20004</v>
      </c>
      <c r="D1315" t="s">
        <v>6151</v>
      </c>
      <c r="E1315" t="str">
        <f>"1709800009568"</f>
        <v>0</v>
      </c>
      <c r="F1315" t="str">
        <f>"001050"</f>
        <v>0</v>
      </c>
      <c r="G1315" t="s">
        <v>18359</v>
      </c>
    </row>
    <row r="1316" spans="1:7">
      <c r="A1316">
        <v>1315</v>
      </c>
      <c r="B1316" t="str">
        <f>"023830"</f>
        <v>0</v>
      </c>
      <c r="C1316" t="s">
        <v>20005</v>
      </c>
      <c r="D1316" t="s">
        <v>20006</v>
      </c>
      <c r="E1316" t="str">
        <f>"3760400245009"</f>
        <v>0</v>
      </c>
      <c r="F1316" t="str">
        <f>"001050"</f>
        <v>0</v>
      </c>
      <c r="G1316" t="s">
        <v>18359</v>
      </c>
    </row>
    <row r="1317" spans="1:7">
      <c r="A1317">
        <v>1316</v>
      </c>
      <c r="B1317" t="str">
        <f>"027031"</f>
        <v>0</v>
      </c>
      <c r="C1317" t="s">
        <v>20007</v>
      </c>
      <c r="D1317" t="s">
        <v>20008</v>
      </c>
      <c r="E1317" t="str">
        <f>"1709900277335"</f>
        <v>0</v>
      </c>
      <c r="F1317" t="str">
        <f>"001050"</f>
        <v>0</v>
      </c>
      <c r="G1317" t="s">
        <v>18359</v>
      </c>
    </row>
    <row r="1318" spans="1:7">
      <c r="A1318">
        <v>1317</v>
      </c>
      <c r="B1318" t="str">
        <f>"009781"</f>
        <v>0</v>
      </c>
      <c r="C1318" t="s">
        <v>20009</v>
      </c>
      <c r="D1318" t="s">
        <v>20010</v>
      </c>
      <c r="E1318" t="str">
        <f>"3401600820736"</f>
        <v>0</v>
      </c>
      <c r="F1318" t="str">
        <f>"001050"</f>
        <v>0</v>
      </c>
      <c r="G1318" t="s">
        <v>18359</v>
      </c>
    </row>
    <row r="1319" spans="1:7">
      <c r="A1319">
        <v>1318</v>
      </c>
      <c r="B1319" t="str">
        <f>"012913"</f>
        <v>0</v>
      </c>
      <c r="C1319" t="s">
        <v>1429</v>
      </c>
      <c r="D1319" t="s">
        <v>20011</v>
      </c>
      <c r="E1319" t="str">
        <f>"3770200273785"</f>
        <v>0</v>
      </c>
      <c r="F1319" t="str">
        <f>"001050"</f>
        <v>0</v>
      </c>
      <c r="G1319" t="s">
        <v>18359</v>
      </c>
    </row>
    <row r="1320" spans="1:7">
      <c r="A1320">
        <v>1319</v>
      </c>
      <c r="B1320" t="str">
        <f>"013202"</f>
        <v>0</v>
      </c>
      <c r="C1320" t="s">
        <v>6589</v>
      </c>
      <c r="D1320" t="s">
        <v>1984</v>
      </c>
      <c r="E1320" t="str">
        <f>"3860800061591"</f>
        <v>0</v>
      </c>
      <c r="F1320" t="str">
        <f>"001050"</f>
        <v>0</v>
      </c>
      <c r="G1320" t="s">
        <v>18359</v>
      </c>
    </row>
    <row r="1321" spans="1:7">
      <c r="A1321">
        <v>1320</v>
      </c>
      <c r="B1321" t="str">
        <f>"014414"</f>
        <v>0</v>
      </c>
      <c r="C1321" t="s">
        <v>68</v>
      </c>
      <c r="D1321" t="s">
        <v>20012</v>
      </c>
      <c r="E1321" t="str">
        <f>"3760200277438"</f>
        <v>0</v>
      </c>
      <c r="F1321" t="str">
        <f>"001050"</f>
        <v>0</v>
      </c>
      <c r="G1321" t="s">
        <v>18359</v>
      </c>
    </row>
    <row r="1322" spans="1:7">
      <c r="A1322">
        <v>1321</v>
      </c>
      <c r="B1322" t="str">
        <f>"014415"</f>
        <v>0</v>
      </c>
      <c r="C1322" t="s">
        <v>20013</v>
      </c>
      <c r="D1322" t="s">
        <v>20014</v>
      </c>
      <c r="E1322" t="str">
        <f>"3770600579105"</f>
        <v>0</v>
      </c>
      <c r="F1322" t="str">
        <f>"001050"</f>
        <v>0</v>
      </c>
      <c r="G1322" t="s">
        <v>18359</v>
      </c>
    </row>
    <row r="1323" spans="1:7">
      <c r="A1323">
        <v>1322</v>
      </c>
      <c r="B1323" t="str">
        <f>"018913"</f>
        <v>0</v>
      </c>
      <c r="C1323" t="s">
        <v>15966</v>
      </c>
      <c r="D1323" t="s">
        <v>20015</v>
      </c>
      <c r="E1323" t="str">
        <f>"3860100093059"</f>
        <v>0</v>
      </c>
      <c r="F1323" t="str">
        <f>"001050"</f>
        <v>0</v>
      </c>
      <c r="G1323" t="s">
        <v>18359</v>
      </c>
    </row>
    <row r="1324" spans="1:7">
      <c r="A1324">
        <v>1323</v>
      </c>
      <c r="B1324" t="str">
        <f>"019482"</f>
        <v>0</v>
      </c>
      <c r="C1324" t="s">
        <v>20016</v>
      </c>
      <c r="D1324" t="s">
        <v>20017</v>
      </c>
      <c r="E1324" t="str">
        <f>"3770200449905"</f>
        <v>0</v>
      </c>
      <c r="F1324" t="str">
        <f>"001050"</f>
        <v>0</v>
      </c>
      <c r="G1324" t="s">
        <v>18359</v>
      </c>
    </row>
    <row r="1325" spans="1:7">
      <c r="A1325">
        <v>1324</v>
      </c>
      <c r="B1325" t="str">
        <f>"020076"</f>
        <v>0</v>
      </c>
      <c r="C1325" t="s">
        <v>20018</v>
      </c>
      <c r="D1325" t="s">
        <v>1296</v>
      </c>
      <c r="E1325" t="str">
        <f>"3930500143656"</f>
        <v>0</v>
      </c>
      <c r="F1325" t="str">
        <f>"001050"</f>
        <v>0</v>
      </c>
      <c r="G1325" t="s">
        <v>18359</v>
      </c>
    </row>
    <row r="1326" spans="1:7">
      <c r="A1326">
        <v>1325</v>
      </c>
      <c r="B1326" t="str">
        <f>"022835"</f>
        <v>0</v>
      </c>
      <c r="C1326" t="s">
        <v>10461</v>
      </c>
      <c r="D1326" t="s">
        <v>20019</v>
      </c>
      <c r="E1326" t="str">
        <f>"3779900136941"</f>
        <v>0</v>
      </c>
      <c r="F1326" t="str">
        <f>"001050"</f>
        <v>0</v>
      </c>
      <c r="G1326" t="s">
        <v>18359</v>
      </c>
    </row>
    <row r="1327" spans="1:7">
      <c r="A1327">
        <v>1326</v>
      </c>
      <c r="B1327" t="str">
        <f>"022837"</f>
        <v>0</v>
      </c>
      <c r="C1327" t="s">
        <v>20020</v>
      </c>
      <c r="D1327" t="s">
        <v>20021</v>
      </c>
      <c r="E1327" t="str">
        <f>"3770500115603"</f>
        <v>0</v>
      </c>
      <c r="F1327" t="str">
        <f>"001050"</f>
        <v>0</v>
      </c>
      <c r="G1327" t="s">
        <v>18359</v>
      </c>
    </row>
    <row r="1328" spans="1:7">
      <c r="A1328">
        <v>1327</v>
      </c>
      <c r="B1328" t="str">
        <f>"024752"</f>
        <v>0</v>
      </c>
      <c r="C1328" t="s">
        <v>2379</v>
      </c>
      <c r="D1328" t="s">
        <v>20022</v>
      </c>
      <c r="E1328" t="str">
        <f>"1770600114319"</f>
        <v>0</v>
      </c>
      <c r="F1328" t="str">
        <f>"001050"</f>
        <v>0</v>
      </c>
      <c r="G1328" t="s">
        <v>18359</v>
      </c>
    </row>
    <row r="1329" spans="1:7">
      <c r="A1329">
        <v>1328</v>
      </c>
      <c r="B1329" t="str">
        <f>"025075"</f>
        <v>0</v>
      </c>
      <c r="C1329" t="s">
        <v>20023</v>
      </c>
      <c r="D1329" t="s">
        <v>20024</v>
      </c>
      <c r="E1329" t="str">
        <f>"3770400313748"</f>
        <v>0</v>
      </c>
      <c r="F1329" t="str">
        <f>"001050"</f>
        <v>0</v>
      </c>
      <c r="G1329" t="s">
        <v>18359</v>
      </c>
    </row>
    <row r="1330" spans="1:7">
      <c r="A1330">
        <v>1329</v>
      </c>
      <c r="B1330" t="str">
        <f>"011222"</f>
        <v>0</v>
      </c>
      <c r="C1330" t="s">
        <v>260</v>
      </c>
      <c r="D1330" t="s">
        <v>20025</v>
      </c>
      <c r="E1330" t="str">
        <f>"3169800010576"</f>
        <v>0</v>
      </c>
      <c r="F1330" t="str">
        <f>"001070"</f>
        <v>0</v>
      </c>
      <c r="G1330" t="s">
        <v>18359</v>
      </c>
    </row>
    <row r="1331" spans="1:7">
      <c r="A1331">
        <v>1330</v>
      </c>
      <c r="B1331" t="str">
        <f>"008780"</f>
        <v>0</v>
      </c>
      <c r="C1331" t="s">
        <v>2474</v>
      </c>
      <c r="D1331" t="s">
        <v>20026</v>
      </c>
      <c r="E1331" t="str">
        <f>"3260100533089"</f>
        <v>0</v>
      </c>
      <c r="F1331" t="str">
        <f>"001070"</f>
        <v>0</v>
      </c>
      <c r="G1331" t="s">
        <v>18359</v>
      </c>
    </row>
    <row r="1332" spans="1:7">
      <c r="A1332">
        <v>1331</v>
      </c>
      <c r="B1332" t="str">
        <f>"008952"</f>
        <v>0</v>
      </c>
      <c r="C1332" t="s">
        <v>20027</v>
      </c>
      <c r="D1332" t="s">
        <v>6202</v>
      </c>
      <c r="E1332" t="str">
        <f>"3269900072777"</f>
        <v>0</v>
      </c>
      <c r="F1332" t="str">
        <f>"001070"</f>
        <v>0</v>
      </c>
      <c r="G1332" t="s">
        <v>18359</v>
      </c>
    </row>
    <row r="1333" spans="1:7">
      <c r="A1333">
        <v>1332</v>
      </c>
      <c r="B1333" t="str">
        <f>"012725"</f>
        <v>0</v>
      </c>
      <c r="C1333" t="s">
        <v>3411</v>
      </c>
      <c r="D1333" t="s">
        <v>19182</v>
      </c>
      <c r="E1333" t="str">
        <f>"3801300522841"</f>
        <v>0</v>
      </c>
      <c r="F1333" t="str">
        <f>"001070"</f>
        <v>0</v>
      </c>
      <c r="G1333" t="s">
        <v>18359</v>
      </c>
    </row>
    <row r="1334" spans="1:7">
      <c r="A1334">
        <v>1333</v>
      </c>
      <c r="B1334" t="str">
        <f>"014999"</f>
        <v>0</v>
      </c>
      <c r="C1334" t="s">
        <v>1804</v>
      </c>
      <c r="D1334" t="s">
        <v>13702</v>
      </c>
      <c r="E1334" t="str">
        <f>"3330900788790"</f>
        <v>0</v>
      </c>
      <c r="F1334" t="str">
        <f>"001070"</f>
        <v>0</v>
      </c>
      <c r="G1334" t="s">
        <v>18359</v>
      </c>
    </row>
    <row r="1335" spans="1:7">
      <c r="A1335">
        <v>1334</v>
      </c>
      <c r="B1335" t="str">
        <f>"019644"</f>
        <v>0</v>
      </c>
      <c r="C1335" t="s">
        <v>20028</v>
      </c>
      <c r="D1335" t="s">
        <v>20029</v>
      </c>
      <c r="E1335" t="str">
        <f>"3669700026000"</f>
        <v>0</v>
      </c>
      <c r="F1335" t="str">
        <f>"001070"</f>
        <v>0</v>
      </c>
      <c r="G1335" t="s">
        <v>18359</v>
      </c>
    </row>
    <row r="1336" spans="1:7">
      <c r="A1336">
        <v>1335</v>
      </c>
      <c r="B1336" t="str">
        <f>"019844"</f>
        <v>0</v>
      </c>
      <c r="C1336" t="s">
        <v>20030</v>
      </c>
      <c r="D1336" t="s">
        <v>20031</v>
      </c>
      <c r="E1336" t="str">
        <f>"3100400018717"</f>
        <v>0</v>
      </c>
      <c r="F1336" t="str">
        <f>"001070"</f>
        <v>0</v>
      </c>
      <c r="G1336" t="s">
        <v>18359</v>
      </c>
    </row>
    <row r="1337" spans="1:7">
      <c r="A1337">
        <v>1336</v>
      </c>
      <c r="B1337" t="str">
        <f>"020879"</f>
        <v>0</v>
      </c>
      <c r="C1337" t="s">
        <v>3552</v>
      </c>
      <c r="D1337" t="s">
        <v>16820</v>
      </c>
      <c r="E1337" t="str">
        <f>"3170100093322"</f>
        <v>0</v>
      </c>
      <c r="F1337" t="str">
        <f>"001070"</f>
        <v>0</v>
      </c>
      <c r="G1337" t="s">
        <v>18359</v>
      </c>
    </row>
    <row r="1338" spans="1:7">
      <c r="A1338">
        <v>1337</v>
      </c>
      <c r="B1338" t="str">
        <f>"022630"</f>
        <v>0</v>
      </c>
      <c r="C1338" t="s">
        <v>20032</v>
      </c>
      <c r="D1338" t="s">
        <v>16820</v>
      </c>
      <c r="E1338" t="str">
        <f>"3250900061661"</f>
        <v>0</v>
      </c>
      <c r="F1338" t="str">
        <f>"001070"</f>
        <v>0</v>
      </c>
      <c r="G1338" t="s">
        <v>18359</v>
      </c>
    </row>
    <row r="1339" spans="1:7">
      <c r="A1339">
        <v>1338</v>
      </c>
      <c r="B1339" t="str">
        <f>"023706"</f>
        <v>0</v>
      </c>
      <c r="C1339" t="s">
        <v>1335</v>
      </c>
      <c r="D1339" t="s">
        <v>20033</v>
      </c>
      <c r="E1339" t="str">
        <f>"1250100143608"</f>
        <v>0</v>
      </c>
      <c r="F1339" t="str">
        <f>"001070"</f>
        <v>0</v>
      </c>
      <c r="G1339" t="s">
        <v>18359</v>
      </c>
    </row>
    <row r="1340" spans="1:7">
      <c r="A1340">
        <v>1339</v>
      </c>
      <c r="B1340" t="str">
        <f>"023978"</f>
        <v>0</v>
      </c>
      <c r="C1340" t="s">
        <v>1204</v>
      </c>
      <c r="D1340" t="s">
        <v>20034</v>
      </c>
      <c r="E1340" t="str">
        <f>"1250900003878"</f>
        <v>0</v>
      </c>
      <c r="F1340" t="str">
        <f>"001070"</f>
        <v>0</v>
      </c>
      <c r="G1340" t="s">
        <v>18359</v>
      </c>
    </row>
    <row r="1341" spans="1:7">
      <c r="A1341">
        <v>1340</v>
      </c>
      <c r="B1341" t="str">
        <f>"023980"</f>
        <v>0</v>
      </c>
      <c r="C1341" t="s">
        <v>4182</v>
      </c>
      <c r="D1341" t="s">
        <v>20035</v>
      </c>
      <c r="E1341" t="str">
        <f>"1250100051762"</f>
        <v>0</v>
      </c>
      <c r="F1341" t="str">
        <f>"001070"</f>
        <v>0</v>
      </c>
      <c r="G1341" t="s">
        <v>18359</v>
      </c>
    </row>
    <row r="1342" spans="1:7">
      <c r="A1342">
        <v>1341</v>
      </c>
      <c r="B1342" t="str">
        <f>"024305"</f>
        <v>0</v>
      </c>
      <c r="C1342" t="s">
        <v>20036</v>
      </c>
      <c r="D1342" t="s">
        <v>20037</v>
      </c>
      <c r="E1342" t="str">
        <f>"1461000094566"</f>
        <v>0</v>
      </c>
      <c r="F1342" t="str">
        <f>"001070"</f>
        <v>0</v>
      </c>
      <c r="G1342" t="s">
        <v>18359</v>
      </c>
    </row>
    <row r="1343" spans="1:7">
      <c r="A1343">
        <v>1342</v>
      </c>
      <c r="B1343" t="str">
        <f>"025106"</f>
        <v>0</v>
      </c>
      <c r="C1343" t="s">
        <v>20038</v>
      </c>
      <c r="D1343" t="s">
        <v>20039</v>
      </c>
      <c r="E1343" t="str">
        <f>"3349900818352"</f>
        <v>0</v>
      </c>
      <c r="F1343" t="str">
        <f>"001070"</f>
        <v>0</v>
      </c>
      <c r="G1343" t="s">
        <v>18359</v>
      </c>
    </row>
    <row r="1344" spans="1:7">
      <c r="A1344">
        <v>1343</v>
      </c>
      <c r="B1344" t="str">
        <f>"025611"</f>
        <v>0</v>
      </c>
      <c r="C1344" t="s">
        <v>20040</v>
      </c>
      <c r="D1344" t="s">
        <v>20041</v>
      </c>
      <c r="E1344" t="str">
        <f>"1250100161967"</f>
        <v>0</v>
      </c>
      <c r="F1344" t="str">
        <f>"001070"</f>
        <v>0</v>
      </c>
      <c r="G1344" t="s">
        <v>18359</v>
      </c>
    </row>
    <row r="1345" spans="1:7">
      <c r="A1345">
        <v>1344</v>
      </c>
      <c r="B1345" t="str">
        <f>"026153"</f>
        <v>0</v>
      </c>
      <c r="C1345" t="s">
        <v>20042</v>
      </c>
      <c r="D1345" t="s">
        <v>20043</v>
      </c>
      <c r="E1345" t="str">
        <f>"3260300078237"</f>
        <v>0</v>
      </c>
      <c r="F1345" t="str">
        <f>"001070"</f>
        <v>0</v>
      </c>
      <c r="G1345" t="s">
        <v>18359</v>
      </c>
    </row>
    <row r="1346" spans="1:7">
      <c r="A1346">
        <v>1345</v>
      </c>
      <c r="B1346" t="str">
        <f>"003164"</f>
        <v>0</v>
      </c>
      <c r="C1346" t="s">
        <v>20044</v>
      </c>
      <c r="D1346" t="s">
        <v>20045</v>
      </c>
      <c r="E1346" t="str">
        <f>"3940900425373"</f>
        <v>0</v>
      </c>
      <c r="F1346" t="str">
        <f>"001080"</f>
        <v>0</v>
      </c>
      <c r="G1346" t="s">
        <v>18359</v>
      </c>
    </row>
    <row r="1347" spans="1:7">
      <c r="A1347">
        <v>1346</v>
      </c>
      <c r="B1347" t="str">
        <f>"009705"</f>
        <v>0</v>
      </c>
      <c r="C1347" t="s">
        <v>20046</v>
      </c>
      <c r="D1347" t="s">
        <v>20047</v>
      </c>
      <c r="E1347" t="str">
        <f>"3940100302331"</f>
        <v>0</v>
      </c>
      <c r="F1347" t="str">
        <f>"001080"</f>
        <v>0</v>
      </c>
      <c r="G1347" t="s">
        <v>18359</v>
      </c>
    </row>
    <row r="1348" spans="1:7">
      <c r="A1348">
        <v>1347</v>
      </c>
      <c r="B1348" t="str">
        <f>"011331"</f>
        <v>0</v>
      </c>
      <c r="C1348" t="s">
        <v>5129</v>
      </c>
      <c r="D1348" t="s">
        <v>20048</v>
      </c>
      <c r="E1348" t="str">
        <f>"3949900066703"</f>
        <v>0</v>
      </c>
      <c r="F1348" t="str">
        <f>"001080"</f>
        <v>0</v>
      </c>
      <c r="G1348" t="s">
        <v>18359</v>
      </c>
    </row>
    <row r="1349" spans="1:7">
      <c r="A1349">
        <v>1348</v>
      </c>
      <c r="B1349" t="str">
        <f>"021206"</f>
        <v>0</v>
      </c>
      <c r="C1349" t="s">
        <v>20049</v>
      </c>
      <c r="D1349" t="s">
        <v>20050</v>
      </c>
      <c r="E1349" t="str">
        <f>"3940900063111"</f>
        <v>0</v>
      </c>
      <c r="F1349" t="str">
        <f>"001080"</f>
        <v>0</v>
      </c>
      <c r="G1349" t="s">
        <v>18359</v>
      </c>
    </row>
    <row r="1350" spans="1:7">
      <c r="A1350">
        <v>1349</v>
      </c>
      <c r="B1350" t="str">
        <f>"021207"</f>
        <v>0</v>
      </c>
      <c r="C1350" t="s">
        <v>20051</v>
      </c>
      <c r="D1350" t="s">
        <v>20052</v>
      </c>
      <c r="E1350" t="str">
        <f>"3949900328392"</f>
        <v>0</v>
      </c>
      <c r="F1350" t="str">
        <f>"001080"</f>
        <v>0</v>
      </c>
      <c r="G1350" t="s">
        <v>18359</v>
      </c>
    </row>
    <row r="1351" spans="1:7">
      <c r="A1351">
        <v>1350</v>
      </c>
      <c r="B1351" t="str">
        <f>"021575"</f>
        <v>0</v>
      </c>
      <c r="C1351" t="s">
        <v>20053</v>
      </c>
      <c r="D1351" t="s">
        <v>20054</v>
      </c>
      <c r="E1351" t="str">
        <f>"3940100412064"</f>
        <v>0</v>
      </c>
      <c r="F1351" t="str">
        <f>"001080"</f>
        <v>0</v>
      </c>
      <c r="G1351" t="s">
        <v>18359</v>
      </c>
    </row>
    <row r="1352" spans="1:7">
      <c r="A1352">
        <v>1351</v>
      </c>
      <c r="B1352" t="str">
        <f>"022834"</f>
        <v>0</v>
      </c>
      <c r="C1352" t="s">
        <v>20055</v>
      </c>
      <c r="D1352" t="s">
        <v>20056</v>
      </c>
      <c r="E1352" t="str">
        <f>"3470800649568"</f>
        <v>0</v>
      </c>
      <c r="F1352" t="str">
        <f>"001080"</f>
        <v>0</v>
      </c>
      <c r="G1352" t="s">
        <v>18359</v>
      </c>
    </row>
    <row r="1353" spans="1:7">
      <c r="A1353">
        <v>1352</v>
      </c>
      <c r="B1353" t="str">
        <f>"024049"</f>
        <v>0</v>
      </c>
      <c r="C1353" t="s">
        <v>20057</v>
      </c>
      <c r="D1353" t="s">
        <v>20058</v>
      </c>
      <c r="E1353" t="str">
        <f>"1949900098251"</f>
        <v>0</v>
      </c>
      <c r="F1353" t="str">
        <f>"001080"</f>
        <v>0</v>
      </c>
      <c r="G1353" t="s">
        <v>18359</v>
      </c>
    </row>
    <row r="1354" spans="1:7">
      <c r="A1354">
        <v>1353</v>
      </c>
      <c r="B1354" t="str">
        <f>"024051"</f>
        <v>0</v>
      </c>
      <c r="C1354" t="s">
        <v>20059</v>
      </c>
      <c r="D1354" t="s">
        <v>20060</v>
      </c>
      <c r="E1354" t="str">
        <f>"3949900013090"</f>
        <v>0</v>
      </c>
      <c r="F1354" t="str">
        <f>"001080"</f>
        <v>0</v>
      </c>
      <c r="G1354" t="s">
        <v>18359</v>
      </c>
    </row>
    <row r="1355" spans="1:7">
      <c r="A1355">
        <v>1354</v>
      </c>
      <c r="B1355" t="str">
        <f>"026004"</f>
        <v>0</v>
      </c>
      <c r="C1355" t="s">
        <v>20061</v>
      </c>
      <c r="D1355" t="s">
        <v>9759</v>
      </c>
      <c r="E1355" t="str">
        <f>"3949900201635"</f>
        <v>0</v>
      </c>
      <c r="F1355" t="str">
        <f>"001080"</f>
        <v>0</v>
      </c>
      <c r="G1355" t="s">
        <v>18359</v>
      </c>
    </row>
    <row r="1356" spans="1:7">
      <c r="A1356">
        <v>1355</v>
      </c>
      <c r="B1356" t="str">
        <f>"026154"</f>
        <v>0</v>
      </c>
      <c r="C1356" t="s">
        <v>20062</v>
      </c>
      <c r="D1356" t="s">
        <v>20063</v>
      </c>
      <c r="E1356" t="str">
        <f>"1940900191414"</f>
        <v>0</v>
      </c>
      <c r="F1356" t="str">
        <f>"001080"</f>
        <v>0</v>
      </c>
      <c r="G1356" t="s">
        <v>18359</v>
      </c>
    </row>
    <row r="1357" spans="1:7">
      <c r="A1357">
        <v>1356</v>
      </c>
      <c r="B1357" t="str">
        <f>"025612"</f>
        <v>0</v>
      </c>
      <c r="C1357" t="s">
        <v>399</v>
      </c>
      <c r="D1357" t="s">
        <v>20064</v>
      </c>
      <c r="E1357" t="str">
        <f>"1960200010875"</f>
        <v>0</v>
      </c>
      <c r="F1357" t="str">
        <f>"001080"</f>
        <v>0</v>
      </c>
      <c r="G1357" t="s">
        <v>18359</v>
      </c>
    </row>
    <row r="1358" spans="1:7">
      <c r="A1358">
        <v>1357</v>
      </c>
      <c r="B1358" t="str">
        <f>"000053"</f>
        <v>0</v>
      </c>
      <c r="C1358" t="s">
        <v>2980</v>
      </c>
      <c r="D1358" t="s">
        <v>20065</v>
      </c>
      <c r="E1358" t="str">
        <f>"3809900628648"</f>
        <v>0</v>
      </c>
      <c r="F1358" t="str">
        <f>"001100"</f>
        <v>0</v>
      </c>
      <c r="G1358" t="s">
        <v>18359</v>
      </c>
    </row>
    <row r="1359" spans="1:7">
      <c r="A1359">
        <v>1358</v>
      </c>
      <c r="B1359" t="str">
        <f>"000087"</f>
        <v>0</v>
      </c>
      <c r="C1359" t="s">
        <v>3040</v>
      </c>
      <c r="D1359" t="s">
        <v>20066</v>
      </c>
      <c r="E1359" t="str">
        <f>"3100502099767"</f>
        <v>0</v>
      </c>
      <c r="F1359" t="str">
        <f>"001100"</f>
        <v>0</v>
      </c>
      <c r="G1359" t="s">
        <v>18359</v>
      </c>
    </row>
    <row r="1360" spans="1:7">
      <c r="A1360">
        <v>1359</v>
      </c>
      <c r="B1360" t="str">
        <f>"000434"</f>
        <v>0</v>
      </c>
      <c r="C1360" t="s">
        <v>2820</v>
      </c>
      <c r="D1360" t="s">
        <v>20067</v>
      </c>
      <c r="E1360" t="str">
        <f>"3149900072336"</f>
        <v>0</v>
      </c>
      <c r="F1360" t="str">
        <f>"001100"</f>
        <v>0</v>
      </c>
      <c r="G1360" t="s">
        <v>18359</v>
      </c>
    </row>
    <row r="1361" spans="1:7">
      <c r="A1361">
        <v>1360</v>
      </c>
      <c r="B1361" t="str">
        <f>"000580"</f>
        <v>0</v>
      </c>
      <c r="C1361" t="s">
        <v>793</v>
      </c>
      <c r="D1361" t="s">
        <v>20068</v>
      </c>
      <c r="E1361" t="str">
        <f>"3149900023777"</f>
        <v>0</v>
      </c>
      <c r="F1361" t="str">
        <f>"001100"</f>
        <v>0</v>
      </c>
      <c r="G1361" t="s">
        <v>18359</v>
      </c>
    </row>
    <row r="1362" spans="1:7">
      <c r="A1362">
        <v>1361</v>
      </c>
      <c r="B1362" t="str">
        <f>"001114"</f>
        <v>0</v>
      </c>
      <c r="C1362" t="s">
        <v>20069</v>
      </c>
      <c r="D1362" t="s">
        <v>20070</v>
      </c>
      <c r="E1362" t="str">
        <f>"3610700021999"</f>
        <v>0</v>
      </c>
      <c r="F1362" t="str">
        <f>"001100"</f>
        <v>0</v>
      </c>
      <c r="G1362" t="s">
        <v>18359</v>
      </c>
    </row>
    <row r="1363" spans="1:7">
      <c r="A1363">
        <v>1362</v>
      </c>
      <c r="B1363" t="str">
        <f>"001494"</f>
        <v>0</v>
      </c>
      <c r="C1363" t="s">
        <v>373</v>
      </c>
      <c r="D1363" t="s">
        <v>20071</v>
      </c>
      <c r="E1363" t="str">
        <f>"3149900112192"</f>
        <v>0</v>
      </c>
      <c r="F1363" t="str">
        <f>"001100"</f>
        <v>0</v>
      </c>
      <c r="G1363" t="s">
        <v>18359</v>
      </c>
    </row>
    <row r="1364" spans="1:7">
      <c r="A1364">
        <v>1363</v>
      </c>
      <c r="B1364" t="str">
        <f>"001606"</f>
        <v>0</v>
      </c>
      <c r="C1364" t="s">
        <v>694</v>
      </c>
      <c r="D1364" t="s">
        <v>20072</v>
      </c>
      <c r="E1364" t="str">
        <f>"5160299001318"</f>
        <v>0</v>
      </c>
      <c r="F1364" t="str">
        <f>"001100"</f>
        <v>0</v>
      </c>
      <c r="G1364" t="s">
        <v>18359</v>
      </c>
    </row>
    <row r="1365" spans="1:7">
      <c r="A1365">
        <v>1364</v>
      </c>
      <c r="B1365" t="str">
        <f>"001678"</f>
        <v>0</v>
      </c>
      <c r="C1365" t="s">
        <v>574</v>
      </c>
      <c r="D1365" t="s">
        <v>20073</v>
      </c>
      <c r="E1365" t="str">
        <f>"3140100406380"</f>
        <v>0</v>
      </c>
      <c r="F1365" t="str">
        <f>"001100"</f>
        <v>0</v>
      </c>
      <c r="G1365" t="s">
        <v>18359</v>
      </c>
    </row>
    <row r="1366" spans="1:7">
      <c r="A1366">
        <v>1365</v>
      </c>
      <c r="B1366" t="str">
        <f>"002544"</f>
        <v>0</v>
      </c>
      <c r="C1366" t="s">
        <v>20074</v>
      </c>
      <c r="D1366" t="s">
        <v>20075</v>
      </c>
      <c r="E1366" t="str">
        <f>"3140100549954"</f>
        <v>0</v>
      </c>
      <c r="F1366" t="str">
        <f>"001100"</f>
        <v>0</v>
      </c>
      <c r="G1366" t="s">
        <v>18359</v>
      </c>
    </row>
    <row r="1367" spans="1:7">
      <c r="A1367">
        <v>1366</v>
      </c>
      <c r="B1367" t="str">
        <f>"002635"</f>
        <v>0</v>
      </c>
      <c r="C1367" t="s">
        <v>20076</v>
      </c>
      <c r="D1367" t="s">
        <v>9435</v>
      </c>
      <c r="E1367" t="str">
        <f>"3149900051673"</f>
        <v>0</v>
      </c>
      <c r="F1367" t="str">
        <f>"001100"</f>
        <v>0</v>
      </c>
      <c r="G1367" t="s">
        <v>18359</v>
      </c>
    </row>
    <row r="1368" spans="1:7">
      <c r="A1368">
        <v>1367</v>
      </c>
      <c r="B1368" t="str">
        <f>"002690"</f>
        <v>0</v>
      </c>
      <c r="C1368" t="s">
        <v>464</v>
      </c>
      <c r="D1368" t="s">
        <v>20077</v>
      </c>
      <c r="E1368" t="str">
        <f>"3140100027338"</f>
        <v>0</v>
      </c>
      <c r="F1368" t="str">
        <f>"001100"</f>
        <v>0</v>
      </c>
      <c r="G1368" t="s">
        <v>18359</v>
      </c>
    </row>
    <row r="1369" spans="1:7">
      <c r="A1369">
        <v>1368</v>
      </c>
      <c r="B1369" t="str">
        <f>"002761"</f>
        <v>0</v>
      </c>
      <c r="C1369" t="s">
        <v>239</v>
      </c>
      <c r="D1369" t="s">
        <v>13871</v>
      </c>
      <c r="E1369" t="str">
        <f>"3729900123563"</f>
        <v>0</v>
      </c>
      <c r="F1369" t="str">
        <f>"001100"</f>
        <v>0</v>
      </c>
      <c r="G1369" t="s">
        <v>18359</v>
      </c>
    </row>
    <row r="1370" spans="1:7">
      <c r="A1370">
        <v>1369</v>
      </c>
      <c r="B1370" t="str">
        <f>"003060"</f>
        <v>0</v>
      </c>
      <c r="C1370" t="s">
        <v>3090</v>
      </c>
      <c r="D1370" t="s">
        <v>20078</v>
      </c>
      <c r="E1370" t="str">
        <f>"3140100256647"</f>
        <v>0</v>
      </c>
      <c r="F1370" t="str">
        <f>"001100"</f>
        <v>0</v>
      </c>
      <c r="G1370" t="s">
        <v>18359</v>
      </c>
    </row>
    <row r="1371" spans="1:7">
      <c r="A1371">
        <v>1370</v>
      </c>
      <c r="B1371" t="str">
        <f>"003179"</f>
        <v>0</v>
      </c>
      <c r="C1371" t="s">
        <v>20079</v>
      </c>
      <c r="D1371" t="s">
        <v>20080</v>
      </c>
      <c r="E1371" t="str">
        <f>"3140600126432"</f>
        <v>0</v>
      </c>
      <c r="F1371" t="str">
        <f>"001100"</f>
        <v>0</v>
      </c>
      <c r="G1371" t="s">
        <v>18359</v>
      </c>
    </row>
    <row r="1372" spans="1:7">
      <c r="A1372">
        <v>1371</v>
      </c>
      <c r="B1372" t="str">
        <f>"003336"</f>
        <v>0</v>
      </c>
      <c r="C1372" t="s">
        <v>3073</v>
      </c>
      <c r="D1372" t="s">
        <v>16206</v>
      </c>
      <c r="E1372" t="str">
        <f>"3140700051761"</f>
        <v>0</v>
      </c>
      <c r="F1372" t="str">
        <f>"001100"</f>
        <v>0</v>
      </c>
      <c r="G1372" t="s">
        <v>18359</v>
      </c>
    </row>
    <row r="1373" spans="1:7">
      <c r="A1373">
        <v>1372</v>
      </c>
      <c r="B1373" t="str">
        <f>"003356"</f>
        <v>0</v>
      </c>
      <c r="C1373" t="s">
        <v>9442</v>
      </c>
      <c r="D1373" t="s">
        <v>20081</v>
      </c>
      <c r="E1373" t="str">
        <f>"3969900163733"</f>
        <v>0</v>
      </c>
      <c r="F1373" t="str">
        <f>"001100"</f>
        <v>0</v>
      </c>
      <c r="G1373" t="s">
        <v>18359</v>
      </c>
    </row>
    <row r="1374" spans="1:7">
      <c r="A1374">
        <v>1373</v>
      </c>
      <c r="B1374" t="str">
        <f>"003974"</f>
        <v>0</v>
      </c>
      <c r="C1374" t="s">
        <v>12889</v>
      </c>
      <c r="D1374" t="s">
        <v>20080</v>
      </c>
      <c r="E1374" t="str">
        <f>"5140600018946"</f>
        <v>0</v>
      </c>
      <c r="F1374" t="str">
        <f>"001100"</f>
        <v>0</v>
      </c>
      <c r="G1374" t="s">
        <v>18359</v>
      </c>
    </row>
    <row r="1375" spans="1:7">
      <c r="A1375">
        <v>1374</v>
      </c>
      <c r="B1375" t="str">
        <f>"005124"</f>
        <v>0</v>
      </c>
      <c r="C1375" t="s">
        <v>20082</v>
      </c>
      <c r="D1375" t="s">
        <v>18214</v>
      </c>
      <c r="E1375" t="str">
        <f>"3141400311211"</f>
        <v>0</v>
      </c>
      <c r="F1375" t="str">
        <f>"001100"</f>
        <v>0</v>
      </c>
      <c r="G1375" t="s">
        <v>18359</v>
      </c>
    </row>
    <row r="1376" spans="1:7">
      <c r="A1376">
        <v>1375</v>
      </c>
      <c r="B1376" t="str">
        <f>"006648"</f>
        <v>0</v>
      </c>
      <c r="C1376" t="s">
        <v>20083</v>
      </c>
      <c r="D1376" t="s">
        <v>20084</v>
      </c>
      <c r="E1376" t="str">
        <f>"3140900249696"</f>
        <v>0</v>
      </c>
      <c r="F1376" t="str">
        <f>"001100"</f>
        <v>0</v>
      </c>
      <c r="G1376" t="s">
        <v>18359</v>
      </c>
    </row>
    <row r="1377" spans="1:7">
      <c r="A1377">
        <v>1376</v>
      </c>
      <c r="B1377" t="str">
        <f>"007634"</f>
        <v>0</v>
      </c>
      <c r="C1377" t="s">
        <v>3812</v>
      </c>
      <c r="D1377" t="s">
        <v>11387</v>
      </c>
      <c r="E1377" t="str">
        <f>"3170500060332"</f>
        <v>0</v>
      </c>
      <c r="F1377" t="str">
        <f>"001100"</f>
        <v>0</v>
      </c>
      <c r="G1377" t="s">
        <v>18359</v>
      </c>
    </row>
    <row r="1378" spans="1:7">
      <c r="A1378">
        <v>1377</v>
      </c>
      <c r="B1378" t="str">
        <f>"007727"</f>
        <v>0</v>
      </c>
      <c r="C1378" t="s">
        <v>20085</v>
      </c>
      <c r="D1378" t="s">
        <v>9458</v>
      </c>
      <c r="E1378" t="str">
        <f>"3239900070618"</f>
        <v>0</v>
      </c>
      <c r="F1378" t="str">
        <f>"001100"</f>
        <v>0</v>
      </c>
      <c r="G1378" t="s">
        <v>18359</v>
      </c>
    </row>
    <row r="1379" spans="1:7">
      <c r="A1379">
        <v>1378</v>
      </c>
      <c r="B1379" t="str">
        <f>"008900"</f>
        <v>0</v>
      </c>
      <c r="C1379" t="s">
        <v>391</v>
      </c>
      <c r="D1379" t="s">
        <v>20086</v>
      </c>
      <c r="E1379" t="str">
        <f>"3149900335485"</f>
        <v>0</v>
      </c>
      <c r="F1379" t="str">
        <f>"001100"</f>
        <v>0</v>
      </c>
      <c r="G1379" t="s">
        <v>18359</v>
      </c>
    </row>
    <row r="1380" spans="1:7">
      <c r="A1380">
        <v>1379</v>
      </c>
      <c r="B1380" t="str">
        <f>"008987"</f>
        <v>0</v>
      </c>
      <c r="C1380" t="s">
        <v>2241</v>
      </c>
      <c r="D1380" t="s">
        <v>20087</v>
      </c>
      <c r="E1380" t="str">
        <f>"3140500213996"</f>
        <v>0</v>
      </c>
      <c r="F1380" t="str">
        <f>"001100"</f>
        <v>0</v>
      </c>
      <c r="G1380" t="s">
        <v>18359</v>
      </c>
    </row>
    <row r="1381" spans="1:7">
      <c r="A1381">
        <v>1380</v>
      </c>
      <c r="B1381" t="str">
        <f>"009314"</f>
        <v>0</v>
      </c>
      <c r="C1381" t="s">
        <v>20088</v>
      </c>
      <c r="D1381" t="s">
        <v>20089</v>
      </c>
      <c r="E1381" t="str">
        <f>"3140200304538"</f>
        <v>0</v>
      </c>
      <c r="F1381" t="str">
        <f>"001100"</f>
        <v>0</v>
      </c>
      <c r="G1381" t="s">
        <v>18359</v>
      </c>
    </row>
    <row r="1382" spans="1:7">
      <c r="A1382">
        <v>1381</v>
      </c>
      <c r="B1382" t="str">
        <f>"011409"</f>
        <v>0</v>
      </c>
      <c r="C1382" t="s">
        <v>5287</v>
      </c>
      <c r="D1382" t="s">
        <v>20090</v>
      </c>
      <c r="E1382" t="str">
        <f>"3140600064909"</f>
        <v>0</v>
      </c>
      <c r="F1382" t="str">
        <f>"001100"</f>
        <v>0</v>
      </c>
      <c r="G1382" t="s">
        <v>18359</v>
      </c>
    </row>
    <row r="1383" spans="1:7">
      <c r="A1383">
        <v>1382</v>
      </c>
      <c r="B1383" t="str">
        <f>"013629"</f>
        <v>0</v>
      </c>
      <c r="C1383" t="s">
        <v>4278</v>
      </c>
      <c r="D1383" t="s">
        <v>20091</v>
      </c>
      <c r="E1383" t="str">
        <f>"3140300190895"</f>
        <v>0</v>
      </c>
      <c r="F1383" t="str">
        <f>"001100"</f>
        <v>0</v>
      </c>
      <c r="G1383" t="s">
        <v>18359</v>
      </c>
    </row>
    <row r="1384" spans="1:7">
      <c r="A1384">
        <v>1383</v>
      </c>
      <c r="B1384" t="str">
        <f>"027292"</f>
        <v>0</v>
      </c>
      <c r="C1384" t="s">
        <v>20092</v>
      </c>
      <c r="D1384" t="s">
        <v>20093</v>
      </c>
      <c r="E1384" t="str">
        <f>"3149900260116"</f>
        <v>0</v>
      </c>
      <c r="F1384" t="str">
        <f>"001100"</f>
        <v>0</v>
      </c>
      <c r="G1384" t="s">
        <v>18359</v>
      </c>
    </row>
    <row r="1385" spans="1:7">
      <c r="A1385">
        <v>1384</v>
      </c>
      <c r="B1385" t="str">
        <f>"007348"</f>
        <v>0</v>
      </c>
      <c r="C1385" t="s">
        <v>389</v>
      </c>
      <c r="D1385" t="s">
        <v>20094</v>
      </c>
      <c r="E1385" t="str">
        <f>"3101800225222"</f>
        <v>0</v>
      </c>
      <c r="F1385" t="str">
        <f>"001100"</f>
        <v>0</v>
      </c>
      <c r="G1385" t="s">
        <v>18359</v>
      </c>
    </row>
    <row r="1386" spans="1:7">
      <c r="A1386">
        <v>1385</v>
      </c>
      <c r="B1386" t="str">
        <f>"017142"</f>
        <v>0</v>
      </c>
      <c r="C1386" t="s">
        <v>20095</v>
      </c>
      <c r="D1386" t="s">
        <v>20096</v>
      </c>
      <c r="E1386" t="str">
        <f>"3180400357023"</f>
        <v>0</v>
      </c>
      <c r="F1386" t="str">
        <f>"001100"</f>
        <v>0</v>
      </c>
      <c r="G1386" t="s">
        <v>18359</v>
      </c>
    </row>
    <row r="1387" spans="1:7">
      <c r="A1387">
        <v>1386</v>
      </c>
      <c r="B1387" t="str">
        <f>"019457"</f>
        <v>0</v>
      </c>
      <c r="C1387" t="s">
        <v>20097</v>
      </c>
      <c r="D1387" t="s">
        <v>20098</v>
      </c>
      <c r="E1387" t="str">
        <f>"4100600032924"</f>
        <v>0</v>
      </c>
      <c r="F1387" t="str">
        <f>"001100"</f>
        <v>0</v>
      </c>
      <c r="G1387" t="s">
        <v>18359</v>
      </c>
    </row>
    <row r="1388" spans="1:7">
      <c r="A1388">
        <v>1387</v>
      </c>
      <c r="B1388" t="str">
        <f>"018828"</f>
        <v>0</v>
      </c>
      <c r="C1388" t="s">
        <v>150</v>
      </c>
      <c r="D1388" t="s">
        <v>20099</v>
      </c>
      <c r="E1388" t="str">
        <f>"3600300457889"</f>
        <v>0</v>
      </c>
      <c r="F1388" t="str">
        <f>"001100"</f>
        <v>0</v>
      </c>
      <c r="G1388" t="s">
        <v>18359</v>
      </c>
    </row>
    <row r="1389" spans="1:7">
      <c r="A1389">
        <v>1388</v>
      </c>
      <c r="B1389" t="str">
        <f>"021435"</f>
        <v>0</v>
      </c>
      <c r="C1389" t="s">
        <v>957</v>
      </c>
      <c r="D1389" t="s">
        <v>20100</v>
      </c>
      <c r="E1389" t="str">
        <f>"3140300262705"</f>
        <v>0</v>
      </c>
      <c r="F1389" t="str">
        <f>"001100"</f>
        <v>0</v>
      </c>
      <c r="G1389" t="s">
        <v>18359</v>
      </c>
    </row>
    <row r="1390" spans="1:7">
      <c r="A1390">
        <v>1389</v>
      </c>
      <c r="B1390" t="str">
        <f>"022415"</f>
        <v>0</v>
      </c>
      <c r="C1390" t="s">
        <v>20101</v>
      </c>
      <c r="D1390" t="s">
        <v>20102</v>
      </c>
      <c r="E1390" t="str">
        <f>"3149800026740"</f>
        <v>0</v>
      </c>
      <c r="F1390" t="str">
        <f>"001100"</f>
        <v>0</v>
      </c>
      <c r="G1390" t="s">
        <v>18359</v>
      </c>
    </row>
    <row r="1391" spans="1:7">
      <c r="A1391">
        <v>1390</v>
      </c>
      <c r="B1391" t="str">
        <f>"023962"</f>
        <v>0</v>
      </c>
      <c r="C1391" t="s">
        <v>4018</v>
      </c>
      <c r="D1391" t="s">
        <v>20103</v>
      </c>
      <c r="E1391" t="str">
        <f>"3190300584532"</f>
        <v>0</v>
      </c>
      <c r="F1391" t="str">
        <f>"001100"</f>
        <v>0</v>
      </c>
      <c r="G1391" t="s">
        <v>18359</v>
      </c>
    </row>
    <row r="1392" spans="1:7">
      <c r="A1392">
        <v>1391</v>
      </c>
      <c r="B1392" t="str">
        <f>"025920"</f>
        <v>0</v>
      </c>
      <c r="C1392" t="s">
        <v>20104</v>
      </c>
      <c r="D1392" t="s">
        <v>6424</v>
      </c>
      <c r="E1392" t="str">
        <f>"1140100057621"</f>
        <v>0</v>
      </c>
      <c r="F1392" t="str">
        <f>"001100"</f>
        <v>0</v>
      </c>
      <c r="G1392" t="s">
        <v>18359</v>
      </c>
    </row>
    <row r="1393" spans="1:7">
      <c r="A1393">
        <v>1392</v>
      </c>
      <c r="B1393" t="str">
        <f>"023850"</f>
        <v>0</v>
      </c>
      <c r="C1393" t="s">
        <v>20105</v>
      </c>
      <c r="D1393" t="s">
        <v>20106</v>
      </c>
      <c r="E1393" t="str">
        <f>"3199700036182"</f>
        <v>0</v>
      </c>
      <c r="F1393" t="str">
        <f>"001100"</f>
        <v>0</v>
      </c>
      <c r="G1393" t="s">
        <v>18359</v>
      </c>
    </row>
    <row r="1394" spans="1:7">
      <c r="A1394">
        <v>1393</v>
      </c>
      <c r="B1394" t="str">
        <f>"027589"</f>
        <v>0</v>
      </c>
      <c r="C1394" t="s">
        <v>3455</v>
      </c>
      <c r="D1394" t="s">
        <v>20107</v>
      </c>
      <c r="E1394" t="str">
        <f>"1560100097832"</f>
        <v>0</v>
      </c>
      <c r="F1394" t="str">
        <f>"001100"</f>
        <v>0</v>
      </c>
      <c r="G1394" t="s">
        <v>18359</v>
      </c>
    </row>
    <row r="1395" spans="1:7">
      <c r="A1395">
        <v>1394</v>
      </c>
      <c r="B1395" t="str">
        <f>"000968"</f>
        <v>0</v>
      </c>
      <c r="C1395" t="s">
        <v>86</v>
      </c>
      <c r="D1395" t="s">
        <v>20108</v>
      </c>
      <c r="E1395" t="str">
        <f>"3820500131306"</f>
        <v>0</v>
      </c>
      <c r="F1395" t="str">
        <f>"001110"</f>
        <v>0</v>
      </c>
      <c r="G1395" t="s">
        <v>18359</v>
      </c>
    </row>
    <row r="1396" spans="1:7">
      <c r="A1396">
        <v>1395</v>
      </c>
      <c r="B1396" t="str">
        <f>"023417"</f>
        <v>0</v>
      </c>
      <c r="C1396" t="s">
        <v>20109</v>
      </c>
      <c r="D1396" t="s">
        <v>20110</v>
      </c>
      <c r="E1396" t="str">
        <f>"4100600001484"</f>
        <v>0</v>
      </c>
      <c r="F1396" t="str">
        <f>"001110"</f>
        <v>0</v>
      </c>
      <c r="G1396" t="s">
        <v>18359</v>
      </c>
    </row>
    <row r="1397" spans="1:7">
      <c r="A1397">
        <v>1396</v>
      </c>
      <c r="B1397" t="str">
        <f>"014054"</f>
        <v>0</v>
      </c>
      <c r="C1397" t="s">
        <v>5728</v>
      </c>
      <c r="D1397" t="s">
        <v>20111</v>
      </c>
      <c r="E1397" t="str">
        <f>"3830300429891"</f>
        <v>0</v>
      </c>
      <c r="F1397" t="str">
        <f>"001110"</f>
        <v>0</v>
      </c>
      <c r="G1397" t="s">
        <v>18359</v>
      </c>
    </row>
    <row r="1398" spans="1:7">
      <c r="A1398">
        <v>1397</v>
      </c>
      <c r="B1398" t="str">
        <f>"024058"</f>
        <v>0</v>
      </c>
      <c r="C1398" t="s">
        <v>2648</v>
      </c>
      <c r="D1398" t="s">
        <v>20112</v>
      </c>
      <c r="E1398" t="str">
        <f>"3340701432766"</f>
        <v>0</v>
      </c>
      <c r="F1398" t="str">
        <f>"001110"</f>
        <v>0</v>
      </c>
      <c r="G1398" t="s">
        <v>18359</v>
      </c>
    </row>
    <row r="1399" spans="1:7">
      <c r="A1399">
        <v>1398</v>
      </c>
      <c r="B1399" t="str">
        <f>"023410"</f>
        <v>0</v>
      </c>
      <c r="C1399" t="s">
        <v>20113</v>
      </c>
      <c r="D1399" t="s">
        <v>20114</v>
      </c>
      <c r="E1399" t="str">
        <f>"1509900062527"</f>
        <v>0</v>
      </c>
      <c r="F1399" t="str">
        <f>"001110"</f>
        <v>0</v>
      </c>
      <c r="G1399" t="s">
        <v>18359</v>
      </c>
    </row>
    <row r="1400" spans="1:7">
      <c r="A1400">
        <v>1399</v>
      </c>
      <c r="B1400" t="str">
        <f>"025924"</f>
        <v>0</v>
      </c>
      <c r="C1400" t="s">
        <v>3486</v>
      </c>
      <c r="D1400" t="s">
        <v>20115</v>
      </c>
      <c r="E1400" t="str">
        <f>"1679800012276"</f>
        <v>0</v>
      </c>
      <c r="F1400" t="str">
        <f>"001110"</f>
        <v>0</v>
      </c>
      <c r="G1400" t="s">
        <v>18359</v>
      </c>
    </row>
    <row r="1401" spans="1:7">
      <c r="A1401">
        <v>1400</v>
      </c>
      <c r="B1401" t="str">
        <f>"021393"</f>
        <v>0</v>
      </c>
      <c r="C1401" t="s">
        <v>20116</v>
      </c>
      <c r="D1401" t="s">
        <v>20117</v>
      </c>
      <c r="E1401" t="str">
        <f>"3801301026317"</f>
        <v>0</v>
      </c>
      <c r="F1401" t="str">
        <f>"001110"</f>
        <v>0</v>
      </c>
      <c r="G1401" t="s">
        <v>18359</v>
      </c>
    </row>
    <row r="1402" spans="1:7">
      <c r="A1402">
        <v>1401</v>
      </c>
      <c r="B1402" t="str">
        <f>"024634"</f>
        <v>0</v>
      </c>
      <c r="C1402" t="s">
        <v>1108</v>
      </c>
      <c r="D1402" t="s">
        <v>20118</v>
      </c>
      <c r="E1402" t="str">
        <f>"1800600105980"</f>
        <v>0</v>
      </c>
      <c r="F1402" t="str">
        <f>"001110"</f>
        <v>0</v>
      </c>
      <c r="G1402" t="s">
        <v>18359</v>
      </c>
    </row>
    <row r="1403" spans="1:7">
      <c r="A1403">
        <v>1402</v>
      </c>
      <c r="B1403" t="str">
        <f>"011080"</f>
        <v>0</v>
      </c>
      <c r="C1403" t="s">
        <v>12585</v>
      </c>
      <c r="D1403" t="s">
        <v>7389</v>
      </c>
      <c r="E1403" t="str">
        <f>"3810200201406"</f>
        <v>0</v>
      </c>
      <c r="F1403" t="str">
        <f>"001110"</f>
        <v>0</v>
      </c>
      <c r="G1403" t="s">
        <v>18359</v>
      </c>
    </row>
    <row r="1404" spans="1:7">
      <c r="A1404">
        <v>1403</v>
      </c>
      <c r="B1404" t="str">
        <f>"016097"</f>
        <v>0</v>
      </c>
      <c r="C1404" t="s">
        <v>239</v>
      </c>
      <c r="D1404" t="s">
        <v>9684</v>
      </c>
      <c r="E1404" t="str">
        <f>"3820100212350"</f>
        <v>0</v>
      </c>
      <c r="F1404" t="str">
        <f>"001110"</f>
        <v>0</v>
      </c>
      <c r="G1404" t="s">
        <v>18359</v>
      </c>
    </row>
    <row r="1405" spans="1:7">
      <c r="A1405">
        <v>1404</v>
      </c>
      <c r="B1405" t="str">
        <f>"021173"</f>
        <v>0</v>
      </c>
      <c r="C1405" t="s">
        <v>7880</v>
      </c>
      <c r="D1405" t="s">
        <v>20119</v>
      </c>
      <c r="E1405" t="str">
        <f>"3800900288873"</f>
        <v>0</v>
      </c>
      <c r="F1405" t="str">
        <f>"001110"</f>
        <v>0</v>
      </c>
      <c r="G1405" t="s">
        <v>18359</v>
      </c>
    </row>
    <row r="1406" spans="1:7">
      <c r="A1406">
        <v>1405</v>
      </c>
      <c r="B1406" t="str">
        <f>"011659"</f>
        <v>0</v>
      </c>
      <c r="C1406" t="s">
        <v>887</v>
      </c>
      <c r="D1406" t="s">
        <v>4663</v>
      </c>
      <c r="E1406" t="str">
        <f>"3841500282585"</f>
        <v>0</v>
      </c>
      <c r="F1406" t="str">
        <f>"001110"</f>
        <v>0</v>
      </c>
      <c r="G1406" t="s">
        <v>18359</v>
      </c>
    </row>
    <row r="1407" spans="1:7">
      <c r="A1407">
        <v>1406</v>
      </c>
      <c r="B1407" t="str">
        <f>"020666"</f>
        <v>0</v>
      </c>
      <c r="C1407" t="s">
        <v>20120</v>
      </c>
      <c r="D1407" t="s">
        <v>20121</v>
      </c>
      <c r="E1407" t="str">
        <f>"3810400383567"</f>
        <v>0</v>
      </c>
      <c r="F1407" t="str">
        <f>"001110"</f>
        <v>0</v>
      </c>
      <c r="G1407" t="s">
        <v>18359</v>
      </c>
    </row>
    <row r="1408" spans="1:7">
      <c r="A1408">
        <v>1407</v>
      </c>
      <c r="B1408" t="str">
        <f>"021011"</f>
        <v>0</v>
      </c>
      <c r="C1408" t="s">
        <v>20122</v>
      </c>
      <c r="D1408" t="s">
        <v>20123</v>
      </c>
      <c r="E1408" t="str">
        <f>"1829900005008"</f>
        <v>0</v>
      </c>
      <c r="F1408" t="str">
        <f>"001110"</f>
        <v>0</v>
      </c>
      <c r="G1408" t="s">
        <v>18359</v>
      </c>
    </row>
    <row r="1409" spans="1:7">
      <c r="A1409">
        <v>1408</v>
      </c>
      <c r="B1409" t="str">
        <f>"023414"</f>
        <v>0</v>
      </c>
      <c r="C1409" t="s">
        <v>634</v>
      </c>
      <c r="D1409" t="s">
        <v>20124</v>
      </c>
      <c r="E1409" t="str">
        <f>"3820300018328"</f>
        <v>0</v>
      </c>
      <c r="F1409" t="str">
        <f>"001110"</f>
        <v>0</v>
      </c>
      <c r="G1409" t="s">
        <v>18359</v>
      </c>
    </row>
    <row r="1410" spans="1:7">
      <c r="A1410">
        <v>1409</v>
      </c>
      <c r="B1410" t="str">
        <f>"024512"</f>
        <v>0</v>
      </c>
      <c r="C1410" t="s">
        <v>4727</v>
      </c>
      <c r="D1410" t="s">
        <v>20125</v>
      </c>
      <c r="E1410" t="str">
        <f>"1839900037490"</f>
        <v>0</v>
      </c>
      <c r="F1410" t="str">
        <f>"001110"</f>
        <v>0</v>
      </c>
      <c r="G1410" t="s">
        <v>18359</v>
      </c>
    </row>
    <row r="1411" spans="1:7">
      <c r="A1411">
        <v>1410</v>
      </c>
      <c r="B1411" t="str">
        <f>"024763"</f>
        <v>0</v>
      </c>
      <c r="C1411" t="s">
        <v>20126</v>
      </c>
      <c r="D1411" t="s">
        <v>20127</v>
      </c>
      <c r="E1411" t="str">
        <f>"1820700007505"</f>
        <v>0</v>
      </c>
      <c r="F1411" t="str">
        <f>"001110"</f>
        <v>0</v>
      </c>
      <c r="G1411" t="s">
        <v>18359</v>
      </c>
    </row>
    <row r="1412" spans="1:7">
      <c r="A1412">
        <v>1411</v>
      </c>
      <c r="B1412" t="str">
        <f>"025923"</f>
        <v>0</v>
      </c>
      <c r="C1412" t="s">
        <v>20128</v>
      </c>
      <c r="D1412" t="s">
        <v>20129</v>
      </c>
      <c r="E1412" t="str">
        <f>"1820800057911"</f>
        <v>0</v>
      </c>
      <c r="F1412" t="str">
        <f>"001110"</f>
        <v>0</v>
      </c>
      <c r="G1412" t="s">
        <v>18359</v>
      </c>
    </row>
    <row r="1413" spans="1:7">
      <c r="A1413">
        <v>1412</v>
      </c>
      <c r="B1413" t="str">
        <f>"026319"</f>
        <v>0</v>
      </c>
      <c r="C1413" t="s">
        <v>5647</v>
      </c>
      <c r="D1413" t="s">
        <v>20130</v>
      </c>
      <c r="E1413" t="str">
        <f>"1839900320671"</f>
        <v>0</v>
      </c>
      <c r="F1413" t="str">
        <f>"001110"</f>
        <v>0</v>
      </c>
      <c r="G1413" t="s">
        <v>18359</v>
      </c>
    </row>
    <row r="1414" spans="1:7">
      <c r="A1414">
        <v>1413</v>
      </c>
      <c r="B1414" t="str">
        <f>"026382"</f>
        <v>0</v>
      </c>
      <c r="C1414" t="s">
        <v>2603</v>
      </c>
      <c r="D1414" t="s">
        <v>20131</v>
      </c>
      <c r="E1414" t="str">
        <f>"1102700222242"</f>
        <v>0</v>
      </c>
      <c r="F1414" t="str">
        <f>"001110"</f>
        <v>0</v>
      </c>
      <c r="G1414" t="s">
        <v>18359</v>
      </c>
    </row>
    <row r="1415" spans="1:7">
      <c r="A1415">
        <v>1414</v>
      </c>
      <c r="B1415" t="str">
        <f>"026522"</f>
        <v>0</v>
      </c>
      <c r="C1415" t="s">
        <v>20132</v>
      </c>
      <c r="D1415" t="s">
        <v>20133</v>
      </c>
      <c r="E1415" t="str">
        <f>"1829900111797"</f>
        <v>0</v>
      </c>
      <c r="F1415" t="str">
        <f>"001110"</f>
        <v>0</v>
      </c>
      <c r="G1415" t="s">
        <v>18359</v>
      </c>
    </row>
    <row r="1416" spans="1:7">
      <c r="A1416">
        <v>1415</v>
      </c>
      <c r="B1416" t="str">
        <f>"026905"</f>
        <v>0</v>
      </c>
      <c r="C1416" t="s">
        <v>16374</v>
      </c>
      <c r="D1416" t="s">
        <v>20134</v>
      </c>
      <c r="E1416" t="str">
        <f>"1829900002190"</f>
        <v>0</v>
      </c>
      <c r="F1416" t="str">
        <f>"001110"</f>
        <v>0</v>
      </c>
      <c r="G1416" t="s">
        <v>18359</v>
      </c>
    </row>
    <row r="1417" spans="1:7">
      <c r="A1417">
        <v>1416</v>
      </c>
      <c r="B1417" t="str">
        <f>"023944"</f>
        <v>0</v>
      </c>
      <c r="C1417" t="s">
        <v>5070</v>
      </c>
      <c r="D1417" t="s">
        <v>20135</v>
      </c>
      <c r="E1417" t="str">
        <f>"1840400046271"</f>
        <v>0</v>
      </c>
      <c r="F1417" t="str">
        <f>"001110"</f>
        <v>0</v>
      </c>
      <c r="G1417" t="s">
        <v>18359</v>
      </c>
    </row>
    <row r="1418" spans="1:7">
      <c r="A1418">
        <v>1417</v>
      </c>
      <c r="B1418" t="str">
        <f>"025921"</f>
        <v>0</v>
      </c>
      <c r="C1418" t="s">
        <v>4727</v>
      </c>
      <c r="D1418" t="s">
        <v>20136</v>
      </c>
      <c r="E1418" t="str">
        <f>"1841300042746"</f>
        <v>0</v>
      </c>
      <c r="F1418" t="str">
        <f>"001110"</f>
        <v>0</v>
      </c>
      <c r="G1418" t="s">
        <v>18359</v>
      </c>
    </row>
    <row r="1419" spans="1:7">
      <c r="A1419">
        <v>1418</v>
      </c>
      <c r="B1419" t="str">
        <f>"026899"</f>
        <v>0</v>
      </c>
      <c r="C1419" t="s">
        <v>20137</v>
      </c>
      <c r="D1419" t="s">
        <v>20138</v>
      </c>
      <c r="E1419" t="str">
        <f>"3850100144869"</f>
        <v>0</v>
      </c>
      <c r="F1419" t="str">
        <f>"001110"</f>
        <v>0</v>
      </c>
      <c r="G1419" t="s">
        <v>18359</v>
      </c>
    </row>
    <row r="1420" spans="1:7">
      <c r="A1420">
        <v>1419</v>
      </c>
      <c r="B1420" t="str">
        <f>"020624"</f>
        <v>0</v>
      </c>
      <c r="C1420" t="s">
        <v>7129</v>
      </c>
      <c r="D1420" t="s">
        <v>6169</v>
      </c>
      <c r="E1420" t="str">
        <f>"3939900148157"</f>
        <v>0</v>
      </c>
      <c r="F1420" t="str">
        <f>"001110"</f>
        <v>0</v>
      </c>
      <c r="G1420" t="s">
        <v>18359</v>
      </c>
    </row>
    <row r="1421" spans="1:7">
      <c r="A1421">
        <v>1420</v>
      </c>
      <c r="B1421" t="str">
        <f>"023409"</f>
        <v>0</v>
      </c>
      <c r="C1421" t="s">
        <v>610</v>
      </c>
      <c r="D1421" t="s">
        <v>20139</v>
      </c>
      <c r="E1421" t="str">
        <f>"1930500016348"</f>
        <v>0</v>
      </c>
      <c r="F1421" t="str">
        <f>"001110"</f>
        <v>0</v>
      </c>
      <c r="G1421" t="s">
        <v>18359</v>
      </c>
    </row>
    <row r="1422" spans="1:7">
      <c r="A1422">
        <v>1421</v>
      </c>
      <c r="B1422" t="str">
        <f>"007745"</f>
        <v>0</v>
      </c>
      <c r="C1422" t="s">
        <v>1988</v>
      </c>
      <c r="D1422" t="s">
        <v>11247</v>
      </c>
      <c r="E1422" t="str">
        <f>"3930400030078"</f>
        <v>0</v>
      </c>
      <c r="F1422" t="str">
        <f>"001130"</f>
        <v>0</v>
      </c>
      <c r="G1422" t="s">
        <v>18359</v>
      </c>
    </row>
    <row r="1423" spans="1:7">
      <c r="A1423">
        <v>1422</v>
      </c>
      <c r="B1423" t="str">
        <f>"019411"</f>
        <v>0</v>
      </c>
      <c r="C1423" t="s">
        <v>15689</v>
      </c>
      <c r="D1423" t="s">
        <v>20140</v>
      </c>
      <c r="E1423" t="str">
        <f>"3930100957010"</f>
        <v>0</v>
      </c>
      <c r="F1423" t="str">
        <f>"001130"</f>
        <v>0</v>
      </c>
      <c r="G1423" t="s">
        <v>18359</v>
      </c>
    </row>
    <row r="1424" spans="1:7">
      <c r="A1424">
        <v>1423</v>
      </c>
      <c r="B1424" t="str">
        <f>"019909"</f>
        <v>0</v>
      </c>
      <c r="C1424" t="s">
        <v>20141</v>
      </c>
      <c r="D1424" t="s">
        <v>918</v>
      </c>
      <c r="E1424" t="str">
        <f>"3930600008327"</f>
        <v>0</v>
      </c>
      <c r="F1424" t="str">
        <f>"001130"</f>
        <v>0</v>
      </c>
      <c r="G1424" t="s">
        <v>18359</v>
      </c>
    </row>
    <row r="1425" spans="1:7">
      <c r="A1425">
        <v>1424</v>
      </c>
      <c r="B1425" t="str">
        <f>"015950"</f>
        <v>0</v>
      </c>
      <c r="C1425" t="s">
        <v>7842</v>
      </c>
      <c r="D1425" t="s">
        <v>5266</v>
      </c>
      <c r="E1425" t="str">
        <f>"3930300297421"</f>
        <v>0</v>
      </c>
      <c r="F1425" t="str">
        <f>"001130"</f>
        <v>0</v>
      </c>
      <c r="G1425" t="s">
        <v>18359</v>
      </c>
    </row>
    <row r="1426" spans="1:7">
      <c r="A1426">
        <v>1425</v>
      </c>
      <c r="B1426" t="str">
        <f>"017531"</f>
        <v>0</v>
      </c>
      <c r="C1426" t="s">
        <v>7231</v>
      </c>
      <c r="D1426" t="s">
        <v>20142</v>
      </c>
      <c r="E1426" t="str">
        <f>"3930500874294"</f>
        <v>0</v>
      </c>
      <c r="F1426" t="str">
        <f>"001130"</f>
        <v>0</v>
      </c>
      <c r="G1426" t="s">
        <v>18359</v>
      </c>
    </row>
    <row r="1427" spans="1:7">
      <c r="A1427">
        <v>1426</v>
      </c>
      <c r="B1427" t="str">
        <f>"017569"</f>
        <v>0</v>
      </c>
      <c r="C1427" t="s">
        <v>20143</v>
      </c>
      <c r="D1427" t="s">
        <v>20144</v>
      </c>
      <c r="E1427" t="str">
        <f>"3800300075429"</f>
        <v>0</v>
      </c>
      <c r="F1427" t="str">
        <f>"001130"</f>
        <v>0</v>
      </c>
      <c r="G1427" t="s">
        <v>18359</v>
      </c>
    </row>
    <row r="1428" spans="1:7">
      <c r="A1428">
        <v>1427</v>
      </c>
      <c r="B1428" t="str">
        <f>"017730"</f>
        <v>0</v>
      </c>
      <c r="C1428" t="s">
        <v>46</v>
      </c>
      <c r="D1428" t="s">
        <v>20145</v>
      </c>
      <c r="E1428" t="str">
        <f>"3930100130034"</f>
        <v>0</v>
      </c>
      <c r="F1428" t="str">
        <f>"001130"</f>
        <v>0</v>
      </c>
      <c r="G1428" t="s">
        <v>18359</v>
      </c>
    </row>
    <row r="1429" spans="1:7">
      <c r="A1429">
        <v>1428</v>
      </c>
      <c r="B1429" t="str">
        <f>"018319"</f>
        <v>0</v>
      </c>
      <c r="C1429" t="s">
        <v>20146</v>
      </c>
      <c r="D1429" t="s">
        <v>6156</v>
      </c>
      <c r="E1429" t="str">
        <f>"3930400019031"</f>
        <v>0</v>
      </c>
      <c r="F1429" t="str">
        <f>"001130"</f>
        <v>0</v>
      </c>
      <c r="G1429" t="s">
        <v>18359</v>
      </c>
    </row>
    <row r="1430" spans="1:7">
      <c r="A1430">
        <v>1429</v>
      </c>
      <c r="B1430" t="str">
        <f>"019533"</f>
        <v>0</v>
      </c>
      <c r="C1430" t="s">
        <v>3457</v>
      </c>
      <c r="D1430" t="s">
        <v>17845</v>
      </c>
      <c r="E1430" t="str">
        <f>"5809990009507"</f>
        <v>0</v>
      </c>
      <c r="F1430" t="str">
        <f>"001130"</f>
        <v>0</v>
      </c>
      <c r="G1430" t="s">
        <v>18359</v>
      </c>
    </row>
    <row r="1431" spans="1:7">
      <c r="A1431">
        <v>1430</v>
      </c>
      <c r="B1431" t="str">
        <f>"020708"</f>
        <v>0</v>
      </c>
      <c r="C1431" t="s">
        <v>20147</v>
      </c>
      <c r="D1431" t="s">
        <v>20148</v>
      </c>
      <c r="E1431" t="str">
        <f>"3930300520570"</f>
        <v>0</v>
      </c>
      <c r="F1431" t="str">
        <f>"001130"</f>
        <v>0</v>
      </c>
      <c r="G1431" t="s">
        <v>18359</v>
      </c>
    </row>
    <row r="1432" spans="1:7">
      <c r="A1432">
        <v>1431</v>
      </c>
      <c r="B1432" t="str">
        <f>"022075"</f>
        <v>0</v>
      </c>
      <c r="C1432" t="s">
        <v>11294</v>
      </c>
      <c r="D1432" t="s">
        <v>20149</v>
      </c>
      <c r="E1432" t="str">
        <f>"3930100908701"</f>
        <v>0</v>
      </c>
      <c r="F1432" t="str">
        <f>"001130"</f>
        <v>0</v>
      </c>
      <c r="G1432" t="s">
        <v>18359</v>
      </c>
    </row>
    <row r="1433" spans="1:7">
      <c r="A1433">
        <v>1432</v>
      </c>
      <c r="B1433" t="str">
        <f>"023280"</f>
        <v>0</v>
      </c>
      <c r="C1433" t="s">
        <v>20150</v>
      </c>
      <c r="D1433" t="s">
        <v>20151</v>
      </c>
      <c r="E1433" t="str">
        <f>"3930100550882"</f>
        <v>0</v>
      </c>
      <c r="F1433" t="str">
        <f>"001130"</f>
        <v>0</v>
      </c>
      <c r="G1433" t="s">
        <v>18359</v>
      </c>
    </row>
    <row r="1434" spans="1:7">
      <c r="A1434">
        <v>1433</v>
      </c>
      <c r="B1434" t="str">
        <f>"024002"</f>
        <v>0</v>
      </c>
      <c r="C1434" t="s">
        <v>18900</v>
      </c>
      <c r="D1434" t="s">
        <v>20152</v>
      </c>
      <c r="E1434" t="str">
        <f>"1909900120744"</f>
        <v>0</v>
      </c>
      <c r="F1434" t="str">
        <f>"001130"</f>
        <v>0</v>
      </c>
      <c r="G1434" t="s">
        <v>18359</v>
      </c>
    </row>
    <row r="1435" spans="1:7">
      <c r="A1435">
        <v>1434</v>
      </c>
      <c r="B1435" t="str">
        <f>"024225"</f>
        <v>0</v>
      </c>
      <c r="C1435" t="s">
        <v>18361</v>
      </c>
      <c r="D1435" t="s">
        <v>20153</v>
      </c>
      <c r="E1435" t="str">
        <f>"3930400150987"</f>
        <v>0</v>
      </c>
      <c r="F1435" t="str">
        <f>"001130"</f>
        <v>0</v>
      </c>
      <c r="G1435" t="s">
        <v>18359</v>
      </c>
    </row>
    <row r="1436" spans="1:7">
      <c r="A1436">
        <v>1435</v>
      </c>
      <c r="B1436" t="str">
        <f>"002517"</f>
        <v>0</v>
      </c>
      <c r="C1436" t="s">
        <v>7295</v>
      </c>
      <c r="D1436" t="s">
        <v>20154</v>
      </c>
      <c r="E1436" t="str">
        <f>"3669900161342"</f>
        <v>0</v>
      </c>
      <c r="F1436" t="str">
        <f>"001150"</f>
        <v>0</v>
      </c>
      <c r="G1436" t="s">
        <v>18359</v>
      </c>
    </row>
    <row r="1437" spans="1:7">
      <c r="A1437">
        <v>1436</v>
      </c>
      <c r="B1437" t="str">
        <f>"007747"</f>
        <v>0</v>
      </c>
      <c r="C1437" t="s">
        <v>20155</v>
      </c>
      <c r="D1437" t="s">
        <v>20156</v>
      </c>
      <c r="E1437" t="str">
        <f>"3660600431656"</f>
        <v>0</v>
      </c>
      <c r="F1437" t="str">
        <f>"001150"</f>
        <v>0</v>
      </c>
      <c r="G1437" t="s">
        <v>18359</v>
      </c>
    </row>
    <row r="1438" spans="1:7">
      <c r="A1438">
        <v>1437</v>
      </c>
      <c r="B1438" t="str">
        <f>"015600"</f>
        <v>0</v>
      </c>
      <c r="C1438" t="s">
        <v>2608</v>
      </c>
      <c r="D1438" t="s">
        <v>9974</v>
      </c>
      <c r="E1438" t="str">
        <f>"3102001505276"</f>
        <v>0</v>
      </c>
      <c r="F1438" t="str">
        <f>"001150"</f>
        <v>0</v>
      </c>
      <c r="G1438" t="s">
        <v>18359</v>
      </c>
    </row>
    <row r="1439" spans="1:7">
      <c r="A1439">
        <v>1438</v>
      </c>
      <c r="B1439" t="str">
        <f>"026161"</f>
        <v>0</v>
      </c>
      <c r="C1439" t="s">
        <v>20157</v>
      </c>
      <c r="D1439" t="s">
        <v>20158</v>
      </c>
      <c r="E1439" t="str">
        <f>"1509901367984"</f>
        <v>0</v>
      </c>
      <c r="F1439" t="str">
        <f>"001150"</f>
        <v>0</v>
      </c>
      <c r="G1439" t="s">
        <v>18359</v>
      </c>
    </row>
    <row r="1440" spans="1:7">
      <c r="A1440">
        <v>1439</v>
      </c>
      <c r="B1440" t="str">
        <f>"017244"</f>
        <v>0</v>
      </c>
      <c r="C1440" t="s">
        <v>1341</v>
      </c>
      <c r="D1440" t="s">
        <v>20159</v>
      </c>
      <c r="E1440" t="str">
        <f>"3660101027876"</f>
        <v>0</v>
      </c>
      <c r="F1440" t="str">
        <f>"001150"</f>
        <v>0</v>
      </c>
      <c r="G1440" t="s">
        <v>18359</v>
      </c>
    </row>
    <row r="1441" spans="1:7">
      <c r="A1441">
        <v>1440</v>
      </c>
      <c r="B1441" t="str">
        <f>"021701"</f>
        <v>0</v>
      </c>
      <c r="C1441" t="s">
        <v>20160</v>
      </c>
      <c r="D1441" t="s">
        <v>20161</v>
      </c>
      <c r="E1441" t="str">
        <f>"1660300011574"</f>
        <v>0</v>
      </c>
      <c r="F1441" t="str">
        <f>"001150"</f>
        <v>0</v>
      </c>
      <c r="G1441" t="s">
        <v>18359</v>
      </c>
    </row>
    <row r="1442" spans="1:7">
      <c r="A1442">
        <v>1441</v>
      </c>
      <c r="B1442" t="str">
        <f>"023419"</f>
        <v>0</v>
      </c>
      <c r="C1442" t="s">
        <v>5667</v>
      </c>
      <c r="D1442" t="s">
        <v>20162</v>
      </c>
      <c r="E1442" t="str">
        <f>"1660100022700"</f>
        <v>0</v>
      </c>
      <c r="F1442" t="str">
        <f>"001150"</f>
        <v>0</v>
      </c>
      <c r="G1442" t="s">
        <v>18359</v>
      </c>
    </row>
    <row r="1443" spans="1:7">
      <c r="A1443">
        <v>1442</v>
      </c>
      <c r="B1443" t="str">
        <f>"023508"</f>
        <v>0</v>
      </c>
      <c r="C1443" t="s">
        <v>20163</v>
      </c>
      <c r="D1443" t="s">
        <v>5628</v>
      </c>
      <c r="E1443" t="str">
        <f>"1660390003266"</f>
        <v>0</v>
      </c>
      <c r="F1443" t="str">
        <f>"001150"</f>
        <v>0</v>
      </c>
      <c r="G1443" t="s">
        <v>18359</v>
      </c>
    </row>
    <row r="1444" spans="1:7">
      <c r="A1444">
        <v>1443</v>
      </c>
      <c r="B1444" t="str">
        <f>"024115"</f>
        <v>0</v>
      </c>
      <c r="C1444" t="s">
        <v>1190</v>
      </c>
      <c r="D1444" t="s">
        <v>20164</v>
      </c>
      <c r="E1444" t="str">
        <f>"1669800023031"</f>
        <v>0</v>
      </c>
      <c r="F1444" t="str">
        <f>"001150"</f>
        <v>0</v>
      </c>
      <c r="G1444" t="s">
        <v>18359</v>
      </c>
    </row>
    <row r="1445" spans="1:7">
      <c r="A1445">
        <v>1444</v>
      </c>
      <c r="B1445" t="str">
        <f>"024233"</f>
        <v>0</v>
      </c>
      <c r="C1445" t="s">
        <v>13706</v>
      </c>
      <c r="D1445" t="s">
        <v>20165</v>
      </c>
      <c r="E1445" t="str">
        <f>"1659900273250"</f>
        <v>0</v>
      </c>
      <c r="F1445" t="str">
        <f>"001150"</f>
        <v>0</v>
      </c>
      <c r="G1445" t="s">
        <v>18359</v>
      </c>
    </row>
    <row r="1446" spans="1:7">
      <c r="A1446">
        <v>1445</v>
      </c>
      <c r="B1446" t="str">
        <f>"024248"</f>
        <v>0</v>
      </c>
      <c r="C1446" t="s">
        <v>4481</v>
      </c>
      <c r="D1446" t="s">
        <v>20166</v>
      </c>
      <c r="E1446" t="str">
        <f>"1669900088908"</f>
        <v>0</v>
      </c>
      <c r="F1446" t="str">
        <f>"001150"</f>
        <v>0</v>
      </c>
      <c r="G1446" t="s">
        <v>18359</v>
      </c>
    </row>
    <row r="1447" spans="1:7">
      <c r="A1447">
        <v>1446</v>
      </c>
      <c r="B1447" t="str">
        <f>"024503"</f>
        <v>0</v>
      </c>
      <c r="C1447" t="s">
        <v>20167</v>
      </c>
      <c r="D1447" t="s">
        <v>20168</v>
      </c>
      <c r="E1447" t="str">
        <f>"3660300287011"</f>
        <v>0</v>
      </c>
      <c r="F1447" t="str">
        <f>"001150"</f>
        <v>0</v>
      </c>
      <c r="G1447" t="s">
        <v>18359</v>
      </c>
    </row>
    <row r="1448" spans="1:7">
      <c r="A1448">
        <v>1447</v>
      </c>
      <c r="B1448" t="str">
        <f>"025624"</f>
        <v>0</v>
      </c>
      <c r="C1448" t="s">
        <v>20169</v>
      </c>
      <c r="D1448" t="s">
        <v>20170</v>
      </c>
      <c r="E1448" t="str">
        <f>"3660100643905"</f>
        <v>0</v>
      </c>
      <c r="F1448" t="str">
        <f>"001150"</f>
        <v>0</v>
      </c>
      <c r="G1448" t="s">
        <v>18359</v>
      </c>
    </row>
    <row r="1449" spans="1:7">
      <c r="A1449">
        <v>1448</v>
      </c>
      <c r="B1449" t="str">
        <f>"025625"</f>
        <v>0</v>
      </c>
      <c r="C1449" t="s">
        <v>9663</v>
      </c>
      <c r="D1449" t="s">
        <v>20171</v>
      </c>
      <c r="E1449" t="str">
        <f>"1669900220989"</f>
        <v>0</v>
      </c>
      <c r="F1449" t="str">
        <f>"001150"</f>
        <v>0</v>
      </c>
      <c r="G1449" t="s">
        <v>18359</v>
      </c>
    </row>
    <row r="1450" spans="1:7">
      <c r="A1450">
        <v>1449</v>
      </c>
      <c r="B1450" t="str">
        <f>"025808"</f>
        <v>0</v>
      </c>
      <c r="C1450" t="s">
        <v>14328</v>
      </c>
      <c r="D1450" t="s">
        <v>20172</v>
      </c>
      <c r="E1450" t="str">
        <f>"1669700014951"</f>
        <v>0</v>
      </c>
      <c r="F1450" t="str">
        <f>"001150"</f>
        <v>0</v>
      </c>
      <c r="G1450" t="s">
        <v>18359</v>
      </c>
    </row>
    <row r="1451" spans="1:7">
      <c r="A1451">
        <v>1450</v>
      </c>
      <c r="B1451" t="str">
        <f>"027153"</f>
        <v>0</v>
      </c>
      <c r="C1451" t="s">
        <v>20173</v>
      </c>
      <c r="D1451" t="s">
        <v>20174</v>
      </c>
      <c r="E1451" t="str">
        <f>"1129800066478"</f>
        <v>0</v>
      </c>
      <c r="F1451" t="str">
        <f>"001150"</f>
        <v>0</v>
      </c>
      <c r="G1451" t="s">
        <v>18359</v>
      </c>
    </row>
    <row r="1452" spans="1:7">
      <c r="A1452">
        <v>1451</v>
      </c>
      <c r="B1452" t="str">
        <f>"024409"</f>
        <v>0</v>
      </c>
      <c r="C1452" t="s">
        <v>20175</v>
      </c>
      <c r="D1452" t="s">
        <v>20176</v>
      </c>
      <c r="E1452" t="str">
        <f>"1669800004273"</f>
        <v>0</v>
      </c>
      <c r="F1452" t="str">
        <f>"001150"</f>
        <v>0</v>
      </c>
      <c r="G1452" t="s">
        <v>18359</v>
      </c>
    </row>
    <row r="1453" spans="1:7">
      <c r="A1453">
        <v>1452</v>
      </c>
      <c r="B1453" t="str">
        <f>"003302"</f>
        <v>0</v>
      </c>
      <c r="C1453" t="s">
        <v>46</v>
      </c>
      <c r="D1453" t="s">
        <v>4036</v>
      </c>
      <c r="E1453" t="str">
        <f>"3659900667173"</f>
        <v>0</v>
      </c>
      <c r="F1453" t="str">
        <f>"001160"</f>
        <v>0</v>
      </c>
      <c r="G1453" t="s">
        <v>18359</v>
      </c>
    </row>
    <row r="1454" spans="1:7">
      <c r="A1454">
        <v>1453</v>
      </c>
      <c r="B1454" t="str">
        <f>"005425"</f>
        <v>0</v>
      </c>
      <c r="C1454" t="s">
        <v>160</v>
      </c>
      <c r="D1454" t="s">
        <v>20177</v>
      </c>
      <c r="E1454" t="str">
        <f>"3669900030353"</f>
        <v>0</v>
      </c>
      <c r="F1454" t="str">
        <f>"001160"</f>
        <v>0</v>
      </c>
      <c r="G1454" t="s">
        <v>18359</v>
      </c>
    </row>
    <row r="1455" spans="1:7">
      <c r="A1455">
        <v>1454</v>
      </c>
      <c r="B1455" t="str">
        <f>"005430"</f>
        <v>0</v>
      </c>
      <c r="C1455" t="s">
        <v>20178</v>
      </c>
      <c r="D1455" t="s">
        <v>20179</v>
      </c>
      <c r="E1455" t="str">
        <f>"3650200350586"</f>
        <v>0</v>
      </c>
      <c r="F1455" t="str">
        <f>"001160"</f>
        <v>0</v>
      </c>
      <c r="G1455" t="s">
        <v>18359</v>
      </c>
    </row>
    <row r="1456" spans="1:7">
      <c r="A1456">
        <v>1455</v>
      </c>
      <c r="B1456" t="str">
        <f>"005432"</f>
        <v>0</v>
      </c>
      <c r="C1456" t="s">
        <v>20180</v>
      </c>
      <c r="D1456" t="s">
        <v>20181</v>
      </c>
      <c r="E1456" t="str">
        <f>"3510300216858"</f>
        <v>0</v>
      </c>
      <c r="F1456" t="str">
        <f>"001160"</f>
        <v>0</v>
      </c>
      <c r="G1456" t="s">
        <v>18359</v>
      </c>
    </row>
    <row r="1457" spans="1:7">
      <c r="A1457">
        <v>1456</v>
      </c>
      <c r="B1457" t="str">
        <f>"006236"</f>
        <v>0</v>
      </c>
      <c r="C1457" t="s">
        <v>3823</v>
      </c>
      <c r="D1457" t="s">
        <v>20182</v>
      </c>
      <c r="E1457" t="str">
        <f>"5650390004290"</f>
        <v>0</v>
      </c>
      <c r="F1457" t="str">
        <f>"001160"</f>
        <v>0</v>
      </c>
      <c r="G1457" t="s">
        <v>18359</v>
      </c>
    </row>
    <row r="1458" spans="1:7">
      <c r="A1458">
        <v>1457</v>
      </c>
      <c r="B1458" t="str">
        <f>"007183"</f>
        <v>0</v>
      </c>
      <c r="C1458" t="s">
        <v>3620</v>
      </c>
      <c r="D1458" t="s">
        <v>584</v>
      </c>
      <c r="E1458" t="str">
        <f>"3660500189993"</f>
        <v>0</v>
      </c>
      <c r="F1458" t="str">
        <f>"001160"</f>
        <v>0</v>
      </c>
      <c r="G1458" t="s">
        <v>18359</v>
      </c>
    </row>
    <row r="1459" spans="1:7">
      <c r="A1459">
        <v>1458</v>
      </c>
      <c r="B1459" t="str">
        <f>"007281"</f>
        <v>0</v>
      </c>
      <c r="C1459" t="s">
        <v>173</v>
      </c>
      <c r="D1459" t="s">
        <v>20183</v>
      </c>
      <c r="E1459" t="str">
        <f>"3659900350897"</f>
        <v>0</v>
      </c>
      <c r="F1459" t="str">
        <f>"001160"</f>
        <v>0</v>
      </c>
      <c r="G1459" t="s">
        <v>18359</v>
      </c>
    </row>
    <row r="1460" spans="1:7">
      <c r="A1460">
        <v>1459</v>
      </c>
      <c r="B1460" t="str">
        <f>"007446"</f>
        <v>0</v>
      </c>
      <c r="C1460" t="s">
        <v>11365</v>
      </c>
      <c r="D1460" t="s">
        <v>20184</v>
      </c>
      <c r="E1460" t="str">
        <f>"3160200039966"</f>
        <v>0</v>
      </c>
      <c r="F1460" t="str">
        <f>"001160"</f>
        <v>0</v>
      </c>
      <c r="G1460" t="s">
        <v>18359</v>
      </c>
    </row>
    <row r="1461" spans="1:7">
      <c r="A1461">
        <v>1460</v>
      </c>
      <c r="B1461" t="str">
        <f>"007560"</f>
        <v>0</v>
      </c>
      <c r="C1461" t="s">
        <v>20185</v>
      </c>
      <c r="D1461" t="s">
        <v>1656</v>
      </c>
      <c r="E1461" t="str">
        <f>"3650100689107"</f>
        <v>0</v>
      </c>
      <c r="F1461" t="str">
        <f>"001160"</f>
        <v>0</v>
      </c>
      <c r="G1461" t="s">
        <v>18359</v>
      </c>
    </row>
    <row r="1462" spans="1:7">
      <c r="A1462">
        <v>1461</v>
      </c>
      <c r="B1462" t="str">
        <f>"007588"</f>
        <v>0</v>
      </c>
      <c r="C1462" t="s">
        <v>1926</v>
      </c>
      <c r="D1462" t="s">
        <v>5683</v>
      </c>
      <c r="E1462" t="str">
        <f>"3650700159893"</f>
        <v>0</v>
      </c>
      <c r="F1462" t="str">
        <f>"001160"</f>
        <v>0</v>
      </c>
      <c r="G1462" t="s">
        <v>18359</v>
      </c>
    </row>
    <row r="1463" spans="1:7">
      <c r="A1463">
        <v>1462</v>
      </c>
      <c r="B1463" t="str">
        <f>"007644"</f>
        <v>0</v>
      </c>
      <c r="C1463" t="s">
        <v>20186</v>
      </c>
      <c r="D1463" t="s">
        <v>20187</v>
      </c>
      <c r="E1463" t="str">
        <f>"3650600829625"</f>
        <v>0</v>
      </c>
      <c r="F1463" t="str">
        <f>"001160"</f>
        <v>0</v>
      </c>
      <c r="G1463" t="s">
        <v>18359</v>
      </c>
    </row>
    <row r="1464" spans="1:7">
      <c r="A1464">
        <v>1463</v>
      </c>
      <c r="B1464" t="str">
        <f>"008273"</f>
        <v>0</v>
      </c>
      <c r="C1464" t="s">
        <v>44</v>
      </c>
      <c r="D1464" t="s">
        <v>4870</v>
      </c>
      <c r="E1464" t="str">
        <f>"3149900074185"</f>
        <v>0</v>
      </c>
      <c r="F1464" t="str">
        <f>"001160"</f>
        <v>0</v>
      </c>
      <c r="G1464" t="s">
        <v>18359</v>
      </c>
    </row>
    <row r="1465" spans="1:7">
      <c r="A1465">
        <v>1464</v>
      </c>
      <c r="B1465" t="str">
        <f>"009674"</f>
        <v>0</v>
      </c>
      <c r="C1465" t="s">
        <v>12024</v>
      </c>
      <c r="D1465" t="s">
        <v>8058</v>
      </c>
      <c r="E1465" t="str">
        <f>"3550100478000"</f>
        <v>0</v>
      </c>
      <c r="F1465" t="str">
        <f>"001160"</f>
        <v>0</v>
      </c>
      <c r="G1465" t="s">
        <v>18359</v>
      </c>
    </row>
    <row r="1466" spans="1:7">
      <c r="A1466">
        <v>1465</v>
      </c>
      <c r="B1466" t="str">
        <f>"010197"</f>
        <v>0</v>
      </c>
      <c r="C1466" t="s">
        <v>11920</v>
      </c>
      <c r="D1466" t="s">
        <v>20188</v>
      </c>
      <c r="E1466" t="str">
        <f>"3659900599585"</f>
        <v>0</v>
      </c>
      <c r="F1466" t="str">
        <f>"001160"</f>
        <v>0</v>
      </c>
      <c r="G1466" t="s">
        <v>18359</v>
      </c>
    </row>
    <row r="1467" spans="1:7">
      <c r="A1467">
        <v>1466</v>
      </c>
      <c r="B1467" t="str">
        <f>"014208"</f>
        <v>0</v>
      </c>
      <c r="C1467" t="s">
        <v>4928</v>
      </c>
      <c r="D1467" t="s">
        <v>20189</v>
      </c>
      <c r="E1467" t="str">
        <f>"3659900432699"</f>
        <v>0</v>
      </c>
      <c r="F1467" t="str">
        <f>"001160"</f>
        <v>0</v>
      </c>
      <c r="G1467" t="s">
        <v>18359</v>
      </c>
    </row>
    <row r="1468" spans="1:7">
      <c r="A1468">
        <v>1467</v>
      </c>
      <c r="B1468" t="str">
        <f>"015233"</f>
        <v>0</v>
      </c>
      <c r="C1468" t="s">
        <v>20190</v>
      </c>
      <c r="D1468" t="s">
        <v>20191</v>
      </c>
      <c r="E1468" t="str">
        <f>"3650101086686"</f>
        <v>0</v>
      </c>
      <c r="F1468" t="str">
        <f>"001160"</f>
        <v>0</v>
      </c>
      <c r="G1468" t="s">
        <v>18359</v>
      </c>
    </row>
    <row r="1469" spans="1:7">
      <c r="A1469">
        <v>1468</v>
      </c>
      <c r="B1469" t="str">
        <f>"022896"</f>
        <v>0</v>
      </c>
      <c r="C1469" t="s">
        <v>20192</v>
      </c>
      <c r="D1469" t="s">
        <v>20193</v>
      </c>
      <c r="E1469" t="str">
        <f>"3659900494236"</f>
        <v>0</v>
      </c>
      <c r="F1469" t="str">
        <f>"001160"</f>
        <v>0</v>
      </c>
      <c r="G1469" t="s">
        <v>18359</v>
      </c>
    </row>
    <row r="1470" spans="1:7">
      <c r="A1470">
        <v>1469</v>
      </c>
      <c r="B1470" t="str">
        <f>"015426"</f>
        <v>0</v>
      </c>
      <c r="C1470" t="s">
        <v>20194</v>
      </c>
      <c r="D1470" t="s">
        <v>5589</v>
      </c>
      <c r="E1470" t="str">
        <f>"3650100258629"</f>
        <v>0</v>
      </c>
      <c r="F1470" t="str">
        <f>"001160"</f>
        <v>0</v>
      </c>
      <c r="G1470" t="s">
        <v>18359</v>
      </c>
    </row>
    <row r="1471" spans="1:7">
      <c r="A1471">
        <v>1470</v>
      </c>
      <c r="B1471" t="str">
        <f>"009797"</f>
        <v>0</v>
      </c>
      <c r="C1471" t="s">
        <v>14147</v>
      </c>
      <c r="D1471" t="s">
        <v>20195</v>
      </c>
      <c r="E1471" t="str">
        <f>"3550400014432"</f>
        <v>0</v>
      </c>
      <c r="F1471" t="str">
        <f>"001160"</f>
        <v>0</v>
      </c>
      <c r="G1471" t="s">
        <v>18359</v>
      </c>
    </row>
    <row r="1472" spans="1:7">
      <c r="A1472">
        <v>1471</v>
      </c>
      <c r="B1472" t="str">
        <f>"018546"</f>
        <v>0</v>
      </c>
      <c r="C1472" t="s">
        <v>20196</v>
      </c>
      <c r="D1472" t="s">
        <v>20197</v>
      </c>
      <c r="E1472" t="str">
        <f>"3659900614592"</f>
        <v>0</v>
      </c>
      <c r="F1472" t="str">
        <f>"001160"</f>
        <v>0</v>
      </c>
      <c r="G1472" t="s">
        <v>18359</v>
      </c>
    </row>
    <row r="1473" spans="1:7">
      <c r="A1473">
        <v>1472</v>
      </c>
      <c r="B1473" t="str">
        <f>"021829"</f>
        <v>0</v>
      </c>
      <c r="C1473" t="s">
        <v>20198</v>
      </c>
      <c r="D1473" t="s">
        <v>10260</v>
      </c>
      <c r="E1473" t="str">
        <f>"3600100080757"</f>
        <v>0</v>
      </c>
      <c r="F1473" t="str">
        <f>"001160"</f>
        <v>0</v>
      </c>
      <c r="G1473" t="s">
        <v>18359</v>
      </c>
    </row>
    <row r="1474" spans="1:7">
      <c r="A1474">
        <v>1473</v>
      </c>
      <c r="B1474" t="str">
        <f>"021930"</f>
        <v>0</v>
      </c>
      <c r="C1474" t="s">
        <v>6770</v>
      </c>
      <c r="D1474" t="s">
        <v>20199</v>
      </c>
      <c r="E1474" t="str">
        <f>"3659900339486"</f>
        <v>0</v>
      </c>
      <c r="F1474" t="str">
        <f>"001160"</f>
        <v>0</v>
      </c>
      <c r="G1474" t="s">
        <v>18359</v>
      </c>
    </row>
    <row r="1475" spans="1:7">
      <c r="A1475">
        <v>1474</v>
      </c>
      <c r="B1475" t="str">
        <f>"022706"</f>
        <v>0</v>
      </c>
      <c r="C1475" t="s">
        <v>4903</v>
      </c>
      <c r="D1475" t="s">
        <v>20200</v>
      </c>
      <c r="E1475" t="str">
        <f>"3659900608266"</f>
        <v>0</v>
      </c>
      <c r="F1475" t="str">
        <f>"001160"</f>
        <v>0</v>
      </c>
      <c r="G1475" t="s">
        <v>18359</v>
      </c>
    </row>
    <row r="1476" spans="1:7">
      <c r="A1476">
        <v>1475</v>
      </c>
      <c r="B1476" t="str">
        <f>"022923"</f>
        <v>0</v>
      </c>
      <c r="C1476" t="s">
        <v>20201</v>
      </c>
      <c r="D1476" t="s">
        <v>20202</v>
      </c>
      <c r="E1476" t="str">
        <f>"1650900011460"</f>
        <v>0</v>
      </c>
      <c r="F1476" t="str">
        <f>"001160"</f>
        <v>0</v>
      </c>
      <c r="G1476" t="s">
        <v>18359</v>
      </c>
    </row>
    <row r="1477" spans="1:7">
      <c r="A1477">
        <v>1476</v>
      </c>
      <c r="B1477" t="str">
        <f>"023890"</f>
        <v>0</v>
      </c>
      <c r="C1477" t="s">
        <v>20203</v>
      </c>
      <c r="D1477" t="s">
        <v>10587</v>
      </c>
      <c r="E1477" t="str">
        <f>"3650600410250"</f>
        <v>0</v>
      </c>
      <c r="F1477" t="str">
        <f>"001160"</f>
        <v>0</v>
      </c>
      <c r="G1477" t="s">
        <v>18359</v>
      </c>
    </row>
    <row r="1478" spans="1:7">
      <c r="A1478">
        <v>1477</v>
      </c>
      <c r="B1478" t="str">
        <f>"024070"</f>
        <v>0</v>
      </c>
      <c r="C1478" t="s">
        <v>10023</v>
      </c>
      <c r="D1478" t="s">
        <v>20204</v>
      </c>
      <c r="E1478" t="str">
        <f>"3650801023440"</f>
        <v>0</v>
      </c>
      <c r="F1478" t="str">
        <f>"001160"</f>
        <v>0</v>
      </c>
      <c r="G1478" t="s">
        <v>18359</v>
      </c>
    </row>
    <row r="1479" spans="1:7">
      <c r="A1479">
        <v>1478</v>
      </c>
      <c r="B1479" t="str">
        <f>"024822"</f>
        <v>0</v>
      </c>
      <c r="C1479" t="s">
        <v>16405</v>
      </c>
      <c r="D1479" t="s">
        <v>20205</v>
      </c>
      <c r="E1479" t="str">
        <f>"1659900161486"</f>
        <v>0</v>
      </c>
      <c r="F1479" t="str">
        <f>"001160"</f>
        <v>0</v>
      </c>
      <c r="G1479" t="s">
        <v>18359</v>
      </c>
    </row>
    <row r="1480" spans="1:7">
      <c r="A1480">
        <v>1479</v>
      </c>
      <c r="B1480" t="str">
        <f>"025126"</f>
        <v>0</v>
      </c>
      <c r="C1480" t="s">
        <v>7988</v>
      </c>
      <c r="D1480" t="s">
        <v>20206</v>
      </c>
      <c r="E1480" t="str">
        <f>"3659900644653"</f>
        <v>0</v>
      </c>
      <c r="F1480" t="str">
        <f>"001160"</f>
        <v>0</v>
      </c>
      <c r="G1480" t="s">
        <v>18359</v>
      </c>
    </row>
    <row r="1481" spans="1:7">
      <c r="A1481">
        <v>1480</v>
      </c>
      <c r="B1481" t="str">
        <f>"025297"</f>
        <v>0</v>
      </c>
      <c r="C1481" t="s">
        <v>4492</v>
      </c>
      <c r="D1481" t="s">
        <v>20207</v>
      </c>
      <c r="E1481" t="str">
        <f>"1650700011351"</f>
        <v>0</v>
      </c>
      <c r="F1481" t="str">
        <f>"001160"</f>
        <v>0</v>
      </c>
      <c r="G1481" t="s">
        <v>18359</v>
      </c>
    </row>
    <row r="1482" spans="1:7">
      <c r="A1482">
        <v>1481</v>
      </c>
      <c r="B1482" t="str">
        <f>"025648"</f>
        <v>0</v>
      </c>
      <c r="C1482" t="s">
        <v>20208</v>
      </c>
      <c r="D1482" t="s">
        <v>20209</v>
      </c>
      <c r="E1482" t="str">
        <f>"1101500584573"</f>
        <v>0</v>
      </c>
      <c r="F1482" t="str">
        <f>"001160"</f>
        <v>0</v>
      </c>
      <c r="G1482" t="s">
        <v>18359</v>
      </c>
    </row>
    <row r="1483" spans="1:7">
      <c r="A1483">
        <v>1482</v>
      </c>
      <c r="B1483" t="str">
        <f>"025959"</f>
        <v>0</v>
      </c>
      <c r="C1483" t="s">
        <v>20210</v>
      </c>
      <c r="D1483" t="s">
        <v>20211</v>
      </c>
      <c r="E1483" t="str">
        <f>"1659900223589"</f>
        <v>0</v>
      </c>
      <c r="F1483" t="str">
        <f>"001160"</f>
        <v>0</v>
      </c>
      <c r="G1483" t="s">
        <v>18359</v>
      </c>
    </row>
    <row r="1484" spans="1:7">
      <c r="A1484">
        <v>1483</v>
      </c>
      <c r="B1484" t="str">
        <f>"026169"</f>
        <v>0</v>
      </c>
      <c r="C1484" t="s">
        <v>20212</v>
      </c>
      <c r="D1484" t="s">
        <v>3852</v>
      </c>
      <c r="E1484" t="str">
        <f>"3650500278457"</f>
        <v>0</v>
      </c>
      <c r="F1484" t="str">
        <f>"001160"</f>
        <v>0</v>
      </c>
      <c r="G1484" t="s">
        <v>18359</v>
      </c>
    </row>
    <row r="1485" spans="1:7">
      <c r="A1485">
        <v>1484</v>
      </c>
      <c r="B1485" t="str">
        <f>"027385"</f>
        <v>0</v>
      </c>
      <c r="C1485" t="s">
        <v>1229</v>
      </c>
      <c r="D1485" t="s">
        <v>20213</v>
      </c>
      <c r="E1485" t="str">
        <f>"1650500074910"</f>
        <v>0</v>
      </c>
      <c r="F1485" t="str">
        <f>"001160"</f>
        <v>0</v>
      </c>
      <c r="G1485" t="s">
        <v>18359</v>
      </c>
    </row>
    <row r="1486" spans="1:7">
      <c r="A1486">
        <v>1485</v>
      </c>
      <c r="B1486" t="str">
        <f>"027444"</f>
        <v>0</v>
      </c>
      <c r="C1486" t="s">
        <v>20214</v>
      </c>
      <c r="D1486" t="s">
        <v>20215</v>
      </c>
      <c r="E1486" t="str">
        <f>"3640900185316"</f>
        <v>0</v>
      </c>
      <c r="F1486" t="str">
        <f>"001160"</f>
        <v>0</v>
      </c>
      <c r="G1486" t="s">
        <v>18359</v>
      </c>
    </row>
    <row r="1487" spans="1:7">
      <c r="A1487">
        <v>1486</v>
      </c>
      <c r="B1487" t="str">
        <f>"020867"</f>
        <v>0</v>
      </c>
      <c r="C1487" t="s">
        <v>20216</v>
      </c>
      <c r="D1487" t="s">
        <v>13077</v>
      </c>
      <c r="E1487" t="str">
        <f>"3669900176340"</f>
        <v>0</v>
      </c>
      <c r="F1487" t="str">
        <f>"001160"</f>
        <v>0</v>
      </c>
      <c r="G1487" t="s">
        <v>18359</v>
      </c>
    </row>
    <row r="1488" spans="1:7">
      <c r="A1488">
        <v>1487</v>
      </c>
      <c r="B1488" t="str">
        <f>"020581"</f>
        <v>0</v>
      </c>
      <c r="C1488" t="s">
        <v>3090</v>
      </c>
      <c r="D1488" t="s">
        <v>20217</v>
      </c>
      <c r="E1488" t="str">
        <f>"3629900021231"</f>
        <v>0</v>
      </c>
      <c r="F1488" t="str">
        <f>"001160"</f>
        <v>0</v>
      </c>
      <c r="G1488" t="s">
        <v>18359</v>
      </c>
    </row>
    <row r="1489" spans="1:7">
      <c r="A1489">
        <v>1488</v>
      </c>
      <c r="B1489" t="str">
        <f>"025628"</f>
        <v>0</v>
      </c>
      <c r="C1489" t="s">
        <v>20218</v>
      </c>
      <c r="D1489" t="s">
        <v>10338</v>
      </c>
      <c r="E1489" t="str">
        <f>"1309900405418"</f>
        <v>0</v>
      </c>
      <c r="F1489" t="str">
        <f>"001160"</f>
        <v>0</v>
      </c>
      <c r="G1489" t="s">
        <v>18359</v>
      </c>
    </row>
    <row r="1490" spans="1:7">
      <c r="A1490">
        <v>1489</v>
      </c>
      <c r="B1490" t="str">
        <f>"012637"</f>
        <v>0</v>
      </c>
      <c r="C1490" t="s">
        <v>3620</v>
      </c>
      <c r="D1490" t="s">
        <v>20219</v>
      </c>
      <c r="E1490" t="str">
        <f>"3600500751993"</f>
        <v>0</v>
      </c>
      <c r="F1490" t="str">
        <f>"001190"</f>
        <v>0</v>
      </c>
      <c r="G1490" t="s">
        <v>18359</v>
      </c>
    </row>
    <row r="1491" spans="1:7">
      <c r="A1491">
        <v>1490</v>
      </c>
      <c r="B1491" t="str">
        <f>"009476"</f>
        <v>0</v>
      </c>
      <c r="C1491" t="s">
        <v>520</v>
      </c>
      <c r="D1491" t="s">
        <v>20220</v>
      </c>
      <c r="E1491" t="str">
        <f>"3530200177826"</f>
        <v>0</v>
      </c>
      <c r="F1491" t="str">
        <f>"001190"</f>
        <v>0</v>
      </c>
      <c r="G1491" t="s">
        <v>18359</v>
      </c>
    </row>
    <row r="1492" spans="1:7">
      <c r="A1492">
        <v>1491</v>
      </c>
      <c r="B1492" t="str">
        <f>"021921"</f>
        <v>0</v>
      </c>
      <c r="C1492" t="s">
        <v>20221</v>
      </c>
      <c r="D1492" t="s">
        <v>20222</v>
      </c>
      <c r="E1492" t="str">
        <f>"3530100424198"</f>
        <v>0</v>
      </c>
      <c r="F1492" t="str">
        <f>"001190"</f>
        <v>0</v>
      </c>
      <c r="G1492" t="s">
        <v>18359</v>
      </c>
    </row>
    <row r="1493" spans="1:7">
      <c r="A1493">
        <v>1492</v>
      </c>
      <c r="B1493" t="str">
        <f>"022819"</f>
        <v>0</v>
      </c>
      <c r="C1493" t="s">
        <v>20223</v>
      </c>
      <c r="D1493" t="s">
        <v>20224</v>
      </c>
      <c r="E1493" t="str">
        <f>"3530700658394"</f>
        <v>0</v>
      </c>
      <c r="F1493" t="str">
        <f>"001190"</f>
        <v>0</v>
      </c>
      <c r="G1493" t="s">
        <v>18359</v>
      </c>
    </row>
    <row r="1494" spans="1:7">
      <c r="A1494">
        <v>1493</v>
      </c>
      <c r="B1494" t="str">
        <f>"023486"</f>
        <v>0</v>
      </c>
      <c r="C1494" t="s">
        <v>20225</v>
      </c>
      <c r="D1494" t="s">
        <v>20226</v>
      </c>
      <c r="E1494" t="str">
        <f>"3530100285775"</f>
        <v>0</v>
      </c>
      <c r="F1494" t="str">
        <f>"001190"</f>
        <v>0</v>
      </c>
      <c r="G1494" t="s">
        <v>18359</v>
      </c>
    </row>
    <row r="1495" spans="1:7">
      <c r="A1495">
        <v>1494</v>
      </c>
      <c r="B1495" t="str">
        <f>"024232"</f>
        <v>0</v>
      </c>
      <c r="C1495" t="s">
        <v>20227</v>
      </c>
      <c r="D1495" t="s">
        <v>20228</v>
      </c>
      <c r="E1495" t="str">
        <f>"1530300001979"</f>
        <v>0</v>
      </c>
      <c r="F1495" t="str">
        <f>"001190"</f>
        <v>0</v>
      </c>
      <c r="G1495" t="s">
        <v>18359</v>
      </c>
    </row>
    <row r="1496" spans="1:7">
      <c r="A1496">
        <v>1495</v>
      </c>
      <c r="B1496" t="str">
        <f>"025690"</f>
        <v>0</v>
      </c>
      <c r="C1496" t="s">
        <v>20229</v>
      </c>
      <c r="D1496" t="s">
        <v>20230</v>
      </c>
      <c r="E1496" t="str">
        <f>"1530100054947"</f>
        <v>0</v>
      </c>
      <c r="F1496" t="str">
        <f>"001190"</f>
        <v>0</v>
      </c>
      <c r="G1496" t="s">
        <v>18359</v>
      </c>
    </row>
    <row r="1497" spans="1:7">
      <c r="A1497">
        <v>1496</v>
      </c>
      <c r="B1497" t="str">
        <f>"025772"</f>
        <v>0</v>
      </c>
      <c r="C1497" t="s">
        <v>20231</v>
      </c>
      <c r="D1497" t="s">
        <v>20232</v>
      </c>
      <c r="E1497" t="str">
        <f>"3530800131631"</f>
        <v>0</v>
      </c>
      <c r="F1497" t="str">
        <f>"001190"</f>
        <v>0</v>
      </c>
      <c r="G1497" t="s">
        <v>18359</v>
      </c>
    </row>
    <row r="1498" spans="1:7">
      <c r="A1498">
        <v>1497</v>
      </c>
      <c r="B1498" t="str">
        <f>"026374"</f>
        <v>0</v>
      </c>
      <c r="C1498" t="s">
        <v>20233</v>
      </c>
      <c r="D1498" t="s">
        <v>5280</v>
      </c>
      <c r="E1498" t="str">
        <f>"1539900241596"</f>
        <v>0</v>
      </c>
      <c r="F1498" t="str">
        <f>"001190"</f>
        <v>0</v>
      </c>
      <c r="G1498" t="s">
        <v>18359</v>
      </c>
    </row>
    <row r="1499" spans="1:7">
      <c r="A1499">
        <v>1498</v>
      </c>
      <c r="B1499" t="str">
        <f>"026663"</f>
        <v>0</v>
      </c>
      <c r="C1499" t="s">
        <v>5962</v>
      </c>
      <c r="D1499" t="s">
        <v>20234</v>
      </c>
      <c r="E1499" t="str">
        <f>"1530700069414"</f>
        <v>0</v>
      </c>
      <c r="F1499" t="str">
        <f>"001190"</f>
        <v>0</v>
      </c>
      <c r="G1499" t="s">
        <v>18359</v>
      </c>
    </row>
    <row r="1500" spans="1:7">
      <c r="A1500">
        <v>1499</v>
      </c>
      <c r="B1500" t="str">
        <f>"020652"</f>
        <v>0</v>
      </c>
      <c r="C1500" t="s">
        <v>20235</v>
      </c>
      <c r="D1500" t="s">
        <v>20236</v>
      </c>
      <c r="E1500" t="str">
        <f>"3540600048578"</f>
        <v>0</v>
      </c>
      <c r="F1500" t="str">
        <f>"001190"</f>
        <v>0</v>
      </c>
      <c r="G1500" t="s">
        <v>18359</v>
      </c>
    </row>
    <row r="1501" spans="1:7">
      <c r="A1501">
        <v>1500</v>
      </c>
      <c r="B1501" t="str">
        <f>"022662"</f>
        <v>0</v>
      </c>
      <c r="C1501" t="s">
        <v>20237</v>
      </c>
      <c r="D1501" t="s">
        <v>20238</v>
      </c>
      <c r="E1501" t="str">
        <f>"1539900061083"</f>
        <v>0</v>
      </c>
      <c r="F1501" t="str">
        <f>"001190"</f>
        <v>0</v>
      </c>
      <c r="G1501" t="s">
        <v>18359</v>
      </c>
    </row>
    <row r="1502" spans="1:7">
      <c r="A1502">
        <v>1501</v>
      </c>
      <c r="B1502" t="str">
        <f>"000311"</f>
        <v>0</v>
      </c>
      <c r="C1502" t="s">
        <v>20239</v>
      </c>
      <c r="D1502" t="s">
        <v>10536</v>
      </c>
      <c r="E1502" t="str">
        <f>"3670100561470"</f>
        <v>0</v>
      </c>
      <c r="F1502" t="str">
        <f>"001200"</f>
        <v>0</v>
      </c>
      <c r="G1502" t="s">
        <v>18359</v>
      </c>
    </row>
    <row r="1503" spans="1:7">
      <c r="A1503">
        <v>1502</v>
      </c>
      <c r="B1503" t="str">
        <f>"002623"</f>
        <v>0</v>
      </c>
      <c r="C1503" t="s">
        <v>20240</v>
      </c>
      <c r="D1503" t="s">
        <v>20241</v>
      </c>
      <c r="E1503" t="str">
        <f>"3670400442573"</f>
        <v>0</v>
      </c>
      <c r="F1503" t="str">
        <f>"001200"</f>
        <v>0</v>
      </c>
      <c r="G1503" t="s">
        <v>18359</v>
      </c>
    </row>
    <row r="1504" spans="1:7">
      <c r="A1504">
        <v>1503</v>
      </c>
      <c r="B1504" t="str">
        <f>"004837"</f>
        <v>0</v>
      </c>
      <c r="C1504" t="s">
        <v>445</v>
      </c>
      <c r="D1504" t="s">
        <v>20242</v>
      </c>
      <c r="E1504" t="str">
        <f>"3670400351861"</f>
        <v>0</v>
      </c>
      <c r="F1504" t="str">
        <f>"001200"</f>
        <v>0</v>
      </c>
      <c r="G1504" t="s">
        <v>18359</v>
      </c>
    </row>
    <row r="1505" spans="1:7">
      <c r="A1505">
        <v>1504</v>
      </c>
      <c r="B1505" t="str">
        <f>"005790"</f>
        <v>0</v>
      </c>
      <c r="C1505" t="s">
        <v>20243</v>
      </c>
      <c r="D1505" t="s">
        <v>20244</v>
      </c>
      <c r="E1505" t="str">
        <f>"3520500218137"</f>
        <v>0</v>
      </c>
      <c r="F1505" t="str">
        <f>"001200"</f>
        <v>0</v>
      </c>
      <c r="G1505" t="s">
        <v>18359</v>
      </c>
    </row>
    <row r="1506" spans="1:7">
      <c r="A1506">
        <v>1505</v>
      </c>
      <c r="B1506" t="str">
        <f>"006076"</f>
        <v>0</v>
      </c>
      <c r="C1506" t="s">
        <v>421</v>
      </c>
      <c r="D1506" t="s">
        <v>20245</v>
      </c>
      <c r="E1506" t="str">
        <f>"3670101573561"</f>
        <v>0</v>
      </c>
      <c r="F1506" t="str">
        <f>"001200"</f>
        <v>0</v>
      </c>
      <c r="G1506" t="s">
        <v>18359</v>
      </c>
    </row>
    <row r="1507" spans="1:7">
      <c r="A1507">
        <v>1506</v>
      </c>
      <c r="B1507" t="str">
        <f>"006451"</f>
        <v>0</v>
      </c>
      <c r="C1507" t="s">
        <v>20246</v>
      </c>
      <c r="D1507" t="s">
        <v>20247</v>
      </c>
      <c r="E1507" t="str">
        <f>"3670501208932"</f>
        <v>0</v>
      </c>
      <c r="F1507" t="str">
        <f>"001200"</f>
        <v>0</v>
      </c>
      <c r="G1507" t="s">
        <v>18359</v>
      </c>
    </row>
    <row r="1508" spans="1:7">
      <c r="A1508">
        <v>1507</v>
      </c>
      <c r="B1508" t="str">
        <f>"007529"</f>
        <v>0</v>
      </c>
      <c r="C1508" t="s">
        <v>20248</v>
      </c>
      <c r="D1508" t="s">
        <v>20249</v>
      </c>
      <c r="E1508" t="str">
        <f>"4670500006722"</f>
        <v>0</v>
      </c>
      <c r="F1508" t="str">
        <f>"001200"</f>
        <v>0</v>
      </c>
      <c r="G1508" t="s">
        <v>18359</v>
      </c>
    </row>
    <row r="1509" spans="1:7">
      <c r="A1509">
        <v>1508</v>
      </c>
      <c r="B1509" t="str">
        <f>"007672"</f>
        <v>0</v>
      </c>
      <c r="C1509" t="s">
        <v>20250</v>
      </c>
      <c r="D1509" t="s">
        <v>20251</v>
      </c>
      <c r="E1509" t="str">
        <f>"5670190040471"</f>
        <v>0</v>
      </c>
      <c r="F1509" t="str">
        <f>"001200"</f>
        <v>0</v>
      </c>
      <c r="G1509" t="s">
        <v>18359</v>
      </c>
    </row>
    <row r="1510" spans="1:7">
      <c r="A1510">
        <v>1509</v>
      </c>
      <c r="B1510" t="str">
        <f>"008375"</f>
        <v>0</v>
      </c>
      <c r="C1510" t="s">
        <v>370</v>
      </c>
      <c r="D1510" t="s">
        <v>20252</v>
      </c>
      <c r="E1510" t="str">
        <f>"3670700153941"</f>
        <v>0</v>
      </c>
      <c r="F1510" t="str">
        <f>"001200"</f>
        <v>0</v>
      </c>
      <c r="G1510" t="s">
        <v>18359</v>
      </c>
    </row>
    <row r="1511" spans="1:7">
      <c r="A1511">
        <v>1510</v>
      </c>
      <c r="B1511" t="str">
        <f>"008491"</f>
        <v>0</v>
      </c>
      <c r="C1511" t="s">
        <v>352</v>
      </c>
      <c r="D1511" t="s">
        <v>20253</v>
      </c>
      <c r="E1511" t="str">
        <f>"3650101176243"</f>
        <v>0</v>
      </c>
      <c r="F1511" t="str">
        <f>"001200"</f>
        <v>0</v>
      </c>
      <c r="G1511" t="s">
        <v>18359</v>
      </c>
    </row>
    <row r="1512" spans="1:7">
      <c r="A1512">
        <v>1511</v>
      </c>
      <c r="B1512" t="str">
        <f>"008603"</f>
        <v>0</v>
      </c>
      <c r="C1512" t="s">
        <v>20254</v>
      </c>
      <c r="D1512" t="s">
        <v>20255</v>
      </c>
      <c r="E1512" t="str">
        <f>"3670400027339"</f>
        <v>0</v>
      </c>
      <c r="F1512" t="str">
        <f>"001200"</f>
        <v>0</v>
      </c>
      <c r="G1512" t="s">
        <v>18359</v>
      </c>
    </row>
    <row r="1513" spans="1:7">
      <c r="A1513">
        <v>1512</v>
      </c>
      <c r="B1513" t="str">
        <f>"008999"</f>
        <v>0</v>
      </c>
      <c r="C1513" t="s">
        <v>20256</v>
      </c>
      <c r="D1513" t="s">
        <v>20257</v>
      </c>
      <c r="E1513" t="str">
        <f>"3670100886212"</f>
        <v>0</v>
      </c>
      <c r="F1513" t="str">
        <f>"001200"</f>
        <v>0</v>
      </c>
      <c r="G1513" t="s">
        <v>18359</v>
      </c>
    </row>
    <row r="1514" spans="1:7">
      <c r="A1514">
        <v>1513</v>
      </c>
      <c r="B1514" t="str">
        <f>"009049"</f>
        <v>0</v>
      </c>
      <c r="C1514" t="s">
        <v>20258</v>
      </c>
      <c r="D1514" t="s">
        <v>20259</v>
      </c>
      <c r="E1514" t="str">
        <f>"5670500064844"</f>
        <v>0</v>
      </c>
      <c r="F1514" t="str">
        <f>"001200"</f>
        <v>0</v>
      </c>
      <c r="G1514" t="s">
        <v>18359</v>
      </c>
    </row>
    <row r="1515" spans="1:7">
      <c r="A1515">
        <v>1514</v>
      </c>
      <c r="B1515" t="str">
        <f>"009238"</f>
        <v>0</v>
      </c>
      <c r="C1515" t="s">
        <v>789</v>
      </c>
      <c r="D1515" t="s">
        <v>20260</v>
      </c>
      <c r="E1515" t="str">
        <f>"3670500973457"</f>
        <v>0</v>
      </c>
      <c r="F1515" t="str">
        <f>"001200"</f>
        <v>0</v>
      </c>
      <c r="G1515" t="s">
        <v>18359</v>
      </c>
    </row>
    <row r="1516" spans="1:7">
      <c r="A1516">
        <v>1515</v>
      </c>
      <c r="B1516" t="str">
        <f>"009403"</f>
        <v>0</v>
      </c>
      <c r="C1516" t="s">
        <v>4758</v>
      </c>
      <c r="D1516" t="s">
        <v>20261</v>
      </c>
      <c r="E1516" t="str">
        <f>"3420100295801"</f>
        <v>0</v>
      </c>
      <c r="F1516" t="str">
        <f>"001200"</f>
        <v>0</v>
      </c>
      <c r="G1516" t="s">
        <v>18359</v>
      </c>
    </row>
    <row r="1517" spans="1:7">
      <c r="A1517">
        <v>1516</v>
      </c>
      <c r="B1517" t="str">
        <f>"013800"</f>
        <v>0</v>
      </c>
      <c r="C1517" t="s">
        <v>20262</v>
      </c>
      <c r="D1517" t="s">
        <v>4855</v>
      </c>
      <c r="E1517" t="str">
        <f>"3670400580038"</f>
        <v>0</v>
      </c>
      <c r="F1517" t="str">
        <f>"001200"</f>
        <v>0</v>
      </c>
      <c r="G1517" t="s">
        <v>18359</v>
      </c>
    </row>
    <row r="1518" spans="1:7">
      <c r="A1518">
        <v>1517</v>
      </c>
      <c r="B1518" t="str">
        <f>"019124"</f>
        <v>0</v>
      </c>
      <c r="C1518" t="s">
        <v>20263</v>
      </c>
      <c r="D1518" t="s">
        <v>20264</v>
      </c>
      <c r="E1518" t="str">
        <f>"3679900189832"</f>
        <v>0</v>
      </c>
      <c r="F1518" t="str">
        <f>"001200"</f>
        <v>0</v>
      </c>
      <c r="G1518" t="s">
        <v>18359</v>
      </c>
    </row>
    <row r="1519" spans="1:7">
      <c r="A1519">
        <v>1518</v>
      </c>
      <c r="B1519" t="str">
        <f>"023176"</f>
        <v>0</v>
      </c>
      <c r="C1519" t="s">
        <v>20265</v>
      </c>
      <c r="D1519" t="s">
        <v>20266</v>
      </c>
      <c r="E1519" t="str">
        <f>"3670101406745"</f>
        <v>0</v>
      </c>
      <c r="F1519" t="str">
        <f>"001200"</f>
        <v>0</v>
      </c>
      <c r="G1519" t="s">
        <v>18359</v>
      </c>
    </row>
    <row r="1520" spans="1:7">
      <c r="A1520">
        <v>1519</v>
      </c>
      <c r="B1520" t="str">
        <f>"022205"</f>
        <v>0</v>
      </c>
      <c r="C1520" t="s">
        <v>20267</v>
      </c>
      <c r="D1520" t="s">
        <v>20268</v>
      </c>
      <c r="E1520" t="str">
        <f>"3191000049284"</f>
        <v>0</v>
      </c>
      <c r="F1520" t="str">
        <f>"001200"</f>
        <v>0</v>
      </c>
      <c r="G1520" t="s">
        <v>18359</v>
      </c>
    </row>
    <row r="1521" spans="1:7">
      <c r="A1521">
        <v>1520</v>
      </c>
      <c r="B1521" t="str">
        <f>"010067"</f>
        <v>0</v>
      </c>
      <c r="C1521" t="s">
        <v>326</v>
      </c>
      <c r="D1521" t="s">
        <v>340</v>
      </c>
      <c r="E1521" t="str">
        <f>"3670700046444"</f>
        <v>0</v>
      </c>
      <c r="F1521" t="str">
        <f>"001200"</f>
        <v>0</v>
      </c>
      <c r="G1521" t="s">
        <v>18359</v>
      </c>
    </row>
    <row r="1522" spans="1:7">
      <c r="A1522">
        <v>1521</v>
      </c>
      <c r="B1522" t="str">
        <f>"010860"</f>
        <v>0</v>
      </c>
      <c r="C1522" t="s">
        <v>878</v>
      </c>
      <c r="D1522" t="s">
        <v>20269</v>
      </c>
      <c r="E1522" t="str">
        <f>"3321300018714"</f>
        <v>0</v>
      </c>
      <c r="F1522" t="str">
        <f>"001200"</f>
        <v>0</v>
      </c>
      <c r="G1522" t="s">
        <v>18359</v>
      </c>
    </row>
    <row r="1523" spans="1:7">
      <c r="A1523">
        <v>1522</v>
      </c>
      <c r="B1523" t="str">
        <f>"011285"</f>
        <v>0</v>
      </c>
      <c r="C1523" t="s">
        <v>20270</v>
      </c>
      <c r="D1523" t="s">
        <v>479</v>
      </c>
      <c r="E1523" t="str">
        <f>"3501900246295"</f>
        <v>0</v>
      </c>
      <c r="F1523" t="str">
        <f>"001200"</f>
        <v>0</v>
      </c>
      <c r="G1523" t="s">
        <v>18359</v>
      </c>
    </row>
    <row r="1524" spans="1:7">
      <c r="A1524">
        <v>1523</v>
      </c>
      <c r="B1524" t="str">
        <f>"012862"</f>
        <v>0</v>
      </c>
      <c r="C1524" t="s">
        <v>20271</v>
      </c>
      <c r="D1524" t="s">
        <v>10661</v>
      </c>
      <c r="E1524" t="str">
        <f>"3860800031048"</f>
        <v>0</v>
      </c>
      <c r="F1524" t="str">
        <f>"001200"</f>
        <v>0</v>
      </c>
      <c r="G1524" t="s">
        <v>18359</v>
      </c>
    </row>
    <row r="1525" spans="1:7">
      <c r="A1525">
        <v>1524</v>
      </c>
      <c r="B1525" t="str">
        <f>"014037"</f>
        <v>0</v>
      </c>
      <c r="C1525" t="s">
        <v>391</v>
      </c>
      <c r="D1525" t="s">
        <v>20272</v>
      </c>
      <c r="E1525" t="str">
        <f>"3309600098524"</f>
        <v>0</v>
      </c>
      <c r="F1525" t="str">
        <f>"001200"</f>
        <v>0</v>
      </c>
      <c r="G1525" t="s">
        <v>18359</v>
      </c>
    </row>
    <row r="1526" spans="1:7">
      <c r="A1526">
        <v>1525</v>
      </c>
      <c r="B1526" t="str">
        <f>"017448"</f>
        <v>0</v>
      </c>
      <c r="C1526" t="s">
        <v>1028</v>
      </c>
      <c r="D1526" t="s">
        <v>18586</v>
      </c>
      <c r="E1526" t="str">
        <f>"3670101280733"</f>
        <v>0</v>
      </c>
      <c r="F1526" t="str">
        <f>"001200"</f>
        <v>0</v>
      </c>
      <c r="G1526" t="s">
        <v>18359</v>
      </c>
    </row>
    <row r="1527" spans="1:7">
      <c r="A1527">
        <v>1526</v>
      </c>
      <c r="B1527" t="str">
        <f>"017525"</f>
        <v>0</v>
      </c>
      <c r="C1527" t="s">
        <v>20273</v>
      </c>
      <c r="D1527" t="s">
        <v>20274</v>
      </c>
      <c r="E1527" t="str">
        <f>"3679900232231"</f>
        <v>0</v>
      </c>
      <c r="F1527" t="str">
        <f>"001200"</f>
        <v>0</v>
      </c>
      <c r="G1527" t="s">
        <v>18359</v>
      </c>
    </row>
    <row r="1528" spans="1:7">
      <c r="A1528">
        <v>1527</v>
      </c>
      <c r="B1528" t="str">
        <f>"019581"</f>
        <v>0</v>
      </c>
      <c r="C1528" t="s">
        <v>20275</v>
      </c>
      <c r="D1528" t="s">
        <v>20276</v>
      </c>
      <c r="E1528" t="str">
        <f>"3360600078568"</f>
        <v>0</v>
      </c>
      <c r="F1528" t="str">
        <f>"001200"</f>
        <v>0</v>
      </c>
      <c r="G1528" t="s">
        <v>18359</v>
      </c>
    </row>
    <row r="1529" spans="1:7">
      <c r="A1529">
        <v>1528</v>
      </c>
      <c r="B1529" t="str">
        <f>"023355"</f>
        <v>0</v>
      </c>
      <c r="C1529" t="s">
        <v>20277</v>
      </c>
      <c r="D1529" t="s">
        <v>20278</v>
      </c>
      <c r="E1529" t="str">
        <f>"3670400048158"</f>
        <v>0</v>
      </c>
      <c r="F1529" t="str">
        <f>"001200"</f>
        <v>0</v>
      </c>
      <c r="G1529" t="s">
        <v>18359</v>
      </c>
    </row>
    <row r="1530" spans="1:7">
      <c r="A1530">
        <v>1529</v>
      </c>
      <c r="B1530" t="str">
        <f>"023765"</f>
        <v>0</v>
      </c>
      <c r="C1530" t="s">
        <v>5212</v>
      </c>
      <c r="D1530" t="s">
        <v>20279</v>
      </c>
      <c r="E1530" t="str">
        <f>"3670300364325"</f>
        <v>0</v>
      </c>
      <c r="F1530" t="str">
        <f>"001200"</f>
        <v>0</v>
      </c>
      <c r="G1530" t="s">
        <v>18359</v>
      </c>
    </row>
    <row r="1531" spans="1:7">
      <c r="A1531">
        <v>1530</v>
      </c>
      <c r="B1531" t="str">
        <f>"027166"</f>
        <v>0</v>
      </c>
      <c r="C1531" t="s">
        <v>14333</v>
      </c>
      <c r="D1531" t="s">
        <v>20280</v>
      </c>
      <c r="E1531" t="str">
        <f>"1801100089609"</f>
        <v>0</v>
      </c>
      <c r="F1531" t="str">
        <f>"001200"</f>
        <v>0</v>
      </c>
      <c r="G1531" t="s">
        <v>18359</v>
      </c>
    </row>
    <row r="1532" spans="1:7">
      <c r="A1532">
        <v>1531</v>
      </c>
      <c r="B1532" t="str">
        <f>"003029"</f>
        <v>0</v>
      </c>
      <c r="C1532" t="s">
        <v>20281</v>
      </c>
      <c r="D1532" t="s">
        <v>4057</v>
      </c>
      <c r="E1532" t="str">
        <f>"3769900293060"</f>
        <v>0</v>
      </c>
      <c r="F1532" t="str">
        <f>"001210"</f>
        <v>0</v>
      </c>
      <c r="G1532" t="s">
        <v>18359</v>
      </c>
    </row>
    <row r="1533" spans="1:7">
      <c r="A1533">
        <v>1532</v>
      </c>
      <c r="B1533" t="str">
        <f>"012722"</f>
        <v>0</v>
      </c>
      <c r="C1533" t="s">
        <v>12583</v>
      </c>
      <c r="D1533" t="s">
        <v>20282</v>
      </c>
      <c r="E1533" t="str">
        <f>"3770300010433"</f>
        <v>0</v>
      </c>
      <c r="F1533" t="str">
        <f>"001210"</f>
        <v>0</v>
      </c>
      <c r="G1533" t="s">
        <v>18359</v>
      </c>
    </row>
    <row r="1534" spans="1:7">
      <c r="A1534">
        <v>1533</v>
      </c>
      <c r="B1534" t="str">
        <f>"013591"</f>
        <v>0</v>
      </c>
      <c r="C1534" t="s">
        <v>3791</v>
      </c>
      <c r="D1534" t="s">
        <v>10800</v>
      </c>
      <c r="E1534" t="str">
        <f>"3961100354596"</f>
        <v>0</v>
      </c>
      <c r="F1534" t="str">
        <f>"001210"</f>
        <v>0</v>
      </c>
      <c r="G1534" t="s">
        <v>18359</v>
      </c>
    </row>
    <row r="1535" spans="1:7">
      <c r="A1535">
        <v>1534</v>
      </c>
      <c r="B1535" t="str">
        <f>"019848"</f>
        <v>0</v>
      </c>
      <c r="C1535" t="s">
        <v>9823</v>
      </c>
      <c r="D1535" t="s">
        <v>20283</v>
      </c>
      <c r="E1535" t="str">
        <f>"3769800087425"</f>
        <v>0</v>
      </c>
      <c r="F1535" t="str">
        <f>"001210"</f>
        <v>0</v>
      </c>
      <c r="G1535" t="s">
        <v>18359</v>
      </c>
    </row>
    <row r="1536" spans="1:7">
      <c r="A1536">
        <v>1535</v>
      </c>
      <c r="B1536" t="str">
        <f>"004095"</f>
        <v>0</v>
      </c>
      <c r="C1536" t="s">
        <v>6323</v>
      </c>
      <c r="D1536" t="s">
        <v>20284</v>
      </c>
      <c r="E1536" t="str">
        <f>"3760600131848"</f>
        <v>0</v>
      </c>
      <c r="F1536" t="str">
        <f>"001210"</f>
        <v>0</v>
      </c>
      <c r="G1536" t="s">
        <v>18359</v>
      </c>
    </row>
    <row r="1537" spans="1:7">
      <c r="A1537">
        <v>1536</v>
      </c>
      <c r="B1537" t="str">
        <f>"005342"</f>
        <v>0</v>
      </c>
      <c r="C1537" t="s">
        <v>5966</v>
      </c>
      <c r="D1537" t="s">
        <v>20285</v>
      </c>
      <c r="E1537" t="str">
        <f>"3760600443173"</f>
        <v>0</v>
      </c>
      <c r="F1537" t="str">
        <f>"001210"</f>
        <v>0</v>
      </c>
      <c r="G1537" t="s">
        <v>18359</v>
      </c>
    </row>
    <row r="1538" spans="1:7">
      <c r="A1538">
        <v>1537</v>
      </c>
      <c r="B1538" t="str">
        <f>"020932"</f>
        <v>0</v>
      </c>
      <c r="C1538" t="s">
        <v>20286</v>
      </c>
      <c r="D1538" t="s">
        <v>15308</v>
      </c>
      <c r="E1538" t="str">
        <f>"3720400622198"</f>
        <v>0</v>
      </c>
      <c r="F1538" t="str">
        <f>"001210"</f>
        <v>0</v>
      </c>
      <c r="G1538" t="s">
        <v>18359</v>
      </c>
    </row>
    <row r="1539" spans="1:7">
      <c r="A1539">
        <v>1538</v>
      </c>
      <c r="B1539" t="str">
        <f>"012359"</f>
        <v>0</v>
      </c>
      <c r="C1539" t="s">
        <v>488</v>
      </c>
      <c r="D1539" t="s">
        <v>20287</v>
      </c>
      <c r="E1539" t="str">
        <f>"3760700075362"</f>
        <v>0</v>
      </c>
      <c r="F1539" t="str">
        <f>"001210"</f>
        <v>0</v>
      </c>
      <c r="G1539" t="s">
        <v>18359</v>
      </c>
    </row>
    <row r="1540" spans="1:7">
      <c r="A1540">
        <v>1539</v>
      </c>
      <c r="B1540" t="str">
        <f>"010020"</f>
        <v>0</v>
      </c>
      <c r="C1540" t="s">
        <v>239</v>
      </c>
      <c r="D1540" t="s">
        <v>20288</v>
      </c>
      <c r="E1540" t="str">
        <f>"3770600070296"</f>
        <v>0</v>
      </c>
      <c r="F1540" t="str">
        <f>"001210"</f>
        <v>0</v>
      </c>
      <c r="G1540" t="s">
        <v>18359</v>
      </c>
    </row>
    <row r="1541" spans="1:7">
      <c r="A1541">
        <v>1540</v>
      </c>
      <c r="B1541" t="str">
        <f>"010026"</f>
        <v>0</v>
      </c>
      <c r="C1541" t="s">
        <v>3040</v>
      </c>
      <c r="D1541" t="s">
        <v>10760</v>
      </c>
      <c r="E1541" t="str">
        <f>"3760100467600"</f>
        <v>0</v>
      </c>
      <c r="F1541" t="str">
        <f>"001210"</f>
        <v>0</v>
      </c>
      <c r="G1541" t="s">
        <v>18359</v>
      </c>
    </row>
    <row r="1542" spans="1:7">
      <c r="A1542">
        <v>1541</v>
      </c>
      <c r="B1542" t="str">
        <f>"018872"</f>
        <v>0</v>
      </c>
      <c r="C1542" t="s">
        <v>2426</v>
      </c>
      <c r="D1542" t="s">
        <v>20289</v>
      </c>
      <c r="E1542" t="str">
        <f>"3659900289241"</f>
        <v>0</v>
      </c>
      <c r="F1542" t="str">
        <f>"001210"</f>
        <v>0</v>
      </c>
      <c r="G1542" t="s">
        <v>18359</v>
      </c>
    </row>
    <row r="1543" spans="1:7">
      <c r="A1543">
        <v>1542</v>
      </c>
      <c r="B1543" t="str">
        <f>"020510"</f>
        <v>0</v>
      </c>
      <c r="C1543" t="s">
        <v>20290</v>
      </c>
      <c r="D1543" t="s">
        <v>20291</v>
      </c>
      <c r="E1543" t="str">
        <f>"3760700129560"</f>
        <v>0</v>
      </c>
      <c r="F1543" t="str">
        <f>"001210"</f>
        <v>0</v>
      </c>
      <c r="G1543" t="s">
        <v>18359</v>
      </c>
    </row>
    <row r="1544" spans="1:7">
      <c r="A1544">
        <v>1543</v>
      </c>
      <c r="B1544" t="str">
        <f>"020832"</f>
        <v>0</v>
      </c>
      <c r="C1544" t="s">
        <v>20292</v>
      </c>
      <c r="D1544" t="s">
        <v>7224</v>
      </c>
      <c r="E1544" t="str">
        <f>"3959900114066"</f>
        <v>0</v>
      </c>
      <c r="F1544" t="str">
        <f>"001210"</f>
        <v>0</v>
      </c>
      <c r="G1544" t="s">
        <v>18359</v>
      </c>
    </row>
    <row r="1545" spans="1:7">
      <c r="A1545">
        <v>1544</v>
      </c>
      <c r="B1545" t="str">
        <f>"021764"</f>
        <v>0</v>
      </c>
      <c r="C1545" t="s">
        <v>20293</v>
      </c>
      <c r="D1545" t="s">
        <v>20294</v>
      </c>
      <c r="E1545" t="str">
        <f>"3760100623920"</f>
        <v>0</v>
      </c>
      <c r="F1545" t="str">
        <f>"001210"</f>
        <v>0</v>
      </c>
      <c r="G1545" t="s">
        <v>18359</v>
      </c>
    </row>
    <row r="1546" spans="1:7">
      <c r="A1546">
        <v>1545</v>
      </c>
      <c r="B1546" t="str">
        <f>"021946"</f>
        <v>0</v>
      </c>
      <c r="C1546" t="s">
        <v>20295</v>
      </c>
      <c r="D1546" t="s">
        <v>20296</v>
      </c>
      <c r="E1546" t="str">
        <f>"3760501006638"</f>
        <v>0</v>
      </c>
      <c r="F1546" t="str">
        <f>"001210"</f>
        <v>0</v>
      </c>
      <c r="G1546" t="s">
        <v>18359</v>
      </c>
    </row>
    <row r="1547" spans="1:7">
      <c r="A1547">
        <v>1546</v>
      </c>
      <c r="B1547" t="str">
        <f>"022001"</f>
        <v>0</v>
      </c>
      <c r="C1547" t="s">
        <v>20297</v>
      </c>
      <c r="D1547" t="s">
        <v>10838</v>
      </c>
      <c r="E1547" t="str">
        <f>"3760700493458"</f>
        <v>0</v>
      </c>
      <c r="F1547" t="str">
        <f>"001210"</f>
        <v>0</v>
      </c>
      <c r="G1547" t="s">
        <v>18359</v>
      </c>
    </row>
    <row r="1548" spans="1:7">
      <c r="A1548">
        <v>1547</v>
      </c>
      <c r="B1548" t="str">
        <f>"023741"</f>
        <v>0</v>
      </c>
      <c r="C1548" t="s">
        <v>20298</v>
      </c>
      <c r="D1548" t="s">
        <v>20299</v>
      </c>
      <c r="E1548" t="str">
        <f>"3760600411549"</f>
        <v>0</v>
      </c>
      <c r="F1548" t="str">
        <f>"001210"</f>
        <v>0</v>
      </c>
      <c r="G1548" t="s">
        <v>18359</v>
      </c>
    </row>
    <row r="1549" spans="1:7">
      <c r="A1549">
        <v>1548</v>
      </c>
      <c r="B1549" t="str">
        <f>"016490"</f>
        <v>0</v>
      </c>
      <c r="C1549" t="s">
        <v>4795</v>
      </c>
      <c r="D1549" t="s">
        <v>20300</v>
      </c>
      <c r="E1549" t="str">
        <f>"3820800040322"</f>
        <v>0</v>
      </c>
      <c r="F1549" t="str">
        <f>"001210"</f>
        <v>0</v>
      </c>
      <c r="G1549" t="s">
        <v>18359</v>
      </c>
    </row>
    <row r="1550" spans="1:7">
      <c r="A1550">
        <v>1549</v>
      </c>
      <c r="B1550" t="str">
        <f>"023713"</f>
        <v>0</v>
      </c>
      <c r="C1550" t="s">
        <v>20301</v>
      </c>
      <c r="D1550" t="s">
        <v>20302</v>
      </c>
      <c r="E1550" t="str">
        <f>"1760400004404"</f>
        <v>0</v>
      </c>
      <c r="F1550" t="str">
        <f>"001210"</f>
        <v>0</v>
      </c>
      <c r="G1550" t="s">
        <v>18359</v>
      </c>
    </row>
    <row r="1551" spans="1:7">
      <c r="A1551">
        <v>1550</v>
      </c>
      <c r="B1551" t="str">
        <f>"003353"</f>
        <v>0</v>
      </c>
      <c r="C1551" t="s">
        <v>9085</v>
      </c>
      <c r="D1551" t="s">
        <v>2267</v>
      </c>
      <c r="E1551" t="str">
        <f>"3540200103075"</f>
        <v>0</v>
      </c>
      <c r="F1551" t="str">
        <f>"001230"</f>
        <v>0</v>
      </c>
      <c r="G1551" t="s">
        <v>18359</v>
      </c>
    </row>
    <row r="1552" spans="1:7">
      <c r="A1552">
        <v>1551</v>
      </c>
      <c r="B1552" t="str">
        <f>"006927"</f>
        <v>0</v>
      </c>
      <c r="C1552" t="s">
        <v>307</v>
      </c>
      <c r="D1552" t="s">
        <v>12180</v>
      </c>
      <c r="E1552" t="str">
        <f>"3540100089739"</f>
        <v>0</v>
      </c>
      <c r="F1552" t="str">
        <f>"001230"</f>
        <v>0</v>
      </c>
      <c r="G1552" t="s">
        <v>18359</v>
      </c>
    </row>
    <row r="1553" spans="1:7">
      <c r="A1553">
        <v>1552</v>
      </c>
      <c r="B1553" t="str">
        <f>"010103"</f>
        <v>0</v>
      </c>
      <c r="C1553" t="s">
        <v>11658</v>
      </c>
      <c r="D1553" t="s">
        <v>20303</v>
      </c>
      <c r="E1553" t="str">
        <f>"3540400354721"</f>
        <v>0</v>
      </c>
      <c r="F1553" t="str">
        <f>"001230"</f>
        <v>0</v>
      </c>
      <c r="G1553" t="s">
        <v>18359</v>
      </c>
    </row>
    <row r="1554" spans="1:7">
      <c r="A1554">
        <v>1553</v>
      </c>
      <c r="B1554" t="str">
        <f>"013619"</f>
        <v>0</v>
      </c>
      <c r="C1554" t="s">
        <v>1808</v>
      </c>
      <c r="D1554" t="s">
        <v>20304</v>
      </c>
      <c r="E1554" t="str">
        <f>"3520101594470"</f>
        <v>0</v>
      </c>
      <c r="F1554" t="str">
        <f>"001230"</f>
        <v>0</v>
      </c>
      <c r="G1554" t="s">
        <v>18359</v>
      </c>
    </row>
    <row r="1555" spans="1:7">
      <c r="A1555">
        <v>1554</v>
      </c>
      <c r="B1555" t="str">
        <f>"015980"</f>
        <v>0</v>
      </c>
      <c r="C1555" t="s">
        <v>881</v>
      </c>
      <c r="D1555" t="s">
        <v>20305</v>
      </c>
      <c r="E1555" t="str">
        <f>"3650900283792"</f>
        <v>0</v>
      </c>
      <c r="F1555" t="str">
        <f>"001230"</f>
        <v>0</v>
      </c>
      <c r="G1555" t="s">
        <v>18359</v>
      </c>
    </row>
    <row r="1556" spans="1:7">
      <c r="A1556">
        <v>1555</v>
      </c>
      <c r="B1556" t="str">
        <f>"016034"</f>
        <v>0</v>
      </c>
      <c r="C1556" t="s">
        <v>17445</v>
      </c>
      <c r="D1556" t="s">
        <v>20306</v>
      </c>
      <c r="E1556" t="str">
        <f>"3540400815222"</f>
        <v>0</v>
      </c>
      <c r="F1556" t="str">
        <f>"001230"</f>
        <v>0</v>
      </c>
      <c r="G1556" t="s">
        <v>18359</v>
      </c>
    </row>
    <row r="1557" spans="1:7">
      <c r="A1557">
        <v>1556</v>
      </c>
      <c r="B1557" t="str">
        <f>"017099"</f>
        <v>0</v>
      </c>
      <c r="C1557" t="s">
        <v>825</v>
      </c>
      <c r="D1557" t="s">
        <v>20307</v>
      </c>
      <c r="E1557" t="str">
        <f>"3540400080591"</f>
        <v>0</v>
      </c>
      <c r="F1557" t="str">
        <f>"001230"</f>
        <v>0</v>
      </c>
      <c r="G1557" t="s">
        <v>18359</v>
      </c>
    </row>
    <row r="1558" spans="1:7">
      <c r="A1558">
        <v>1557</v>
      </c>
      <c r="B1558" t="str">
        <f>"024646"</f>
        <v>0</v>
      </c>
      <c r="C1558" t="s">
        <v>20308</v>
      </c>
      <c r="D1558" t="s">
        <v>20309</v>
      </c>
      <c r="E1558" t="str">
        <f>"3470600365990"</f>
        <v>0</v>
      </c>
      <c r="F1558" t="str">
        <f>"001230"</f>
        <v>0</v>
      </c>
      <c r="G1558" t="s">
        <v>18359</v>
      </c>
    </row>
    <row r="1559" spans="1:7">
      <c r="A1559">
        <v>1558</v>
      </c>
      <c r="B1559" t="str">
        <f>"024147"</f>
        <v>0</v>
      </c>
      <c r="C1559" t="s">
        <v>20310</v>
      </c>
      <c r="D1559" t="s">
        <v>13661</v>
      </c>
      <c r="E1559" t="str">
        <f>"3500100234569"</f>
        <v>0</v>
      </c>
      <c r="F1559" t="str">
        <f>"001230"</f>
        <v>0</v>
      </c>
      <c r="G1559" t="s">
        <v>18359</v>
      </c>
    </row>
    <row r="1560" spans="1:7">
      <c r="A1560">
        <v>1559</v>
      </c>
      <c r="B1560" t="str">
        <f>"025002"</f>
        <v>0</v>
      </c>
      <c r="C1560" t="s">
        <v>20311</v>
      </c>
      <c r="D1560" t="s">
        <v>20312</v>
      </c>
      <c r="E1560" t="str">
        <f>"1509900688329"</f>
        <v>0</v>
      </c>
      <c r="F1560" t="str">
        <f>"001230"</f>
        <v>0</v>
      </c>
      <c r="G1560" t="s">
        <v>18359</v>
      </c>
    </row>
    <row r="1561" spans="1:7">
      <c r="A1561">
        <v>1560</v>
      </c>
      <c r="B1561" t="str">
        <f>"025709"</f>
        <v>0</v>
      </c>
      <c r="C1561" t="s">
        <v>20313</v>
      </c>
      <c r="D1561" t="s">
        <v>20314</v>
      </c>
      <c r="E1561" t="str">
        <f>"1509900929393"</f>
        <v>0</v>
      </c>
      <c r="F1561" t="str">
        <f>"001230"</f>
        <v>0</v>
      </c>
      <c r="G1561" t="s">
        <v>18359</v>
      </c>
    </row>
    <row r="1562" spans="1:7">
      <c r="A1562">
        <v>1561</v>
      </c>
      <c r="B1562" t="str">
        <f>"026179"</f>
        <v>0</v>
      </c>
      <c r="C1562" t="s">
        <v>20315</v>
      </c>
      <c r="D1562" t="s">
        <v>19212</v>
      </c>
      <c r="E1562" t="str">
        <f>"5510590001490"</f>
        <v>0</v>
      </c>
      <c r="F1562" t="str">
        <f>"001230"</f>
        <v>0</v>
      </c>
      <c r="G1562" t="s">
        <v>18359</v>
      </c>
    </row>
    <row r="1563" spans="1:7">
      <c r="A1563">
        <v>1562</v>
      </c>
      <c r="B1563" t="str">
        <f>"021209"</f>
        <v>0</v>
      </c>
      <c r="C1563" t="s">
        <v>20316</v>
      </c>
      <c r="D1563" t="s">
        <v>20317</v>
      </c>
      <c r="E1563" t="str">
        <f>"3521200384890"</f>
        <v>0</v>
      </c>
      <c r="F1563" t="str">
        <f>"001230"</f>
        <v>0</v>
      </c>
      <c r="G1563" t="s">
        <v>18359</v>
      </c>
    </row>
    <row r="1564" spans="1:7">
      <c r="A1564">
        <v>1563</v>
      </c>
      <c r="B1564" t="str">
        <f>"026378"</f>
        <v>0</v>
      </c>
      <c r="C1564" t="s">
        <v>9743</v>
      </c>
      <c r="D1564" t="s">
        <v>20318</v>
      </c>
      <c r="E1564" t="str">
        <f>"1529900566878"</f>
        <v>0</v>
      </c>
      <c r="F1564" t="str">
        <f>"001230"</f>
        <v>0</v>
      </c>
      <c r="G1564" t="s">
        <v>18359</v>
      </c>
    </row>
    <row r="1565" spans="1:7">
      <c r="A1565">
        <v>1564</v>
      </c>
      <c r="B1565" t="str">
        <f>"026530"</f>
        <v>0</v>
      </c>
      <c r="C1565" t="s">
        <v>20319</v>
      </c>
      <c r="D1565" t="s">
        <v>20320</v>
      </c>
      <c r="E1565" t="str">
        <f>"1529900542022"</f>
        <v>0</v>
      </c>
      <c r="F1565" t="str">
        <f>"001230"</f>
        <v>0</v>
      </c>
      <c r="G1565" t="s">
        <v>18359</v>
      </c>
    </row>
    <row r="1566" spans="1:7">
      <c r="A1566">
        <v>1565</v>
      </c>
      <c r="B1566" t="str">
        <f>"008662"</f>
        <v>0</v>
      </c>
      <c r="C1566" t="s">
        <v>2758</v>
      </c>
      <c r="D1566" t="s">
        <v>10906</v>
      </c>
      <c r="E1566" t="str">
        <f>"3530400035251"</f>
        <v>0</v>
      </c>
      <c r="F1566" t="str">
        <f>"001230"</f>
        <v>0</v>
      </c>
      <c r="G1566" t="s">
        <v>18359</v>
      </c>
    </row>
    <row r="1567" spans="1:7">
      <c r="A1567">
        <v>1566</v>
      </c>
      <c r="B1567" t="str">
        <f>"013056"</f>
        <v>0</v>
      </c>
      <c r="C1567" t="s">
        <v>4088</v>
      </c>
      <c r="D1567" t="s">
        <v>20321</v>
      </c>
      <c r="E1567" t="str">
        <f>"3400101701323"</f>
        <v>0</v>
      </c>
      <c r="F1567" t="str">
        <f>"001230"</f>
        <v>0</v>
      </c>
      <c r="G1567" t="s">
        <v>18359</v>
      </c>
    </row>
    <row r="1568" spans="1:7">
      <c r="A1568">
        <v>1567</v>
      </c>
      <c r="B1568" t="str">
        <f>"013395"</f>
        <v>0</v>
      </c>
      <c r="C1568" t="s">
        <v>20322</v>
      </c>
      <c r="D1568" t="s">
        <v>20323</v>
      </c>
      <c r="E1568" t="str">
        <f>"3540100183344"</f>
        <v>0</v>
      </c>
      <c r="F1568" t="str">
        <f>"001230"</f>
        <v>0</v>
      </c>
      <c r="G1568" t="s">
        <v>18359</v>
      </c>
    </row>
    <row r="1569" spans="1:7">
      <c r="A1569">
        <v>1568</v>
      </c>
      <c r="B1569" t="str">
        <f>"015368"</f>
        <v>0</v>
      </c>
      <c r="C1569" t="s">
        <v>20324</v>
      </c>
      <c r="D1569" t="s">
        <v>20325</v>
      </c>
      <c r="E1569" t="str">
        <f>"3550100706428"</f>
        <v>0</v>
      </c>
      <c r="F1569" t="str">
        <f>"001230"</f>
        <v>0</v>
      </c>
      <c r="G1569" t="s">
        <v>18359</v>
      </c>
    </row>
    <row r="1570" spans="1:7">
      <c r="A1570">
        <v>1569</v>
      </c>
      <c r="B1570" t="str">
        <f>"016268"</f>
        <v>0</v>
      </c>
      <c r="C1570" t="s">
        <v>20326</v>
      </c>
      <c r="D1570" t="s">
        <v>20327</v>
      </c>
      <c r="E1570" t="str">
        <f>"3540100918107"</f>
        <v>0</v>
      </c>
      <c r="F1570" t="str">
        <f>"001230"</f>
        <v>0</v>
      </c>
      <c r="G1570" t="s">
        <v>18359</v>
      </c>
    </row>
    <row r="1571" spans="1:7">
      <c r="A1571">
        <v>1570</v>
      </c>
      <c r="B1571" t="str">
        <f>"016543"</f>
        <v>0</v>
      </c>
      <c r="C1571" t="s">
        <v>2852</v>
      </c>
      <c r="D1571" t="s">
        <v>5298</v>
      </c>
      <c r="E1571" t="str">
        <f>"3500900834293"</f>
        <v>0</v>
      </c>
      <c r="F1571" t="str">
        <f>"001230"</f>
        <v>0</v>
      </c>
      <c r="G1571" t="s">
        <v>18359</v>
      </c>
    </row>
    <row r="1572" spans="1:7">
      <c r="A1572">
        <v>1571</v>
      </c>
      <c r="B1572" t="str">
        <f>"018309"</f>
        <v>0</v>
      </c>
      <c r="C1572" t="s">
        <v>321</v>
      </c>
      <c r="D1572" t="s">
        <v>20328</v>
      </c>
      <c r="E1572" t="str">
        <f>"3540100796061"</f>
        <v>0</v>
      </c>
      <c r="F1572" t="str">
        <f>"001230"</f>
        <v>0</v>
      </c>
      <c r="G1572" t="s">
        <v>18359</v>
      </c>
    </row>
    <row r="1573" spans="1:7">
      <c r="A1573">
        <v>1572</v>
      </c>
      <c r="B1573" t="str">
        <f>"018345"</f>
        <v>0</v>
      </c>
      <c r="C1573" t="s">
        <v>20329</v>
      </c>
      <c r="D1573" t="s">
        <v>20325</v>
      </c>
      <c r="E1573" t="str">
        <f>"3540200123211"</f>
        <v>0</v>
      </c>
      <c r="F1573" t="str">
        <f>"001230"</f>
        <v>0</v>
      </c>
      <c r="G1573" t="s">
        <v>18359</v>
      </c>
    </row>
    <row r="1574" spans="1:7">
      <c r="A1574">
        <v>1573</v>
      </c>
      <c r="B1574" t="str">
        <f>"018829"</f>
        <v>0</v>
      </c>
      <c r="C1574" t="s">
        <v>3375</v>
      </c>
      <c r="D1574" t="s">
        <v>20330</v>
      </c>
      <c r="E1574" t="str">
        <f>"3549900168241"</f>
        <v>0</v>
      </c>
      <c r="F1574" t="str">
        <f>"001230"</f>
        <v>0</v>
      </c>
      <c r="G1574" t="s">
        <v>18359</v>
      </c>
    </row>
    <row r="1575" spans="1:7">
      <c r="A1575">
        <v>1574</v>
      </c>
      <c r="B1575" t="str">
        <f>"019224"</f>
        <v>0</v>
      </c>
      <c r="C1575" t="s">
        <v>828</v>
      </c>
      <c r="D1575" t="s">
        <v>20331</v>
      </c>
      <c r="E1575" t="str">
        <f>"3540400394308"</f>
        <v>0</v>
      </c>
      <c r="F1575" t="str">
        <f>"001230"</f>
        <v>0</v>
      </c>
      <c r="G1575" t="s">
        <v>18359</v>
      </c>
    </row>
    <row r="1576" spans="1:7">
      <c r="A1576">
        <v>1575</v>
      </c>
      <c r="B1576" t="str">
        <f>"019861"</f>
        <v>0</v>
      </c>
      <c r="C1576" t="s">
        <v>20332</v>
      </c>
      <c r="D1576" t="s">
        <v>20333</v>
      </c>
      <c r="E1576" t="str">
        <f>"3540300535945"</f>
        <v>0</v>
      </c>
      <c r="F1576" t="str">
        <f>"001230"</f>
        <v>0</v>
      </c>
      <c r="G1576" t="s">
        <v>18359</v>
      </c>
    </row>
    <row r="1577" spans="1:7">
      <c r="A1577">
        <v>1576</v>
      </c>
      <c r="B1577" t="str">
        <f>"019949"</f>
        <v>0</v>
      </c>
      <c r="C1577" t="s">
        <v>20334</v>
      </c>
      <c r="D1577" t="s">
        <v>20335</v>
      </c>
      <c r="E1577" t="str">
        <f>"3540500228124"</f>
        <v>0</v>
      </c>
      <c r="F1577" t="str">
        <f>"001230"</f>
        <v>0</v>
      </c>
      <c r="G1577" t="s">
        <v>18359</v>
      </c>
    </row>
    <row r="1578" spans="1:7">
      <c r="A1578">
        <v>1577</v>
      </c>
      <c r="B1578" t="str">
        <f>"020612"</f>
        <v>0</v>
      </c>
      <c r="C1578" t="s">
        <v>6877</v>
      </c>
      <c r="D1578" t="s">
        <v>18789</v>
      </c>
      <c r="E1578" t="str">
        <f>"3540200691210"</f>
        <v>0</v>
      </c>
      <c r="F1578" t="str">
        <f>"001230"</f>
        <v>0</v>
      </c>
      <c r="G1578" t="s">
        <v>18359</v>
      </c>
    </row>
    <row r="1579" spans="1:7">
      <c r="A1579">
        <v>1578</v>
      </c>
      <c r="B1579" t="str">
        <f>"020642"</f>
        <v>0</v>
      </c>
      <c r="C1579" t="s">
        <v>20336</v>
      </c>
      <c r="D1579" t="s">
        <v>20337</v>
      </c>
      <c r="E1579" t="str">
        <f>"3540200420496"</f>
        <v>0</v>
      </c>
      <c r="F1579" t="str">
        <f>"001230"</f>
        <v>0</v>
      </c>
      <c r="G1579" t="s">
        <v>18359</v>
      </c>
    </row>
    <row r="1580" spans="1:7">
      <c r="A1580">
        <v>1579</v>
      </c>
      <c r="B1580" t="str">
        <f>"021031"</f>
        <v>0</v>
      </c>
      <c r="C1580" t="s">
        <v>1027</v>
      </c>
      <c r="D1580" t="s">
        <v>20338</v>
      </c>
      <c r="E1580" t="str">
        <f>"3540400792966"</f>
        <v>0</v>
      </c>
      <c r="F1580" t="str">
        <f>"001230"</f>
        <v>0</v>
      </c>
      <c r="G1580" t="s">
        <v>18359</v>
      </c>
    </row>
    <row r="1581" spans="1:7">
      <c r="A1581">
        <v>1580</v>
      </c>
      <c r="B1581" t="str">
        <f>"021583"</f>
        <v>0</v>
      </c>
      <c r="C1581" t="s">
        <v>1274</v>
      </c>
      <c r="D1581" t="s">
        <v>20339</v>
      </c>
      <c r="E1581" t="str">
        <f>"3540100363555"</f>
        <v>0</v>
      </c>
      <c r="F1581" t="str">
        <f>"001230"</f>
        <v>0</v>
      </c>
      <c r="G1581" t="s">
        <v>18359</v>
      </c>
    </row>
    <row r="1582" spans="1:7">
      <c r="A1582">
        <v>1581</v>
      </c>
      <c r="B1582" t="str">
        <f>"021617"</f>
        <v>0</v>
      </c>
      <c r="C1582" t="s">
        <v>20340</v>
      </c>
      <c r="D1582" t="s">
        <v>20341</v>
      </c>
      <c r="E1582" t="str">
        <f>"3510300303939"</f>
        <v>0</v>
      </c>
      <c r="F1582" t="str">
        <f>"001230"</f>
        <v>0</v>
      </c>
      <c r="G1582" t="s">
        <v>18359</v>
      </c>
    </row>
    <row r="1583" spans="1:7">
      <c r="A1583">
        <v>1582</v>
      </c>
      <c r="B1583" t="str">
        <f>"023192"</f>
        <v>0</v>
      </c>
      <c r="C1583" t="s">
        <v>4311</v>
      </c>
      <c r="D1583" t="s">
        <v>20342</v>
      </c>
      <c r="E1583" t="str">
        <f>"1549900064899"</f>
        <v>0</v>
      </c>
      <c r="F1583" t="str">
        <f>"001230"</f>
        <v>0</v>
      </c>
      <c r="G1583" t="s">
        <v>18359</v>
      </c>
    </row>
    <row r="1584" spans="1:7">
      <c r="A1584">
        <v>1583</v>
      </c>
      <c r="B1584" t="str">
        <f>"024881"</f>
        <v>0</v>
      </c>
      <c r="C1584" t="s">
        <v>8003</v>
      </c>
      <c r="D1584" t="s">
        <v>20343</v>
      </c>
      <c r="E1584" t="str">
        <f>"1549900010021"</f>
        <v>0</v>
      </c>
      <c r="F1584" t="str">
        <f>"001230"</f>
        <v>0</v>
      </c>
      <c r="G1584" t="s">
        <v>18359</v>
      </c>
    </row>
    <row r="1585" spans="1:7">
      <c r="A1585">
        <v>1584</v>
      </c>
      <c r="B1585" t="str">
        <f>"024949"</f>
        <v>0</v>
      </c>
      <c r="C1585" t="s">
        <v>11538</v>
      </c>
      <c r="D1585" t="s">
        <v>20344</v>
      </c>
      <c r="E1585" t="str">
        <f>"3540400342332"</f>
        <v>0</v>
      </c>
      <c r="F1585" t="str">
        <f>"001230"</f>
        <v>0</v>
      </c>
      <c r="G1585" t="s">
        <v>18359</v>
      </c>
    </row>
    <row r="1586" spans="1:7">
      <c r="A1586">
        <v>1585</v>
      </c>
      <c r="B1586" t="str">
        <f>"025122"</f>
        <v>0</v>
      </c>
      <c r="C1586" t="s">
        <v>20345</v>
      </c>
      <c r="D1586" t="s">
        <v>20346</v>
      </c>
      <c r="E1586" t="str">
        <f>"1659900115743"</f>
        <v>0</v>
      </c>
      <c r="F1586" t="str">
        <f>"001230"</f>
        <v>0</v>
      </c>
      <c r="G1586" t="s">
        <v>18359</v>
      </c>
    </row>
    <row r="1587" spans="1:7">
      <c r="A1587">
        <v>1586</v>
      </c>
      <c r="B1587" t="str">
        <f>"026377"</f>
        <v>0</v>
      </c>
      <c r="C1587" t="s">
        <v>20347</v>
      </c>
      <c r="D1587" t="s">
        <v>20348</v>
      </c>
      <c r="E1587" t="str">
        <f>"1560300158649"</f>
        <v>0</v>
      </c>
      <c r="F1587" t="str">
        <f>"001230"</f>
        <v>0</v>
      </c>
      <c r="G1587" t="s">
        <v>18359</v>
      </c>
    </row>
    <row r="1588" spans="1:7">
      <c r="A1588">
        <v>1587</v>
      </c>
      <c r="B1588" t="str">
        <f>"003186"</f>
        <v>0</v>
      </c>
      <c r="C1588" t="s">
        <v>12074</v>
      </c>
      <c r="D1588" t="s">
        <v>20349</v>
      </c>
      <c r="E1588" t="str">
        <f>"3560600147231"</f>
        <v>0</v>
      </c>
      <c r="F1588" t="str">
        <f>"001250"</f>
        <v>0</v>
      </c>
      <c r="G1588" t="s">
        <v>18359</v>
      </c>
    </row>
    <row r="1589" spans="1:7">
      <c r="A1589">
        <v>1588</v>
      </c>
      <c r="B1589" t="str">
        <f>"003654"</f>
        <v>0</v>
      </c>
      <c r="C1589" t="s">
        <v>20350</v>
      </c>
      <c r="D1589" t="s">
        <v>20351</v>
      </c>
      <c r="E1589" t="str">
        <f>"5560790000268"</f>
        <v>0</v>
      </c>
      <c r="F1589" t="str">
        <f>"001250"</f>
        <v>0</v>
      </c>
      <c r="G1589" t="s">
        <v>18359</v>
      </c>
    </row>
    <row r="1590" spans="1:7">
      <c r="A1590">
        <v>1589</v>
      </c>
      <c r="B1590" t="str">
        <f>"005876"</f>
        <v>0</v>
      </c>
      <c r="C1590" t="s">
        <v>2331</v>
      </c>
      <c r="D1590" t="s">
        <v>20352</v>
      </c>
      <c r="E1590" t="str">
        <f>"3560700095241"</f>
        <v>0</v>
      </c>
      <c r="F1590" t="str">
        <f>"001250"</f>
        <v>0</v>
      </c>
      <c r="G1590" t="s">
        <v>18359</v>
      </c>
    </row>
    <row r="1591" spans="1:7">
      <c r="A1591">
        <v>1590</v>
      </c>
      <c r="B1591" t="str">
        <f>"006447"</f>
        <v>0</v>
      </c>
      <c r="C1591" t="s">
        <v>20353</v>
      </c>
      <c r="D1591" t="s">
        <v>20354</v>
      </c>
      <c r="E1591" t="str">
        <f>"4560300004361"</f>
        <v>0</v>
      </c>
      <c r="F1591" t="str">
        <f>"001250"</f>
        <v>0</v>
      </c>
      <c r="G1591" t="s">
        <v>18359</v>
      </c>
    </row>
    <row r="1592" spans="1:7">
      <c r="A1592">
        <v>1591</v>
      </c>
      <c r="B1592" t="str">
        <f>"006622"</f>
        <v>0</v>
      </c>
      <c r="C1592" t="s">
        <v>5181</v>
      </c>
      <c r="D1592" t="s">
        <v>20355</v>
      </c>
      <c r="E1592" t="str">
        <f>"3560600137139"</f>
        <v>0</v>
      </c>
      <c r="F1592" t="str">
        <f>"001250"</f>
        <v>0</v>
      </c>
      <c r="G1592" t="s">
        <v>18359</v>
      </c>
    </row>
    <row r="1593" spans="1:7">
      <c r="A1593">
        <v>1592</v>
      </c>
      <c r="B1593" t="str">
        <f>"007029"</f>
        <v>0</v>
      </c>
      <c r="C1593" t="s">
        <v>20356</v>
      </c>
      <c r="D1593" t="s">
        <v>20357</v>
      </c>
      <c r="E1593" t="str">
        <f>"3560300050089"</f>
        <v>0</v>
      </c>
      <c r="F1593" t="str">
        <f>"001250"</f>
        <v>0</v>
      </c>
      <c r="G1593" t="s">
        <v>18359</v>
      </c>
    </row>
    <row r="1594" spans="1:7">
      <c r="A1594">
        <v>1593</v>
      </c>
      <c r="B1594" t="str">
        <f>"009659"</f>
        <v>0</v>
      </c>
      <c r="C1594" t="s">
        <v>4577</v>
      </c>
      <c r="D1594" t="s">
        <v>20358</v>
      </c>
      <c r="E1594" t="str">
        <f>"3560700048481"</f>
        <v>0</v>
      </c>
      <c r="F1594" t="str">
        <f>"001250"</f>
        <v>0</v>
      </c>
      <c r="G1594" t="s">
        <v>18359</v>
      </c>
    </row>
    <row r="1595" spans="1:7">
      <c r="A1595">
        <v>1594</v>
      </c>
      <c r="B1595" t="str">
        <f>"014846"</f>
        <v>0</v>
      </c>
      <c r="C1595" t="s">
        <v>160</v>
      </c>
      <c r="D1595" t="s">
        <v>20359</v>
      </c>
      <c r="E1595" t="str">
        <f>"3560100102433"</f>
        <v>0</v>
      </c>
      <c r="F1595" t="str">
        <f>"001250"</f>
        <v>0</v>
      </c>
      <c r="G1595" t="s">
        <v>18359</v>
      </c>
    </row>
    <row r="1596" spans="1:7">
      <c r="A1596">
        <v>1595</v>
      </c>
      <c r="B1596" t="str">
        <f>"018175"</f>
        <v>0</v>
      </c>
      <c r="C1596" t="s">
        <v>20360</v>
      </c>
      <c r="D1596" t="s">
        <v>20361</v>
      </c>
      <c r="E1596" t="str">
        <f>"5570400014781"</f>
        <v>0</v>
      </c>
      <c r="F1596" t="str">
        <f>"001250"</f>
        <v>0</v>
      </c>
      <c r="G1596" t="s">
        <v>18359</v>
      </c>
    </row>
    <row r="1597" spans="1:7">
      <c r="A1597">
        <v>1596</v>
      </c>
      <c r="B1597" t="str">
        <f>"009900"</f>
        <v>0</v>
      </c>
      <c r="C1597" t="s">
        <v>2760</v>
      </c>
      <c r="D1597" t="s">
        <v>20362</v>
      </c>
      <c r="E1597" t="str">
        <f>"3830200133541"</f>
        <v>0</v>
      </c>
      <c r="F1597" t="str">
        <f>"001340"</f>
        <v>0</v>
      </c>
      <c r="G1597" t="s">
        <v>18359</v>
      </c>
    </row>
    <row r="1598" spans="1:7">
      <c r="A1598">
        <v>1597</v>
      </c>
      <c r="B1598" t="str">
        <f>"009902"</f>
        <v>0</v>
      </c>
      <c r="C1598" t="s">
        <v>20363</v>
      </c>
      <c r="D1598" t="s">
        <v>20364</v>
      </c>
      <c r="E1598" t="str">
        <f>"3820500074833"</f>
        <v>0</v>
      </c>
      <c r="F1598" t="str">
        <f>"001340"</f>
        <v>0</v>
      </c>
      <c r="G1598" t="s">
        <v>18359</v>
      </c>
    </row>
    <row r="1599" spans="1:7">
      <c r="A1599">
        <v>1598</v>
      </c>
      <c r="B1599" t="str">
        <f>"011293"</f>
        <v>0</v>
      </c>
      <c r="C1599" t="s">
        <v>837</v>
      </c>
      <c r="D1599" t="s">
        <v>20365</v>
      </c>
      <c r="E1599" t="str">
        <f>"3841400008007"</f>
        <v>0</v>
      </c>
      <c r="F1599" t="str">
        <f>"001340"</f>
        <v>0</v>
      </c>
      <c r="G1599" t="s">
        <v>18359</v>
      </c>
    </row>
    <row r="1600" spans="1:7">
      <c r="A1600">
        <v>1599</v>
      </c>
      <c r="B1600" t="str">
        <f>"018435"</f>
        <v>0</v>
      </c>
      <c r="C1600" t="s">
        <v>1599</v>
      </c>
      <c r="D1600" t="s">
        <v>20366</v>
      </c>
      <c r="E1600" t="str">
        <f>"3930200110485"</f>
        <v>0</v>
      </c>
      <c r="F1600" t="str">
        <f>"001340"</f>
        <v>0</v>
      </c>
      <c r="G1600" t="s">
        <v>18359</v>
      </c>
    </row>
    <row r="1601" spans="1:7">
      <c r="A1601">
        <v>1600</v>
      </c>
      <c r="B1601" t="str">
        <f>"022091"</f>
        <v>0</v>
      </c>
      <c r="C1601" t="s">
        <v>20367</v>
      </c>
      <c r="D1601" t="s">
        <v>20368</v>
      </c>
      <c r="E1601" t="str">
        <f>"1840100046143"</f>
        <v>0</v>
      </c>
      <c r="F1601" t="str">
        <f>"001340"</f>
        <v>0</v>
      </c>
      <c r="G1601" t="s">
        <v>18359</v>
      </c>
    </row>
    <row r="1602" spans="1:7">
      <c r="A1602">
        <v>1601</v>
      </c>
      <c r="B1602" t="str">
        <f>"025810"</f>
        <v>0</v>
      </c>
      <c r="C1602" t="s">
        <v>20369</v>
      </c>
      <c r="D1602" t="s">
        <v>20370</v>
      </c>
      <c r="E1602" t="str">
        <f>"3820400259343"</f>
        <v>0</v>
      </c>
      <c r="F1602" t="str">
        <f>"001340"</f>
        <v>0</v>
      </c>
      <c r="G1602" t="s">
        <v>18359</v>
      </c>
    </row>
    <row r="1603" spans="1:7">
      <c r="A1603">
        <v>1602</v>
      </c>
      <c r="B1603" t="str">
        <f>"021171"</f>
        <v>0</v>
      </c>
      <c r="C1603" t="s">
        <v>20371</v>
      </c>
      <c r="D1603" t="s">
        <v>20372</v>
      </c>
      <c r="E1603" t="str">
        <f>"3800900853457"</f>
        <v>0</v>
      </c>
      <c r="F1603" t="str">
        <f>"001340"</f>
        <v>0</v>
      </c>
      <c r="G1603" t="s">
        <v>18359</v>
      </c>
    </row>
    <row r="1604" spans="1:7">
      <c r="A1604">
        <v>1603</v>
      </c>
      <c r="B1604" t="str">
        <f>"025633"</f>
        <v>0</v>
      </c>
      <c r="C1604" t="s">
        <v>1718</v>
      </c>
      <c r="D1604" t="s">
        <v>20373</v>
      </c>
      <c r="E1604" t="str">
        <f>"1930100091954"</f>
        <v>0</v>
      </c>
      <c r="F1604" t="str">
        <f>"001340"</f>
        <v>0</v>
      </c>
      <c r="G1604" t="s">
        <v>18359</v>
      </c>
    </row>
    <row r="1605" spans="1:7">
      <c r="A1605">
        <v>1604</v>
      </c>
      <c r="B1605" t="str">
        <f>"000851"</f>
        <v>0</v>
      </c>
      <c r="C1605" t="s">
        <v>6315</v>
      </c>
      <c r="D1605" t="s">
        <v>20374</v>
      </c>
      <c r="E1605" t="str">
        <f>"3440300012846"</f>
        <v>0</v>
      </c>
      <c r="F1605" t="str">
        <f>"001350"</f>
        <v>0</v>
      </c>
      <c r="G1605" t="s">
        <v>18359</v>
      </c>
    </row>
    <row r="1606" spans="1:7">
      <c r="A1606">
        <v>1605</v>
      </c>
      <c r="B1606" t="str">
        <f>"003189"</f>
        <v>0</v>
      </c>
      <c r="C1606" t="s">
        <v>6650</v>
      </c>
      <c r="D1606" t="s">
        <v>20375</v>
      </c>
      <c r="E1606" t="str">
        <f>"3440700008633"</f>
        <v>0</v>
      </c>
      <c r="F1606" t="str">
        <f>"001350"</f>
        <v>0</v>
      </c>
      <c r="G1606" t="s">
        <v>18359</v>
      </c>
    </row>
    <row r="1607" spans="1:7">
      <c r="A1607">
        <v>1606</v>
      </c>
      <c r="B1607" t="str">
        <f>"003770"</f>
        <v>0</v>
      </c>
      <c r="C1607" t="s">
        <v>5427</v>
      </c>
      <c r="D1607" t="s">
        <v>20376</v>
      </c>
      <c r="E1607" t="str">
        <f>"3440600034357"</f>
        <v>0</v>
      </c>
      <c r="F1607" t="str">
        <f>"001350"</f>
        <v>0</v>
      </c>
      <c r="G1607" t="s">
        <v>18359</v>
      </c>
    </row>
    <row r="1608" spans="1:7">
      <c r="A1608">
        <v>1607</v>
      </c>
      <c r="B1608" t="str">
        <f>"003821"</f>
        <v>0</v>
      </c>
      <c r="C1608" t="s">
        <v>1738</v>
      </c>
      <c r="D1608" t="s">
        <v>20377</v>
      </c>
      <c r="E1608" t="str">
        <f>"3440600130828"</f>
        <v>0</v>
      </c>
      <c r="F1608" t="str">
        <f>"001350"</f>
        <v>0</v>
      </c>
      <c r="G1608" t="s">
        <v>18359</v>
      </c>
    </row>
    <row r="1609" spans="1:7">
      <c r="A1609">
        <v>1608</v>
      </c>
      <c r="B1609" t="str">
        <f>"005142"</f>
        <v>0</v>
      </c>
      <c r="C1609" t="s">
        <v>20378</v>
      </c>
      <c r="D1609" t="s">
        <v>20379</v>
      </c>
      <c r="E1609" t="str">
        <f>"3459900020732"</f>
        <v>0</v>
      </c>
      <c r="F1609" t="str">
        <f>"001350"</f>
        <v>0</v>
      </c>
      <c r="G1609" t="s">
        <v>18359</v>
      </c>
    </row>
    <row r="1610" spans="1:7">
      <c r="A1610">
        <v>1609</v>
      </c>
      <c r="B1610" t="str">
        <f>"005545"</f>
        <v>0</v>
      </c>
      <c r="C1610" t="s">
        <v>3537</v>
      </c>
      <c r="D1610" t="s">
        <v>11335</v>
      </c>
      <c r="E1610" t="str">
        <f>"3341300368286"</f>
        <v>0</v>
      </c>
      <c r="F1610" t="str">
        <f>"001350"</f>
        <v>0</v>
      </c>
      <c r="G1610" t="s">
        <v>18359</v>
      </c>
    </row>
    <row r="1611" spans="1:7">
      <c r="A1611">
        <v>1610</v>
      </c>
      <c r="B1611" t="str">
        <f>"005797"</f>
        <v>0</v>
      </c>
      <c r="C1611" t="s">
        <v>13272</v>
      </c>
      <c r="D1611" t="s">
        <v>20380</v>
      </c>
      <c r="E1611" t="str">
        <f>"3440700012631"</f>
        <v>0</v>
      </c>
      <c r="F1611" t="str">
        <f>"001350"</f>
        <v>0</v>
      </c>
      <c r="G1611" t="s">
        <v>18359</v>
      </c>
    </row>
    <row r="1612" spans="1:7">
      <c r="A1612">
        <v>1611</v>
      </c>
      <c r="B1612" t="str">
        <f>"007640"</f>
        <v>0</v>
      </c>
      <c r="C1612" t="s">
        <v>3801</v>
      </c>
      <c r="D1612" t="s">
        <v>20381</v>
      </c>
      <c r="E1612" t="str">
        <f>"3440100868089"</f>
        <v>0</v>
      </c>
      <c r="F1612" t="str">
        <f>"001350"</f>
        <v>0</v>
      </c>
      <c r="G1612" t="s">
        <v>18359</v>
      </c>
    </row>
    <row r="1613" spans="1:7">
      <c r="A1613">
        <v>1612</v>
      </c>
      <c r="B1613" t="str">
        <f>"007763"</f>
        <v>0</v>
      </c>
      <c r="C1613" t="s">
        <v>20382</v>
      </c>
      <c r="D1613" t="s">
        <v>20383</v>
      </c>
      <c r="E1613" t="str">
        <f>"3440800302673"</f>
        <v>0</v>
      </c>
      <c r="F1613" t="str">
        <f>"001350"</f>
        <v>0</v>
      </c>
      <c r="G1613" t="s">
        <v>18359</v>
      </c>
    </row>
    <row r="1614" spans="1:7">
      <c r="A1614">
        <v>1613</v>
      </c>
      <c r="B1614" t="str">
        <f>"007766"</f>
        <v>0</v>
      </c>
      <c r="C1614" t="s">
        <v>20384</v>
      </c>
      <c r="D1614" t="s">
        <v>11298</v>
      </c>
      <c r="E1614" t="str">
        <f>"3440600035299"</f>
        <v>0</v>
      </c>
      <c r="F1614" t="str">
        <f>"001350"</f>
        <v>0</v>
      </c>
      <c r="G1614" t="s">
        <v>18359</v>
      </c>
    </row>
    <row r="1615" spans="1:7">
      <c r="A1615">
        <v>1614</v>
      </c>
      <c r="B1615" t="str">
        <f>"008153"</f>
        <v>0</v>
      </c>
      <c r="C1615" t="s">
        <v>20385</v>
      </c>
      <c r="D1615" t="s">
        <v>20386</v>
      </c>
      <c r="E1615" t="str">
        <f>"3449900103786"</f>
        <v>0</v>
      </c>
      <c r="F1615" t="str">
        <f>"001350"</f>
        <v>0</v>
      </c>
      <c r="G1615" t="s">
        <v>18359</v>
      </c>
    </row>
    <row r="1616" spans="1:7">
      <c r="A1616">
        <v>1615</v>
      </c>
      <c r="B1616" t="str">
        <f>"008290"</f>
        <v>0</v>
      </c>
      <c r="C1616" t="s">
        <v>1951</v>
      </c>
      <c r="D1616" t="s">
        <v>20387</v>
      </c>
      <c r="E1616" t="str">
        <f>"3440200175531"</f>
        <v>0</v>
      </c>
      <c r="F1616" t="str">
        <f>"001350"</f>
        <v>0</v>
      </c>
      <c r="G1616" t="s">
        <v>18359</v>
      </c>
    </row>
    <row r="1617" spans="1:7">
      <c r="A1617">
        <v>1616</v>
      </c>
      <c r="B1617" t="str">
        <f>"008291"</f>
        <v>0</v>
      </c>
      <c r="C1617" t="s">
        <v>4779</v>
      </c>
      <c r="D1617" t="s">
        <v>20388</v>
      </c>
      <c r="E1617" t="str">
        <f>"3510100521509"</f>
        <v>0</v>
      </c>
      <c r="F1617" t="str">
        <f>"001350"</f>
        <v>0</v>
      </c>
      <c r="G1617" t="s">
        <v>18359</v>
      </c>
    </row>
    <row r="1618" spans="1:7">
      <c r="A1618">
        <v>1617</v>
      </c>
      <c r="B1618" t="str">
        <f>"008559"</f>
        <v>0</v>
      </c>
      <c r="C1618" t="s">
        <v>16104</v>
      </c>
      <c r="D1618" t="s">
        <v>20389</v>
      </c>
      <c r="E1618" t="str">
        <f>"3350100257323"</f>
        <v>0</v>
      </c>
      <c r="F1618" t="str">
        <f>"001350"</f>
        <v>0</v>
      </c>
      <c r="G1618" t="s">
        <v>18359</v>
      </c>
    </row>
    <row r="1619" spans="1:7">
      <c r="A1619">
        <v>1618</v>
      </c>
      <c r="B1619" t="str">
        <f>"009056"</f>
        <v>0</v>
      </c>
      <c r="C1619" t="s">
        <v>20390</v>
      </c>
      <c r="D1619" t="s">
        <v>20391</v>
      </c>
      <c r="E1619" t="str">
        <f>"3301000736557"</f>
        <v>0</v>
      </c>
      <c r="F1619" t="str">
        <f>"001350"</f>
        <v>0</v>
      </c>
      <c r="G1619" t="s">
        <v>18359</v>
      </c>
    </row>
    <row r="1620" spans="1:7">
      <c r="A1620">
        <v>1619</v>
      </c>
      <c r="B1620" t="str">
        <f>"009111"</f>
        <v>0</v>
      </c>
      <c r="C1620" t="s">
        <v>1903</v>
      </c>
      <c r="D1620" t="s">
        <v>20392</v>
      </c>
      <c r="E1620" t="str">
        <f>"3441000032478"</f>
        <v>0</v>
      </c>
      <c r="F1620" t="str">
        <f>"001350"</f>
        <v>0</v>
      </c>
      <c r="G1620" t="s">
        <v>18359</v>
      </c>
    </row>
    <row r="1621" spans="1:7">
      <c r="A1621">
        <v>1620</v>
      </c>
      <c r="B1621" t="str">
        <f>"009406"</f>
        <v>0</v>
      </c>
      <c r="C1621" t="s">
        <v>20393</v>
      </c>
      <c r="D1621" t="s">
        <v>11307</v>
      </c>
      <c r="E1621" t="str">
        <f>"3440300705566"</f>
        <v>0</v>
      </c>
      <c r="F1621" t="str">
        <f>"001350"</f>
        <v>0</v>
      </c>
      <c r="G1621" t="s">
        <v>18359</v>
      </c>
    </row>
    <row r="1622" spans="1:7">
      <c r="A1622">
        <v>1621</v>
      </c>
      <c r="B1622" t="str">
        <f>"010389"</f>
        <v>0</v>
      </c>
      <c r="C1622" t="s">
        <v>8062</v>
      </c>
      <c r="D1622" t="s">
        <v>20394</v>
      </c>
      <c r="E1622" t="str">
        <f>"3440800229399"</f>
        <v>0</v>
      </c>
      <c r="F1622" t="str">
        <f>"001350"</f>
        <v>0</v>
      </c>
      <c r="G1622" t="s">
        <v>18359</v>
      </c>
    </row>
    <row r="1623" spans="1:7">
      <c r="A1623">
        <v>1622</v>
      </c>
      <c r="B1623" t="str">
        <f>"012212"</f>
        <v>0</v>
      </c>
      <c r="C1623" t="s">
        <v>239</v>
      </c>
      <c r="D1623" t="s">
        <v>1399</v>
      </c>
      <c r="E1623" t="str">
        <f>"3560400006651"</f>
        <v>0</v>
      </c>
      <c r="F1623" t="str">
        <f>"001350"</f>
        <v>0</v>
      </c>
      <c r="G1623" t="s">
        <v>18359</v>
      </c>
    </row>
    <row r="1624" spans="1:7">
      <c r="A1624">
        <v>1623</v>
      </c>
      <c r="B1624" t="str">
        <f>"013509"</f>
        <v>0</v>
      </c>
      <c r="C1624" t="s">
        <v>3052</v>
      </c>
      <c r="D1624" t="s">
        <v>20395</v>
      </c>
      <c r="E1624" t="str">
        <f>"3440200235291"</f>
        <v>0</v>
      </c>
      <c r="F1624" t="str">
        <f>"001350"</f>
        <v>0</v>
      </c>
      <c r="G1624" t="s">
        <v>18359</v>
      </c>
    </row>
    <row r="1625" spans="1:7">
      <c r="A1625">
        <v>1624</v>
      </c>
      <c r="B1625" t="str">
        <f>"013832"</f>
        <v>0</v>
      </c>
      <c r="C1625" t="s">
        <v>20396</v>
      </c>
      <c r="D1625" t="s">
        <v>20397</v>
      </c>
      <c r="E1625" t="str">
        <f>"3449900195869"</f>
        <v>0</v>
      </c>
      <c r="F1625" t="str">
        <f>"001350"</f>
        <v>0</v>
      </c>
      <c r="G1625" t="s">
        <v>18359</v>
      </c>
    </row>
    <row r="1626" spans="1:7">
      <c r="A1626">
        <v>1625</v>
      </c>
      <c r="B1626" t="str">
        <f>"015339"</f>
        <v>0</v>
      </c>
      <c r="C1626" t="s">
        <v>3799</v>
      </c>
      <c r="D1626" t="s">
        <v>20398</v>
      </c>
      <c r="E1626" t="str">
        <f>"3440400549710"</f>
        <v>0</v>
      </c>
      <c r="F1626" t="str">
        <f>"001350"</f>
        <v>0</v>
      </c>
      <c r="G1626" t="s">
        <v>18359</v>
      </c>
    </row>
    <row r="1627" spans="1:7">
      <c r="A1627">
        <v>1626</v>
      </c>
      <c r="B1627" t="str">
        <f>"027176"</f>
        <v>0</v>
      </c>
      <c r="C1627" t="s">
        <v>1322</v>
      </c>
      <c r="D1627" t="s">
        <v>2265</v>
      </c>
      <c r="E1627" t="str">
        <f>"1141000058741"</f>
        <v>0</v>
      </c>
      <c r="F1627" t="str">
        <f>"001350"</f>
        <v>0</v>
      </c>
      <c r="G1627" t="s">
        <v>18359</v>
      </c>
    </row>
    <row r="1628" spans="1:7">
      <c r="A1628">
        <v>1627</v>
      </c>
      <c r="B1628" t="str">
        <f>"027171"</f>
        <v>0</v>
      </c>
      <c r="C1628" t="s">
        <v>20399</v>
      </c>
      <c r="D1628" t="s">
        <v>20400</v>
      </c>
      <c r="E1628" t="str">
        <f>"3190600218299"</f>
        <v>0</v>
      </c>
      <c r="F1628" t="str">
        <f>"001350"</f>
        <v>0</v>
      </c>
      <c r="G1628" t="s">
        <v>18359</v>
      </c>
    </row>
    <row r="1629" spans="1:7">
      <c r="A1629">
        <v>1628</v>
      </c>
      <c r="B1629" t="str">
        <f>"024076"</f>
        <v>0</v>
      </c>
      <c r="C1629" t="s">
        <v>13219</v>
      </c>
      <c r="D1629" t="s">
        <v>20401</v>
      </c>
      <c r="E1629" t="str">
        <f>"1309900015598"</f>
        <v>0</v>
      </c>
      <c r="F1629" t="str">
        <f>"001350"</f>
        <v>0</v>
      </c>
      <c r="G1629" t="s">
        <v>18359</v>
      </c>
    </row>
    <row r="1630" spans="1:7">
      <c r="A1630">
        <v>1629</v>
      </c>
      <c r="B1630" t="str">
        <f>"025305"</f>
        <v>0</v>
      </c>
      <c r="C1630" t="s">
        <v>20402</v>
      </c>
      <c r="D1630" t="s">
        <v>20403</v>
      </c>
      <c r="E1630" t="str">
        <f>"3400101446188"</f>
        <v>0</v>
      </c>
      <c r="F1630" t="str">
        <f>"001350"</f>
        <v>0</v>
      </c>
      <c r="G1630" t="s">
        <v>18359</v>
      </c>
    </row>
    <row r="1631" spans="1:7">
      <c r="A1631">
        <v>1630</v>
      </c>
      <c r="B1631" t="str">
        <f>"013403"</f>
        <v>0</v>
      </c>
      <c r="C1631" t="s">
        <v>3638</v>
      </c>
      <c r="D1631" t="s">
        <v>17314</v>
      </c>
      <c r="E1631" t="str">
        <f>"3421000572545"</f>
        <v>0</v>
      </c>
      <c r="F1631" t="str">
        <f>"001350"</f>
        <v>0</v>
      </c>
      <c r="G1631" t="s">
        <v>18359</v>
      </c>
    </row>
    <row r="1632" spans="1:7">
      <c r="A1632">
        <v>1631</v>
      </c>
      <c r="B1632" t="str">
        <f>"007668"</f>
        <v>0</v>
      </c>
      <c r="C1632" t="s">
        <v>20404</v>
      </c>
      <c r="D1632" t="s">
        <v>10277</v>
      </c>
      <c r="E1632" t="str">
        <f>"3349700013067"</f>
        <v>0</v>
      </c>
      <c r="F1632" t="str">
        <f>"001350"</f>
        <v>0</v>
      </c>
      <c r="G1632" t="s">
        <v>18359</v>
      </c>
    </row>
    <row r="1633" spans="1:7">
      <c r="A1633">
        <v>1632</v>
      </c>
      <c r="B1633" t="str">
        <f>"008293"</f>
        <v>0</v>
      </c>
      <c r="C1633" t="s">
        <v>7541</v>
      </c>
      <c r="D1633" t="s">
        <v>20405</v>
      </c>
      <c r="E1633" t="str">
        <f>"3440400551081"</f>
        <v>0</v>
      </c>
      <c r="F1633" t="str">
        <f>"001350"</f>
        <v>0</v>
      </c>
      <c r="G1633" t="s">
        <v>18359</v>
      </c>
    </row>
    <row r="1634" spans="1:7">
      <c r="A1634">
        <v>1633</v>
      </c>
      <c r="B1634" t="str">
        <f>"008328"</f>
        <v>0</v>
      </c>
      <c r="C1634" t="s">
        <v>379</v>
      </c>
      <c r="D1634" t="s">
        <v>19529</v>
      </c>
      <c r="E1634" t="str">
        <f>"3410800017189"</f>
        <v>0</v>
      </c>
      <c r="F1634" t="str">
        <f>"001350"</f>
        <v>0</v>
      </c>
      <c r="G1634" t="s">
        <v>18359</v>
      </c>
    </row>
    <row r="1635" spans="1:7">
      <c r="A1635">
        <v>1634</v>
      </c>
      <c r="B1635" t="str">
        <f>"010616"</f>
        <v>0</v>
      </c>
      <c r="C1635" t="s">
        <v>4757</v>
      </c>
      <c r="D1635" t="s">
        <v>20406</v>
      </c>
      <c r="E1635" t="str">
        <f>"5450390019787"</f>
        <v>0</v>
      </c>
      <c r="F1635" t="str">
        <f>"001350"</f>
        <v>0</v>
      </c>
      <c r="G1635" t="s">
        <v>18359</v>
      </c>
    </row>
    <row r="1636" spans="1:7">
      <c r="A1636">
        <v>1635</v>
      </c>
      <c r="B1636" t="str">
        <f>"010813"</f>
        <v>0</v>
      </c>
      <c r="C1636" t="s">
        <v>1541</v>
      </c>
      <c r="D1636" t="s">
        <v>20407</v>
      </c>
      <c r="E1636" t="str">
        <f>"3170100005911"</f>
        <v>0</v>
      </c>
      <c r="F1636" t="str">
        <f>"001350"</f>
        <v>0</v>
      </c>
      <c r="G1636" t="s">
        <v>18359</v>
      </c>
    </row>
    <row r="1637" spans="1:7">
      <c r="A1637">
        <v>1636</v>
      </c>
      <c r="B1637" t="str">
        <f>"011065"</f>
        <v>0</v>
      </c>
      <c r="C1637" t="s">
        <v>32</v>
      </c>
      <c r="D1637" t="s">
        <v>4735</v>
      </c>
      <c r="E1637" t="str">
        <f>"3450101377844"</f>
        <v>0</v>
      </c>
      <c r="F1637" t="str">
        <f>"001350"</f>
        <v>0</v>
      </c>
      <c r="G1637" t="s">
        <v>18359</v>
      </c>
    </row>
    <row r="1638" spans="1:7">
      <c r="A1638">
        <v>1637</v>
      </c>
      <c r="B1638" t="str">
        <f>"011275"</f>
        <v>0</v>
      </c>
      <c r="C1638" t="s">
        <v>20408</v>
      </c>
      <c r="D1638" t="s">
        <v>20409</v>
      </c>
      <c r="E1638" t="str">
        <f>"3440500542199"</f>
        <v>0</v>
      </c>
      <c r="F1638" t="str">
        <f>"001350"</f>
        <v>0</v>
      </c>
      <c r="G1638" t="s">
        <v>18359</v>
      </c>
    </row>
    <row r="1639" spans="1:7">
      <c r="A1639">
        <v>1638</v>
      </c>
      <c r="B1639" t="str">
        <f>"011286"</f>
        <v>0</v>
      </c>
      <c r="C1639" t="s">
        <v>670</v>
      </c>
      <c r="D1639" t="s">
        <v>20410</v>
      </c>
      <c r="E1639" t="str">
        <f>"3471200683693"</f>
        <v>0</v>
      </c>
      <c r="F1639" t="str">
        <f>"001350"</f>
        <v>0</v>
      </c>
      <c r="G1639" t="s">
        <v>18359</v>
      </c>
    </row>
    <row r="1640" spans="1:7">
      <c r="A1640">
        <v>1639</v>
      </c>
      <c r="B1640" t="str">
        <f>"016523"</f>
        <v>0</v>
      </c>
      <c r="C1640" t="s">
        <v>20411</v>
      </c>
      <c r="D1640" t="s">
        <v>20412</v>
      </c>
      <c r="E1640" t="str">
        <f>"3460701079003"</f>
        <v>0</v>
      </c>
      <c r="F1640" t="str">
        <f>"001350"</f>
        <v>0</v>
      </c>
      <c r="G1640" t="s">
        <v>18359</v>
      </c>
    </row>
    <row r="1641" spans="1:7">
      <c r="A1641">
        <v>1640</v>
      </c>
      <c r="B1641" t="str">
        <f>"024833"</f>
        <v>0</v>
      </c>
      <c r="C1641" t="s">
        <v>20413</v>
      </c>
      <c r="D1641" t="s">
        <v>20414</v>
      </c>
      <c r="E1641" t="str">
        <f>"3440900924331"</f>
        <v>0</v>
      </c>
      <c r="F1641" t="str">
        <f>"001350"</f>
        <v>0</v>
      </c>
      <c r="G1641" t="s">
        <v>18359</v>
      </c>
    </row>
    <row r="1642" spans="1:7">
      <c r="A1642">
        <v>1641</v>
      </c>
      <c r="B1642" t="str">
        <f>"025137"</f>
        <v>0</v>
      </c>
      <c r="C1642" t="s">
        <v>20415</v>
      </c>
      <c r="D1642" t="s">
        <v>20416</v>
      </c>
      <c r="E1642" t="str">
        <f>"1440900086194"</f>
        <v>0</v>
      </c>
      <c r="F1642" t="str">
        <f>"001350"</f>
        <v>0</v>
      </c>
      <c r="G1642" t="s">
        <v>18359</v>
      </c>
    </row>
    <row r="1643" spans="1:7">
      <c r="A1643">
        <v>1642</v>
      </c>
      <c r="B1643" t="str">
        <f>"025381"</f>
        <v>0</v>
      </c>
      <c r="C1643" t="s">
        <v>20417</v>
      </c>
      <c r="D1643" t="s">
        <v>20418</v>
      </c>
      <c r="E1643" t="str">
        <f>"3440700501402"</f>
        <v>0</v>
      </c>
      <c r="F1643" t="str">
        <f>"001350"</f>
        <v>0</v>
      </c>
      <c r="G1643" t="s">
        <v>18359</v>
      </c>
    </row>
    <row r="1644" spans="1:7">
      <c r="A1644">
        <v>1643</v>
      </c>
      <c r="B1644" t="str">
        <f>"025893"</f>
        <v>0</v>
      </c>
      <c r="C1644" t="s">
        <v>2560</v>
      </c>
      <c r="D1644" t="s">
        <v>20419</v>
      </c>
      <c r="E1644" t="str">
        <f>"1629900091551"</f>
        <v>0</v>
      </c>
      <c r="F1644" t="str">
        <f>"001350"</f>
        <v>0</v>
      </c>
      <c r="G1644" t="s">
        <v>18359</v>
      </c>
    </row>
    <row r="1645" spans="1:7">
      <c r="A1645">
        <v>1644</v>
      </c>
      <c r="B1645" t="str">
        <f>"017968"</f>
        <v>0</v>
      </c>
      <c r="C1645" t="s">
        <v>6522</v>
      </c>
      <c r="D1645" t="s">
        <v>20420</v>
      </c>
      <c r="E1645" t="str">
        <f>"3459900222521"</f>
        <v>0</v>
      </c>
      <c r="F1645" t="str">
        <f>"001350"</f>
        <v>0</v>
      </c>
      <c r="G1645" t="s">
        <v>18359</v>
      </c>
    </row>
    <row r="1646" spans="1:7">
      <c r="A1646">
        <v>1645</v>
      </c>
      <c r="B1646" t="str">
        <f>"026762"</f>
        <v>0</v>
      </c>
      <c r="C1646" t="s">
        <v>20421</v>
      </c>
      <c r="D1646" t="s">
        <v>20422</v>
      </c>
      <c r="E1646" t="str">
        <f>"1451200048908"</f>
        <v>0</v>
      </c>
      <c r="F1646" t="str">
        <f>"001350"</f>
        <v>0</v>
      </c>
      <c r="G1646" t="s">
        <v>18359</v>
      </c>
    </row>
    <row r="1647" spans="1:7">
      <c r="A1647">
        <v>1646</v>
      </c>
      <c r="B1647" t="str">
        <f>"024444"</f>
        <v>0</v>
      </c>
      <c r="C1647" t="s">
        <v>20423</v>
      </c>
      <c r="D1647" t="s">
        <v>20424</v>
      </c>
      <c r="E1647" t="str">
        <f>"3660300237510"</f>
        <v>0</v>
      </c>
      <c r="F1647" t="str">
        <f>"001350"</f>
        <v>0</v>
      </c>
      <c r="G1647" t="s">
        <v>18359</v>
      </c>
    </row>
    <row r="1648" spans="1:7">
      <c r="A1648">
        <v>1647</v>
      </c>
      <c r="B1648" t="str">
        <f>"017416"</f>
        <v>0</v>
      </c>
      <c r="C1648" t="s">
        <v>20425</v>
      </c>
      <c r="D1648" t="s">
        <v>20426</v>
      </c>
      <c r="E1648" t="str">
        <f>"3400101459026"</f>
        <v>0</v>
      </c>
      <c r="F1648" t="str">
        <f>"001350"</f>
        <v>0</v>
      </c>
      <c r="G1648" t="s">
        <v>18359</v>
      </c>
    </row>
    <row r="1649" spans="1:7">
      <c r="A1649">
        <v>1648</v>
      </c>
      <c r="B1649" t="str">
        <f>"019324"</f>
        <v>0</v>
      </c>
      <c r="C1649" t="s">
        <v>20427</v>
      </c>
      <c r="D1649" t="s">
        <v>20428</v>
      </c>
      <c r="E1649" t="str">
        <f>"3500800066146"</f>
        <v>0</v>
      </c>
      <c r="F1649" t="str">
        <f>"001350"</f>
        <v>0</v>
      </c>
      <c r="G1649" t="s">
        <v>18359</v>
      </c>
    </row>
    <row r="1650" spans="1:7">
      <c r="A1650">
        <v>1649</v>
      </c>
      <c r="B1650" t="str">
        <f>"022127"</f>
        <v>0</v>
      </c>
      <c r="C1650" t="s">
        <v>403</v>
      </c>
      <c r="D1650" t="s">
        <v>20429</v>
      </c>
      <c r="E1650" t="str">
        <f>"3401001024304"</f>
        <v>0</v>
      </c>
      <c r="F1650" t="str">
        <f>"001350"</f>
        <v>0</v>
      </c>
      <c r="G1650" t="s">
        <v>18359</v>
      </c>
    </row>
    <row r="1651" spans="1:7">
      <c r="A1651">
        <v>1650</v>
      </c>
      <c r="B1651" t="str">
        <f>"023998"</f>
        <v>0</v>
      </c>
      <c r="C1651" t="s">
        <v>8078</v>
      </c>
      <c r="D1651" t="s">
        <v>20430</v>
      </c>
      <c r="E1651" t="str">
        <f>"2580700003535"</f>
        <v>0</v>
      </c>
      <c r="F1651" t="str">
        <f>"001360"</f>
        <v>0</v>
      </c>
      <c r="G1651" t="s">
        <v>18359</v>
      </c>
    </row>
    <row r="1652" spans="1:7">
      <c r="A1652">
        <v>1651</v>
      </c>
      <c r="B1652" t="str">
        <f>"024619"</f>
        <v>0</v>
      </c>
      <c r="C1652" t="s">
        <v>3171</v>
      </c>
      <c r="D1652" t="s">
        <v>5668</v>
      </c>
      <c r="E1652" t="str">
        <f>"1580100008953"</f>
        <v>0</v>
      </c>
      <c r="F1652" t="str">
        <f>"001360"</f>
        <v>0</v>
      </c>
      <c r="G1652" t="s">
        <v>18359</v>
      </c>
    </row>
    <row r="1653" spans="1:7">
      <c r="A1653">
        <v>1652</v>
      </c>
      <c r="B1653" t="str">
        <f>"025720"</f>
        <v>0</v>
      </c>
      <c r="C1653" t="s">
        <v>20431</v>
      </c>
      <c r="D1653" t="s">
        <v>20432</v>
      </c>
      <c r="E1653" t="str">
        <f>"1580200038111"</f>
        <v>0</v>
      </c>
      <c r="F1653" t="str">
        <f>"001360"</f>
        <v>0</v>
      </c>
      <c r="G1653" t="s">
        <v>18359</v>
      </c>
    </row>
    <row r="1654" spans="1:7">
      <c r="A1654">
        <v>1653</v>
      </c>
      <c r="B1654" t="str">
        <f>"026050"</f>
        <v>0</v>
      </c>
      <c r="C1654" t="s">
        <v>20433</v>
      </c>
      <c r="D1654" t="s">
        <v>20434</v>
      </c>
      <c r="E1654" t="str">
        <f>"3580100151612"</f>
        <v>0</v>
      </c>
      <c r="F1654" t="str">
        <f>"001360"</f>
        <v>0</v>
      </c>
      <c r="G1654" t="s">
        <v>18359</v>
      </c>
    </row>
    <row r="1655" spans="1:7">
      <c r="A1655">
        <v>1654</v>
      </c>
      <c r="B1655" t="str">
        <f>"026187"</f>
        <v>0</v>
      </c>
      <c r="C1655" t="s">
        <v>167</v>
      </c>
      <c r="D1655" t="s">
        <v>20435</v>
      </c>
      <c r="E1655" t="str">
        <f>"1580400171299"</f>
        <v>0</v>
      </c>
      <c r="F1655" t="str">
        <f>"001360"</f>
        <v>0</v>
      </c>
      <c r="G1655" t="s">
        <v>18359</v>
      </c>
    </row>
    <row r="1656" spans="1:7">
      <c r="A1656">
        <v>1655</v>
      </c>
      <c r="B1656" t="str">
        <f>"026885"</f>
        <v>0</v>
      </c>
      <c r="C1656" t="s">
        <v>20436</v>
      </c>
      <c r="D1656" t="s">
        <v>20437</v>
      </c>
      <c r="E1656" t="str">
        <f>"1509900647355"</f>
        <v>0</v>
      </c>
      <c r="F1656" t="str">
        <f>"001360"</f>
        <v>0</v>
      </c>
      <c r="G1656" t="s">
        <v>18359</v>
      </c>
    </row>
    <row r="1657" spans="1:7">
      <c r="A1657">
        <v>1656</v>
      </c>
      <c r="B1657" t="str">
        <f>"025705"</f>
        <v>0</v>
      </c>
      <c r="C1657" t="s">
        <v>20438</v>
      </c>
      <c r="D1657" t="s">
        <v>20439</v>
      </c>
      <c r="E1657" t="str">
        <f>"1100700785113"</f>
        <v>0</v>
      </c>
      <c r="F1657" t="str">
        <f>"001360"</f>
        <v>0</v>
      </c>
      <c r="G1657" t="s">
        <v>18359</v>
      </c>
    </row>
    <row r="1658" spans="1:7">
      <c r="A1658">
        <v>1657</v>
      </c>
      <c r="B1658" t="str">
        <f>"015292"</f>
        <v>0</v>
      </c>
      <c r="C1658" t="s">
        <v>694</v>
      </c>
      <c r="D1658" t="s">
        <v>20440</v>
      </c>
      <c r="E1658" t="str">
        <f>"3750300165704"</f>
        <v>0</v>
      </c>
      <c r="F1658" t="str">
        <f>"001360"</f>
        <v>0</v>
      </c>
      <c r="G1658" t="s">
        <v>18359</v>
      </c>
    </row>
    <row r="1659" spans="1:7">
      <c r="A1659">
        <v>1658</v>
      </c>
      <c r="B1659" t="str">
        <f>"026324"</f>
        <v>0</v>
      </c>
      <c r="C1659" t="s">
        <v>8989</v>
      </c>
      <c r="D1659" t="s">
        <v>20441</v>
      </c>
      <c r="E1659" t="str">
        <f>"1580500076131"</f>
        <v>0</v>
      </c>
      <c r="F1659" t="str">
        <f>"001360"</f>
        <v>0</v>
      </c>
      <c r="G1659" t="s">
        <v>18359</v>
      </c>
    </row>
    <row r="1660" spans="1:7">
      <c r="A1660">
        <v>1659</v>
      </c>
      <c r="B1660" t="str">
        <f>"001232"</f>
        <v>0</v>
      </c>
      <c r="C1660" t="s">
        <v>4225</v>
      </c>
      <c r="D1660" t="s">
        <v>20442</v>
      </c>
      <c r="E1660" t="str">
        <f>"3490200154118"</f>
        <v>0</v>
      </c>
      <c r="F1660" t="str">
        <f>"001380"</f>
        <v>0</v>
      </c>
      <c r="G1660" t="s">
        <v>18359</v>
      </c>
    </row>
    <row r="1661" spans="1:7">
      <c r="A1661">
        <v>1660</v>
      </c>
      <c r="B1661" t="str">
        <f>"002752"</f>
        <v>0</v>
      </c>
      <c r="C1661" t="s">
        <v>20443</v>
      </c>
      <c r="D1661" t="s">
        <v>4277</v>
      </c>
      <c r="E1661" t="str">
        <f>"3180400484441"</f>
        <v>0</v>
      </c>
      <c r="F1661" t="str">
        <f>"001380"</f>
        <v>0</v>
      </c>
      <c r="G1661" t="s">
        <v>18359</v>
      </c>
    </row>
    <row r="1662" spans="1:7">
      <c r="A1662">
        <v>1661</v>
      </c>
      <c r="B1662" t="str">
        <f>"003879"</f>
        <v>0</v>
      </c>
      <c r="C1662" t="s">
        <v>20444</v>
      </c>
      <c r="D1662" t="s">
        <v>13537</v>
      </c>
      <c r="E1662" t="str">
        <f>"3480300403632"</f>
        <v>0</v>
      </c>
      <c r="F1662" t="str">
        <f>"001380"</f>
        <v>0</v>
      </c>
      <c r="G1662" t="s">
        <v>18359</v>
      </c>
    </row>
    <row r="1663" spans="1:7">
      <c r="A1663">
        <v>1662</v>
      </c>
      <c r="B1663" t="str">
        <f>"005196"</f>
        <v>0</v>
      </c>
      <c r="C1663" t="s">
        <v>20445</v>
      </c>
      <c r="D1663" t="s">
        <v>11630</v>
      </c>
      <c r="E1663" t="str">
        <f>"3470400016240"</f>
        <v>0</v>
      </c>
      <c r="F1663" t="str">
        <f>"001380"</f>
        <v>0</v>
      </c>
      <c r="G1663" t="s">
        <v>18359</v>
      </c>
    </row>
    <row r="1664" spans="1:7">
      <c r="A1664">
        <v>1663</v>
      </c>
      <c r="B1664" t="str">
        <f>"006702"</f>
        <v>0</v>
      </c>
      <c r="C1664" t="s">
        <v>474</v>
      </c>
      <c r="D1664" t="s">
        <v>20446</v>
      </c>
      <c r="E1664" t="str">
        <f>"3340500272907"</f>
        <v>0</v>
      </c>
      <c r="F1664" t="str">
        <f>"001380"</f>
        <v>0</v>
      </c>
      <c r="G1664" t="s">
        <v>18359</v>
      </c>
    </row>
    <row r="1665" spans="1:7">
      <c r="A1665">
        <v>1664</v>
      </c>
      <c r="B1665" t="str">
        <f>"007539"</f>
        <v>0</v>
      </c>
      <c r="C1665" t="s">
        <v>725</v>
      </c>
      <c r="D1665" t="s">
        <v>20447</v>
      </c>
      <c r="E1665" t="str">
        <f>"3490500520250"</f>
        <v>0</v>
      </c>
      <c r="F1665" t="str">
        <f>"001380"</f>
        <v>0</v>
      </c>
      <c r="G1665" t="s">
        <v>18359</v>
      </c>
    </row>
    <row r="1666" spans="1:7">
      <c r="A1666">
        <v>1665</v>
      </c>
      <c r="B1666" t="str">
        <f>"007543"</f>
        <v>0</v>
      </c>
      <c r="C1666" t="s">
        <v>17640</v>
      </c>
      <c r="D1666" t="s">
        <v>11625</v>
      </c>
      <c r="E1666" t="str">
        <f>"3490500174548"</f>
        <v>0</v>
      </c>
      <c r="F1666" t="str">
        <f>"001380"</f>
        <v>0</v>
      </c>
      <c r="G1666" t="s">
        <v>18359</v>
      </c>
    </row>
    <row r="1667" spans="1:7">
      <c r="A1667">
        <v>1666</v>
      </c>
      <c r="B1667" t="str">
        <f>"011427"</f>
        <v>0</v>
      </c>
      <c r="C1667" t="s">
        <v>14127</v>
      </c>
      <c r="D1667" t="s">
        <v>6542</v>
      </c>
      <c r="E1667" t="str">
        <f>"3490400148260"</f>
        <v>0</v>
      </c>
      <c r="F1667" t="str">
        <f>"001380"</f>
        <v>0</v>
      </c>
      <c r="G1667" t="s">
        <v>18359</v>
      </c>
    </row>
    <row r="1668" spans="1:7">
      <c r="A1668">
        <v>1667</v>
      </c>
      <c r="B1668" t="str">
        <f>"016114"</f>
        <v>0</v>
      </c>
      <c r="C1668" t="s">
        <v>20448</v>
      </c>
      <c r="D1668" t="s">
        <v>7945</v>
      </c>
      <c r="E1668" t="str">
        <f>"3570101211481"</f>
        <v>0</v>
      </c>
      <c r="F1668" t="str">
        <f>"001380"</f>
        <v>0</v>
      </c>
      <c r="G1668" t="s">
        <v>18359</v>
      </c>
    </row>
    <row r="1669" spans="1:7">
      <c r="A1669">
        <v>1668</v>
      </c>
      <c r="B1669" t="str">
        <f>"025711"</f>
        <v>0</v>
      </c>
      <c r="C1669" t="s">
        <v>20449</v>
      </c>
      <c r="D1669" t="s">
        <v>20450</v>
      </c>
      <c r="E1669" t="str">
        <f>"1490300010090"</f>
        <v>0</v>
      </c>
      <c r="F1669" t="str">
        <f>"001380"</f>
        <v>0</v>
      </c>
      <c r="G1669" t="s">
        <v>18359</v>
      </c>
    </row>
    <row r="1670" spans="1:7">
      <c r="A1670">
        <v>1669</v>
      </c>
      <c r="B1670" t="str">
        <f>"026777"</f>
        <v>0</v>
      </c>
      <c r="C1670" t="s">
        <v>10666</v>
      </c>
      <c r="D1670" t="s">
        <v>20451</v>
      </c>
      <c r="E1670" t="str">
        <f>"3470800308451"</f>
        <v>0</v>
      </c>
      <c r="F1670" t="str">
        <f>"001380"</f>
        <v>0</v>
      </c>
      <c r="G1670" t="s">
        <v>18359</v>
      </c>
    </row>
    <row r="1671" spans="1:7">
      <c r="A1671">
        <v>1670</v>
      </c>
      <c r="B1671" t="str">
        <f>"026861"</f>
        <v>0</v>
      </c>
      <c r="C1671" t="s">
        <v>20452</v>
      </c>
      <c r="D1671" t="s">
        <v>20453</v>
      </c>
      <c r="E1671" t="str">
        <f>"1490300056138"</f>
        <v>0</v>
      </c>
      <c r="F1671" t="str">
        <f>"001380"</f>
        <v>0</v>
      </c>
      <c r="G1671" t="s">
        <v>18359</v>
      </c>
    </row>
    <row r="1672" spans="1:7">
      <c r="A1672">
        <v>1671</v>
      </c>
      <c r="B1672" t="str">
        <f>"027182"</f>
        <v>0</v>
      </c>
      <c r="C1672" t="s">
        <v>6609</v>
      </c>
      <c r="D1672" t="s">
        <v>6542</v>
      </c>
      <c r="E1672" t="str">
        <f>"1490400053025"</f>
        <v>0</v>
      </c>
      <c r="F1672" t="str">
        <f>"001380"</f>
        <v>0</v>
      </c>
      <c r="G1672" t="s">
        <v>18359</v>
      </c>
    </row>
    <row r="1673" spans="1:7">
      <c r="A1673">
        <v>1672</v>
      </c>
      <c r="B1673" t="str">
        <f>"005083"</f>
        <v>0</v>
      </c>
      <c r="C1673" t="s">
        <v>8765</v>
      </c>
      <c r="D1673" t="s">
        <v>11736</v>
      </c>
      <c r="E1673" t="str">
        <f>"3959900102301"</f>
        <v>0</v>
      </c>
      <c r="F1673" t="str">
        <f>"001390"</f>
        <v>0</v>
      </c>
      <c r="G1673" t="s">
        <v>18359</v>
      </c>
    </row>
    <row r="1674" spans="1:7">
      <c r="A1674">
        <v>1673</v>
      </c>
      <c r="B1674" t="str">
        <f>"007778"</f>
        <v>0</v>
      </c>
      <c r="C1674" t="s">
        <v>1880</v>
      </c>
      <c r="D1674" t="s">
        <v>20454</v>
      </c>
      <c r="E1674" t="str">
        <f>"3950500008104"</f>
        <v>0</v>
      </c>
      <c r="F1674" t="str">
        <f>"001390"</f>
        <v>0</v>
      </c>
      <c r="G1674" t="s">
        <v>18359</v>
      </c>
    </row>
    <row r="1675" spans="1:7">
      <c r="A1675">
        <v>1674</v>
      </c>
      <c r="B1675" t="str">
        <f>"009825"</f>
        <v>0</v>
      </c>
      <c r="C1675" t="s">
        <v>755</v>
      </c>
      <c r="D1675" t="s">
        <v>7217</v>
      </c>
      <c r="E1675" t="str">
        <f>"3440300288931"</f>
        <v>0</v>
      </c>
      <c r="F1675" t="str">
        <f>"001390"</f>
        <v>0</v>
      </c>
      <c r="G1675" t="s">
        <v>18359</v>
      </c>
    </row>
    <row r="1676" spans="1:7">
      <c r="A1676">
        <v>1675</v>
      </c>
      <c r="B1676" t="str">
        <f>"020821"</f>
        <v>0</v>
      </c>
      <c r="C1676" t="s">
        <v>20455</v>
      </c>
      <c r="D1676" t="s">
        <v>20456</v>
      </c>
      <c r="E1676" t="str">
        <f>"3950200167851"</f>
        <v>0</v>
      </c>
      <c r="F1676" t="str">
        <f>"001390"</f>
        <v>0</v>
      </c>
      <c r="G1676" t="s">
        <v>18359</v>
      </c>
    </row>
    <row r="1677" spans="1:7">
      <c r="A1677">
        <v>1676</v>
      </c>
      <c r="B1677" t="str">
        <f>"025056"</f>
        <v>0</v>
      </c>
      <c r="C1677" t="s">
        <v>20457</v>
      </c>
      <c r="D1677" t="s">
        <v>20458</v>
      </c>
      <c r="E1677" t="str">
        <f>"3950500008694"</f>
        <v>0</v>
      </c>
      <c r="F1677" t="str">
        <f>"001390"</f>
        <v>0</v>
      </c>
      <c r="G1677" t="s">
        <v>18359</v>
      </c>
    </row>
    <row r="1678" spans="1:7">
      <c r="A1678">
        <v>1677</v>
      </c>
      <c r="B1678" t="str">
        <f>"017486"</f>
        <v>0</v>
      </c>
      <c r="C1678" t="s">
        <v>4779</v>
      </c>
      <c r="D1678" t="s">
        <v>20459</v>
      </c>
      <c r="E1678" t="str">
        <f>"3801300884956"</f>
        <v>0</v>
      </c>
      <c r="F1678" t="str">
        <f>"001390"</f>
        <v>0</v>
      </c>
      <c r="G1678" t="s">
        <v>18359</v>
      </c>
    </row>
    <row r="1679" spans="1:7">
      <c r="A1679">
        <v>1678</v>
      </c>
      <c r="B1679" t="str">
        <f>"024522"</f>
        <v>0</v>
      </c>
      <c r="C1679" t="s">
        <v>11108</v>
      </c>
      <c r="D1679" t="s">
        <v>20460</v>
      </c>
      <c r="E1679" t="str">
        <f>"1840100017216"</f>
        <v>0</v>
      </c>
      <c r="F1679" t="str">
        <f>"001390"</f>
        <v>0</v>
      </c>
      <c r="G1679" t="s">
        <v>18359</v>
      </c>
    </row>
    <row r="1680" spans="1:7">
      <c r="A1680">
        <v>1679</v>
      </c>
      <c r="B1680" t="str">
        <f>"015042"</f>
        <v>0</v>
      </c>
      <c r="C1680" t="s">
        <v>8384</v>
      </c>
      <c r="D1680" t="s">
        <v>20461</v>
      </c>
      <c r="E1680" t="str">
        <f>"3960200053287"</f>
        <v>0</v>
      </c>
      <c r="F1680" t="str">
        <f>"001390"</f>
        <v>0</v>
      </c>
      <c r="G1680" t="s">
        <v>18359</v>
      </c>
    </row>
    <row r="1681" spans="1:7">
      <c r="A1681">
        <v>1680</v>
      </c>
      <c r="B1681" t="str">
        <f>"019304"</f>
        <v>0</v>
      </c>
      <c r="C1681" t="s">
        <v>20462</v>
      </c>
      <c r="D1681" t="s">
        <v>20463</v>
      </c>
      <c r="E1681" t="str">
        <f>"3940200459089"</f>
        <v>0</v>
      </c>
      <c r="F1681" t="str">
        <f>"001390"</f>
        <v>0</v>
      </c>
      <c r="G1681" t="s">
        <v>18359</v>
      </c>
    </row>
    <row r="1682" spans="1:7">
      <c r="A1682">
        <v>1681</v>
      </c>
      <c r="B1682" t="str">
        <f>"021067"</f>
        <v>0</v>
      </c>
      <c r="C1682" t="s">
        <v>20464</v>
      </c>
      <c r="D1682" t="s">
        <v>20465</v>
      </c>
      <c r="E1682" t="str">
        <f>"3959900263118"</f>
        <v>0</v>
      </c>
      <c r="F1682" t="str">
        <f>"001390"</f>
        <v>0</v>
      </c>
      <c r="G1682" t="s">
        <v>18359</v>
      </c>
    </row>
    <row r="1683" spans="1:7">
      <c r="A1683">
        <v>1682</v>
      </c>
      <c r="B1683" t="str">
        <f>"022565"</f>
        <v>0</v>
      </c>
      <c r="C1683" t="s">
        <v>20466</v>
      </c>
      <c r="D1683" t="s">
        <v>20467</v>
      </c>
      <c r="E1683" t="str">
        <f>"1959900025300"</f>
        <v>0</v>
      </c>
      <c r="F1683" t="str">
        <f>"001390"</f>
        <v>0</v>
      </c>
      <c r="G1683" t="s">
        <v>18359</v>
      </c>
    </row>
    <row r="1684" spans="1:7">
      <c r="A1684">
        <v>1683</v>
      </c>
      <c r="B1684" t="str">
        <f>"022566"</f>
        <v>0</v>
      </c>
      <c r="C1684" t="s">
        <v>20468</v>
      </c>
      <c r="D1684" t="s">
        <v>20469</v>
      </c>
      <c r="E1684" t="str">
        <f>"4950100001895"</f>
        <v>0</v>
      </c>
      <c r="F1684" t="str">
        <f>"001390"</f>
        <v>0</v>
      </c>
      <c r="G1684" t="s">
        <v>18359</v>
      </c>
    </row>
    <row r="1685" spans="1:7">
      <c r="A1685">
        <v>1684</v>
      </c>
      <c r="B1685" t="str">
        <f>"023005"</f>
        <v>0</v>
      </c>
      <c r="C1685" t="s">
        <v>20470</v>
      </c>
      <c r="D1685" t="s">
        <v>613</v>
      </c>
      <c r="E1685" t="str">
        <f>"3800700766054"</f>
        <v>0</v>
      </c>
      <c r="F1685" t="str">
        <f>"001390"</f>
        <v>0</v>
      </c>
      <c r="G1685" t="s">
        <v>18359</v>
      </c>
    </row>
    <row r="1686" spans="1:7">
      <c r="A1686">
        <v>1685</v>
      </c>
      <c r="B1686" t="str">
        <f>"023735"</f>
        <v>0</v>
      </c>
      <c r="C1686" t="s">
        <v>20471</v>
      </c>
      <c r="D1686" t="s">
        <v>8373</v>
      </c>
      <c r="E1686" t="str">
        <f>"1941000153941"</f>
        <v>0</v>
      </c>
      <c r="F1686" t="str">
        <f>"001390"</f>
        <v>0</v>
      </c>
      <c r="G1686" t="s">
        <v>18359</v>
      </c>
    </row>
    <row r="1687" spans="1:7">
      <c r="A1687">
        <v>1686</v>
      </c>
      <c r="B1687" t="str">
        <f>"024082"</f>
        <v>0</v>
      </c>
      <c r="C1687" t="s">
        <v>20472</v>
      </c>
      <c r="D1687" t="s">
        <v>20473</v>
      </c>
      <c r="E1687" t="str">
        <f>"3950300183221"</f>
        <v>0</v>
      </c>
      <c r="F1687" t="str">
        <f>"001390"</f>
        <v>0</v>
      </c>
      <c r="G1687" t="s">
        <v>18359</v>
      </c>
    </row>
    <row r="1688" spans="1:7">
      <c r="A1688">
        <v>1687</v>
      </c>
      <c r="B1688" t="str">
        <f>"025025"</f>
        <v>0</v>
      </c>
      <c r="C1688" t="s">
        <v>6677</v>
      </c>
      <c r="D1688" t="s">
        <v>20474</v>
      </c>
      <c r="E1688" t="str">
        <f>"1959900028341"</f>
        <v>0</v>
      </c>
      <c r="F1688" t="str">
        <f>"001390"</f>
        <v>0</v>
      </c>
      <c r="G1688" t="s">
        <v>18359</v>
      </c>
    </row>
    <row r="1689" spans="1:7">
      <c r="A1689">
        <v>1688</v>
      </c>
      <c r="B1689" t="str">
        <f>"025749"</f>
        <v>0</v>
      </c>
      <c r="C1689" t="s">
        <v>1346</v>
      </c>
      <c r="D1689" t="s">
        <v>20475</v>
      </c>
      <c r="E1689" t="str">
        <f>"3659900570145"</f>
        <v>0</v>
      </c>
      <c r="F1689" t="str">
        <f>"001390"</f>
        <v>0</v>
      </c>
      <c r="G1689" t="s">
        <v>18359</v>
      </c>
    </row>
    <row r="1690" spans="1:7">
      <c r="A1690">
        <v>1689</v>
      </c>
      <c r="B1690" t="str">
        <f>"027183"</f>
        <v>0</v>
      </c>
      <c r="C1690" t="s">
        <v>20476</v>
      </c>
      <c r="D1690" t="s">
        <v>7502</v>
      </c>
      <c r="E1690" t="str">
        <f>"1959900348974"</f>
        <v>0</v>
      </c>
      <c r="F1690" t="str">
        <f>"001390"</f>
        <v>0</v>
      </c>
      <c r="G1690" t="s">
        <v>18359</v>
      </c>
    </row>
    <row r="1691" spans="1:7">
      <c r="A1691">
        <v>1690</v>
      </c>
      <c r="B1691" t="str">
        <f>"027387"</f>
        <v>0</v>
      </c>
      <c r="C1691" t="s">
        <v>20477</v>
      </c>
      <c r="D1691" t="s">
        <v>20478</v>
      </c>
      <c r="E1691" t="str">
        <f>"1950600023702"</f>
        <v>0</v>
      </c>
      <c r="F1691" t="str">
        <f>"001390"</f>
        <v>0</v>
      </c>
      <c r="G1691" t="s">
        <v>18359</v>
      </c>
    </row>
    <row r="1692" spans="1:7">
      <c r="A1692">
        <v>1691</v>
      </c>
      <c r="B1692" t="str">
        <f>"021123"</f>
        <v>0</v>
      </c>
      <c r="C1692" t="s">
        <v>5091</v>
      </c>
      <c r="D1692" t="s">
        <v>20479</v>
      </c>
      <c r="E1692" t="str">
        <f>"3969900192261"</f>
        <v>0</v>
      </c>
      <c r="F1692" t="str">
        <f>"001390"</f>
        <v>0</v>
      </c>
      <c r="G1692" t="s">
        <v>18359</v>
      </c>
    </row>
    <row r="1693" spans="1:7">
      <c r="A1693">
        <v>1692</v>
      </c>
      <c r="B1693" t="str">
        <f>"027185"</f>
        <v>0</v>
      </c>
      <c r="C1693" t="s">
        <v>20480</v>
      </c>
      <c r="D1693" t="s">
        <v>20481</v>
      </c>
      <c r="E1693" t="str">
        <f>"1969900137272"</f>
        <v>0</v>
      </c>
      <c r="F1693" t="str">
        <f>"001390"</f>
        <v>0</v>
      </c>
      <c r="G1693" t="s">
        <v>18359</v>
      </c>
    </row>
    <row r="1694" spans="1:7">
      <c r="A1694">
        <v>1693</v>
      </c>
      <c r="B1694" t="str">
        <f>"000567"</f>
        <v>0</v>
      </c>
      <c r="C1694" t="s">
        <v>881</v>
      </c>
      <c r="D1694" t="s">
        <v>8050</v>
      </c>
      <c r="E1694" t="str">
        <f>"3350400600601"</f>
        <v>0</v>
      </c>
      <c r="F1694" t="str">
        <f>"001420"</f>
        <v>0</v>
      </c>
      <c r="G1694" t="s">
        <v>18359</v>
      </c>
    </row>
    <row r="1695" spans="1:7">
      <c r="A1695">
        <v>1694</v>
      </c>
      <c r="B1695" t="str">
        <f>"003195"</f>
        <v>0</v>
      </c>
      <c r="C1695" t="s">
        <v>20482</v>
      </c>
      <c r="D1695" t="s">
        <v>11047</v>
      </c>
      <c r="E1695" t="str">
        <f>"3359900074825"</f>
        <v>0</v>
      </c>
      <c r="F1695" t="str">
        <f>"001420"</f>
        <v>0</v>
      </c>
      <c r="G1695" t="s">
        <v>18359</v>
      </c>
    </row>
    <row r="1696" spans="1:7">
      <c r="A1696">
        <v>1695</v>
      </c>
      <c r="B1696" t="str">
        <f>"017056"</f>
        <v>0</v>
      </c>
      <c r="C1696" t="s">
        <v>20483</v>
      </c>
      <c r="D1696" t="s">
        <v>20484</v>
      </c>
      <c r="E1696" t="str">
        <f>"3350700071077"</f>
        <v>0</v>
      </c>
      <c r="F1696" t="str">
        <f>"001420"</f>
        <v>0</v>
      </c>
      <c r="G1696" t="s">
        <v>18359</v>
      </c>
    </row>
    <row r="1697" spans="1:7">
      <c r="A1697">
        <v>1696</v>
      </c>
      <c r="B1697" t="str">
        <f>"018734"</f>
        <v>0</v>
      </c>
      <c r="C1697" t="s">
        <v>314</v>
      </c>
      <c r="D1697" t="s">
        <v>11919</v>
      </c>
      <c r="E1697" t="str">
        <f>"3359900131209"</f>
        <v>0</v>
      </c>
      <c r="F1697" t="str">
        <f>"001420"</f>
        <v>0</v>
      </c>
      <c r="G1697" t="s">
        <v>18359</v>
      </c>
    </row>
    <row r="1698" spans="1:7">
      <c r="A1698">
        <v>1697</v>
      </c>
      <c r="B1698" t="str">
        <f>"022570"</f>
        <v>0</v>
      </c>
      <c r="C1698" t="s">
        <v>20485</v>
      </c>
      <c r="D1698" t="s">
        <v>20486</v>
      </c>
      <c r="E1698" t="str">
        <f>"3350100311425"</f>
        <v>0</v>
      </c>
      <c r="F1698" t="str">
        <f>"001420"</f>
        <v>0</v>
      </c>
      <c r="G1698" t="s">
        <v>18359</v>
      </c>
    </row>
    <row r="1699" spans="1:7">
      <c r="A1699">
        <v>1698</v>
      </c>
      <c r="B1699" t="str">
        <f>"000854"</f>
        <v>0</v>
      </c>
      <c r="C1699" t="s">
        <v>10156</v>
      </c>
      <c r="D1699" t="s">
        <v>20487</v>
      </c>
      <c r="E1699" t="str">
        <f>"3850100068895"</f>
        <v>0</v>
      </c>
      <c r="F1699" t="str">
        <f>"001440"</f>
        <v>0</v>
      </c>
      <c r="G1699" t="s">
        <v>18359</v>
      </c>
    </row>
    <row r="1700" spans="1:7">
      <c r="A1700">
        <v>1699</v>
      </c>
      <c r="B1700" t="str">
        <f>"006249"</f>
        <v>0</v>
      </c>
      <c r="C1700" t="s">
        <v>11534</v>
      </c>
      <c r="D1700" t="s">
        <v>20488</v>
      </c>
      <c r="E1700" t="str">
        <f>"3850400062922"</f>
        <v>0</v>
      </c>
      <c r="F1700" t="str">
        <f>"001440"</f>
        <v>0</v>
      </c>
      <c r="G1700" t="s">
        <v>18359</v>
      </c>
    </row>
    <row r="1701" spans="1:7">
      <c r="A1701">
        <v>1700</v>
      </c>
      <c r="B1701" t="str">
        <f>"008304"</f>
        <v>0</v>
      </c>
      <c r="C1701" t="s">
        <v>4779</v>
      </c>
      <c r="D1701" t="s">
        <v>20489</v>
      </c>
      <c r="E1701" t="str">
        <f>"3859900076033"</f>
        <v>0</v>
      </c>
      <c r="F1701" t="str">
        <f>"001440"</f>
        <v>0</v>
      </c>
      <c r="G1701" t="s">
        <v>18359</v>
      </c>
    </row>
    <row r="1702" spans="1:7">
      <c r="A1702">
        <v>1701</v>
      </c>
      <c r="B1702" t="str">
        <f>"008886"</f>
        <v>0</v>
      </c>
      <c r="C1702" t="s">
        <v>20490</v>
      </c>
      <c r="D1702" t="s">
        <v>20491</v>
      </c>
      <c r="E1702" t="str">
        <f>"3850200019675"</f>
        <v>0</v>
      </c>
      <c r="F1702" t="str">
        <f>"001440"</f>
        <v>0</v>
      </c>
      <c r="G1702" t="s">
        <v>18359</v>
      </c>
    </row>
    <row r="1703" spans="1:7">
      <c r="A1703">
        <v>1702</v>
      </c>
      <c r="B1703" t="str">
        <f>"014658"</f>
        <v>0</v>
      </c>
      <c r="C1703" t="s">
        <v>20492</v>
      </c>
      <c r="D1703" t="s">
        <v>6199</v>
      </c>
      <c r="E1703" t="str">
        <f>"3860400276761"</f>
        <v>0</v>
      </c>
      <c r="F1703" t="str">
        <f>"001440"</f>
        <v>0</v>
      </c>
      <c r="G1703" t="s">
        <v>18359</v>
      </c>
    </row>
    <row r="1704" spans="1:7">
      <c r="A1704">
        <v>1703</v>
      </c>
      <c r="B1704" t="str">
        <f>"016389"</f>
        <v>0</v>
      </c>
      <c r="C1704" t="s">
        <v>11653</v>
      </c>
      <c r="D1704" t="s">
        <v>20493</v>
      </c>
      <c r="E1704" t="str">
        <f>"3850400218647"</f>
        <v>0</v>
      </c>
      <c r="F1704" t="str">
        <f>"001440"</f>
        <v>0</v>
      </c>
      <c r="G1704" t="s">
        <v>18359</v>
      </c>
    </row>
    <row r="1705" spans="1:7">
      <c r="A1705">
        <v>1704</v>
      </c>
      <c r="B1705" t="str">
        <f>"020621"</f>
        <v>0</v>
      </c>
      <c r="C1705" t="s">
        <v>130</v>
      </c>
      <c r="D1705" t="s">
        <v>20494</v>
      </c>
      <c r="E1705" t="str">
        <f>"3850100063443"</f>
        <v>0</v>
      </c>
      <c r="F1705" t="str">
        <f>"001440"</f>
        <v>0</v>
      </c>
      <c r="G1705" t="s">
        <v>18359</v>
      </c>
    </row>
    <row r="1706" spans="1:7">
      <c r="A1706">
        <v>1705</v>
      </c>
      <c r="B1706" t="str">
        <f>"024093"</f>
        <v>0</v>
      </c>
      <c r="C1706" t="s">
        <v>2060</v>
      </c>
      <c r="D1706" t="s">
        <v>7790</v>
      </c>
      <c r="E1706" t="str">
        <f>"3760600333050"</f>
        <v>0</v>
      </c>
      <c r="F1706" t="str">
        <f>"001440"</f>
        <v>0</v>
      </c>
      <c r="G1706" t="s">
        <v>18359</v>
      </c>
    </row>
    <row r="1707" spans="1:7">
      <c r="A1707">
        <v>1706</v>
      </c>
      <c r="B1707" t="str">
        <f>"026193"</f>
        <v>0</v>
      </c>
      <c r="C1707" t="s">
        <v>20495</v>
      </c>
      <c r="D1707" t="s">
        <v>20496</v>
      </c>
      <c r="E1707" t="str">
        <f>"1779900107740"</f>
        <v>0</v>
      </c>
      <c r="F1707" t="str">
        <f>"001440"</f>
        <v>0</v>
      </c>
      <c r="G1707" t="s">
        <v>18359</v>
      </c>
    </row>
    <row r="1708" spans="1:7">
      <c r="A1708">
        <v>1707</v>
      </c>
      <c r="B1708" t="str">
        <f>"016348"</f>
        <v>0</v>
      </c>
      <c r="C1708" t="s">
        <v>488</v>
      </c>
      <c r="D1708" t="s">
        <v>20497</v>
      </c>
      <c r="E1708" t="str">
        <f>"3800400900111"</f>
        <v>0</v>
      </c>
      <c r="F1708" t="str">
        <f>"001440"</f>
        <v>0</v>
      </c>
      <c r="G1708" t="s">
        <v>18359</v>
      </c>
    </row>
    <row r="1709" spans="1:7">
      <c r="A1709">
        <v>1708</v>
      </c>
      <c r="B1709" t="str">
        <f>"020001"</f>
        <v>0</v>
      </c>
      <c r="C1709" t="s">
        <v>20498</v>
      </c>
      <c r="D1709" t="s">
        <v>6199</v>
      </c>
      <c r="E1709" t="str">
        <f>"3920200389404"</f>
        <v>0</v>
      </c>
      <c r="F1709" t="str">
        <f>"001440"</f>
        <v>0</v>
      </c>
      <c r="G1709" t="s">
        <v>18359</v>
      </c>
    </row>
    <row r="1710" spans="1:7">
      <c r="A1710">
        <v>1709</v>
      </c>
      <c r="B1710" t="str">
        <f>"021020"</f>
        <v>0</v>
      </c>
      <c r="C1710" t="s">
        <v>20499</v>
      </c>
      <c r="D1710" t="s">
        <v>20500</v>
      </c>
      <c r="E1710" t="str">
        <f>"3220100209915"</f>
        <v>0</v>
      </c>
      <c r="F1710" t="str">
        <f>"001440"</f>
        <v>0</v>
      </c>
      <c r="G1710" t="s">
        <v>18359</v>
      </c>
    </row>
    <row r="1711" spans="1:7">
      <c r="A1711">
        <v>1710</v>
      </c>
      <c r="B1711" t="str">
        <f>"021490"</f>
        <v>0</v>
      </c>
      <c r="C1711" t="s">
        <v>11727</v>
      </c>
      <c r="D1711" t="s">
        <v>20501</v>
      </c>
      <c r="E1711" t="str">
        <f>"3770600441821"</f>
        <v>0</v>
      </c>
      <c r="F1711" t="str">
        <f>"001440"</f>
        <v>0</v>
      </c>
      <c r="G1711" t="s">
        <v>18359</v>
      </c>
    </row>
    <row r="1712" spans="1:7">
      <c r="A1712">
        <v>1711</v>
      </c>
      <c r="B1712" t="str">
        <f>"023599"</f>
        <v>0</v>
      </c>
      <c r="C1712" t="s">
        <v>20502</v>
      </c>
      <c r="D1712" t="s">
        <v>20503</v>
      </c>
      <c r="E1712" t="str">
        <f>"5850100016441"</f>
        <v>0</v>
      </c>
      <c r="F1712" t="str">
        <f>"001440"</f>
        <v>0</v>
      </c>
      <c r="G1712" t="s">
        <v>18359</v>
      </c>
    </row>
    <row r="1713" spans="1:7">
      <c r="A1713">
        <v>1712</v>
      </c>
      <c r="B1713" t="str">
        <f>"025639"</f>
        <v>0</v>
      </c>
      <c r="C1713" t="s">
        <v>20504</v>
      </c>
      <c r="D1713" t="s">
        <v>20505</v>
      </c>
      <c r="E1713" t="str">
        <f>"3840600187931"</f>
        <v>0</v>
      </c>
      <c r="F1713" t="str">
        <f>"001440"</f>
        <v>0</v>
      </c>
      <c r="G1713" t="s">
        <v>18359</v>
      </c>
    </row>
    <row r="1714" spans="1:7">
      <c r="A1714">
        <v>1713</v>
      </c>
      <c r="B1714" t="str">
        <f>"023013"</f>
        <v>0</v>
      </c>
      <c r="C1714" t="s">
        <v>20506</v>
      </c>
      <c r="D1714" t="s">
        <v>20507</v>
      </c>
      <c r="E1714" t="str">
        <f>"3860100302642"</f>
        <v>0</v>
      </c>
      <c r="F1714" t="str">
        <f>"001440"</f>
        <v>0</v>
      </c>
      <c r="G1714" t="s">
        <v>18359</v>
      </c>
    </row>
    <row r="1715" spans="1:7">
      <c r="A1715">
        <v>1714</v>
      </c>
      <c r="B1715" t="str">
        <f>"027188"</f>
        <v>0</v>
      </c>
      <c r="C1715" t="s">
        <v>20508</v>
      </c>
      <c r="D1715" t="s">
        <v>20509</v>
      </c>
      <c r="E1715" t="str">
        <f>"1901200031385"</f>
        <v>0</v>
      </c>
      <c r="F1715" t="str">
        <f>"001440"</f>
        <v>0</v>
      </c>
      <c r="G1715" t="s">
        <v>18359</v>
      </c>
    </row>
    <row r="1716" spans="1:7">
      <c r="A1716">
        <v>1715</v>
      </c>
      <c r="B1716" t="str">
        <f>"027189"</f>
        <v>0</v>
      </c>
      <c r="C1716" t="s">
        <v>20510</v>
      </c>
      <c r="D1716" t="s">
        <v>20511</v>
      </c>
      <c r="E1716" t="str">
        <f>"1909900243315"</f>
        <v>0</v>
      </c>
      <c r="F1716" t="str">
        <f>"001440"</f>
        <v>0</v>
      </c>
      <c r="G1716" t="s">
        <v>18359</v>
      </c>
    </row>
    <row r="1717" spans="1:7">
      <c r="A1717">
        <v>1716</v>
      </c>
      <c r="B1717" t="str">
        <f>"007840"</f>
        <v>0</v>
      </c>
      <c r="C1717" t="s">
        <v>4264</v>
      </c>
      <c r="D1717" t="s">
        <v>20512</v>
      </c>
      <c r="E1717" t="str">
        <f>"3200900596361"</f>
        <v>0</v>
      </c>
      <c r="F1717" t="str">
        <f>"001450"</f>
        <v>0</v>
      </c>
      <c r="G1717" t="s">
        <v>18359</v>
      </c>
    </row>
    <row r="1718" spans="1:7">
      <c r="A1718">
        <v>1717</v>
      </c>
      <c r="B1718" t="str">
        <f>"008305"</f>
        <v>0</v>
      </c>
      <c r="C1718" t="s">
        <v>20513</v>
      </c>
      <c r="D1718" t="s">
        <v>7277</v>
      </c>
      <c r="E1718" t="str">
        <f>"3101600788304"</f>
        <v>0</v>
      </c>
      <c r="F1718" t="str">
        <f>"001450"</f>
        <v>0</v>
      </c>
      <c r="G1718" t="s">
        <v>18359</v>
      </c>
    </row>
    <row r="1719" spans="1:7">
      <c r="A1719">
        <v>1718</v>
      </c>
      <c r="B1719" t="str">
        <f>"009197"</f>
        <v>0</v>
      </c>
      <c r="C1719" t="s">
        <v>20514</v>
      </c>
      <c r="D1719" t="s">
        <v>20515</v>
      </c>
      <c r="E1719" t="str">
        <f>"5411600019231"</f>
        <v>0</v>
      </c>
      <c r="F1719" t="str">
        <f>"001450"</f>
        <v>0</v>
      </c>
      <c r="G1719" t="s">
        <v>18359</v>
      </c>
    </row>
    <row r="1720" spans="1:7">
      <c r="A1720">
        <v>1719</v>
      </c>
      <c r="B1720" t="str">
        <f>"011063"</f>
        <v>0</v>
      </c>
      <c r="C1720" t="s">
        <v>6748</v>
      </c>
      <c r="D1720" t="s">
        <v>11701</v>
      </c>
      <c r="E1720" t="str">
        <f>"3210200021519"</f>
        <v>0</v>
      </c>
      <c r="F1720" t="str">
        <f>"001450"</f>
        <v>0</v>
      </c>
      <c r="G1720" t="s">
        <v>18359</v>
      </c>
    </row>
    <row r="1721" spans="1:7">
      <c r="A1721">
        <v>1720</v>
      </c>
      <c r="B1721" t="str">
        <f>"013592"</f>
        <v>0</v>
      </c>
      <c r="C1721" t="s">
        <v>9278</v>
      </c>
      <c r="D1721" t="s">
        <v>1644</v>
      </c>
      <c r="E1721" t="str">
        <f>"3210300709385"</f>
        <v>0</v>
      </c>
      <c r="F1721" t="str">
        <f>"001450"</f>
        <v>0</v>
      </c>
      <c r="G1721" t="s">
        <v>18359</v>
      </c>
    </row>
    <row r="1722" spans="1:7">
      <c r="A1722">
        <v>1721</v>
      </c>
      <c r="B1722" t="str">
        <f>"025145"</f>
        <v>0</v>
      </c>
      <c r="C1722" t="s">
        <v>20516</v>
      </c>
      <c r="D1722" t="s">
        <v>20517</v>
      </c>
      <c r="E1722" t="str">
        <f>"1349900422649"</f>
        <v>0</v>
      </c>
      <c r="F1722" t="str">
        <f>"001450"</f>
        <v>0</v>
      </c>
      <c r="G1722" t="s">
        <v>18359</v>
      </c>
    </row>
    <row r="1723" spans="1:7">
      <c r="A1723">
        <v>1722</v>
      </c>
      <c r="B1723" t="str">
        <f>"026772"</f>
        <v>0</v>
      </c>
      <c r="C1723" t="s">
        <v>5080</v>
      </c>
      <c r="D1723" t="s">
        <v>10189</v>
      </c>
      <c r="E1723" t="str">
        <f>"1119900255728"</f>
        <v>0</v>
      </c>
      <c r="F1723" t="str">
        <f>"001450"</f>
        <v>0</v>
      </c>
      <c r="G1723" t="s">
        <v>18359</v>
      </c>
    </row>
    <row r="1724" spans="1:7">
      <c r="A1724">
        <v>1723</v>
      </c>
      <c r="B1724" t="str">
        <f>"026774"</f>
        <v>0</v>
      </c>
      <c r="C1724" t="s">
        <v>12312</v>
      </c>
      <c r="D1724" t="s">
        <v>20518</v>
      </c>
      <c r="E1724" t="str">
        <f>"1809900144938"</f>
        <v>0</v>
      </c>
      <c r="F1724" t="str">
        <f>"001450"</f>
        <v>0</v>
      </c>
      <c r="G1724" t="s">
        <v>18359</v>
      </c>
    </row>
    <row r="1725" spans="1:7">
      <c r="A1725">
        <v>1724</v>
      </c>
      <c r="B1725" t="str">
        <f>"024381"</f>
        <v>0</v>
      </c>
      <c r="C1725" t="s">
        <v>20519</v>
      </c>
      <c r="D1725" t="s">
        <v>20520</v>
      </c>
      <c r="E1725" t="str">
        <f>"1300400092536"</f>
        <v>0</v>
      </c>
      <c r="F1725" t="str">
        <f>"001450"</f>
        <v>0</v>
      </c>
      <c r="G1725" t="s">
        <v>18359</v>
      </c>
    </row>
    <row r="1726" spans="1:7">
      <c r="A1726">
        <v>1725</v>
      </c>
      <c r="B1726" t="str">
        <f>"011059"</f>
        <v>0</v>
      </c>
      <c r="C1726" t="s">
        <v>20521</v>
      </c>
      <c r="D1726" t="s">
        <v>20522</v>
      </c>
      <c r="E1726" t="str">
        <f>"3210300085985"</f>
        <v>0</v>
      </c>
      <c r="F1726" t="str">
        <f>"001450"</f>
        <v>0</v>
      </c>
      <c r="G1726" t="s">
        <v>18359</v>
      </c>
    </row>
    <row r="1727" spans="1:7">
      <c r="A1727">
        <v>1726</v>
      </c>
      <c r="B1727" t="str">
        <f>"016189"</f>
        <v>0</v>
      </c>
      <c r="C1727" t="s">
        <v>20523</v>
      </c>
      <c r="D1727" t="s">
        <v>20524</v>
      </c>
      <c r="E1727" t="str">
        <f>"3210190002592"</f>
        <v>0</v>
      </c>
      <c r="F1727" t="str">
        <f>"001450"</f>
        <v>0</v>
      </c>
      <c r="G1727" t="s">
        <v>18359</v>
      </c>
    </row>
    <row r="1728" spans="1:7">
      <c r="A1728">
        <v>1727</v>
      </c>
      <c r="B1728" t="str">
        <f>"019532"</f>
        <v>0</v>
      </c>
      <c r="C1728" t="s">
        <v>20525</v>
      </c>
      <c r="D1728" t="s">
        <v>20526</v>
      </c>
      <c r="E1728" t="str">
        <f>"3210500422462"</f>
        <v>0</v>
      </c>
      <c r="F1728" t="str">
        <f>"001450"</f>
        <v>0</v>
      </c>
      <c r="G1728" t="s">
        <v>18359</v>
      </c>
    </row>
    <row r="1729" spans="1:7">
      <c r="A1729">
        <v>1728</v>
      </c>
      <c r="B1729" t="str">
        <f>"020384"</f>
        <v>0</v>
      </c>
      <c r="C1729" t="s">
        <v>17752</v>
      </c>
      <c r="D1729" t="s">
        <v>20527</v>
      </c>
      <c r="E1729" t="str">
        <f>"3210500738141"</f>
        <v>0</v>
      </c>
      <c r="F1729" t="str">
        <f>"001450"</f>
        <v>0</v>
      </c>
      <c r="G1729" t="s">
        <v>18359</v>
      </c>
    </row>
    <row r="1730" spans="1:7">
      <c r="A1730">
        <v>1729</v>
      </c>
      <c r="B1730" t="str">
        <f>"020897"</f>
        <v>0</v>
      </c>
      <c r="C1730" t="s">
        <v>554</v>
      </c>
      <c r="D1730" t="s">
        <v>20528</v>
      </c>
      <c r="E1730" t="str">
        <f>"3210100385667"</f>
        <v>0</v>
      </c>
      <c r="F1730" t="str">
        <f>"001450"</f>
        <v>0</v>
      </c>
      <c r="G1730" t="s">
        <v>18359</v>
      </c>
    </row>
    <row r="1731" spans="1:7">
      <c r="A1731">
        <v>1730</v>
      </c>
      <c r="B1731" t="str">
        <f>"023316"</f>
        <v>0</v>
      </c>
      <c r="C1731" t="s">
        <v>6047</v>
      </c>
      <c r="D1731" t="s">
        <v>6407</v>
      </c>
      <c r="E1731" t="str">
        <f>"1219800006725"</f>
        <v>0</v>
      </c>
      <c r="F1731" t="str">
        <f>"001450"</f>
        <v>0</v>
      </c>
      <c r="G1731" t="s">
        <v>18359</v>
      </c>
    </row>
    <row r="1732" spans="1:7">
      <c r="A1732">
        <v>1731</v>
      </c>
      <c r="B1732" t="str">
        <f>"024289"</f>
        <v>0</v>
      </c>
      <c r="C1732" t="s">
        <v>828</v>
      </c>
      <c r="D1732" t="s">
        <v>20529</v>
      </c>
      <c r="E1732" t="str">
        <f>"5411700023311"</f>
        <v>0</v>
      </c>
      <c r="F1732" t="str">
        <f>"001450"</f>
        <v>0</v>
      </c>
      <c r="G1732" t="s">
        <v>18359</v>
      </c>
    </row>
    <row r="1733" spans="1:7">
      <c r="A1733">
        <v>1732</v>
      </c>
      <c r="B1733" t="str">
        <f>"024973"</f>
        <v>0</v>
      </c>
      <c r="C1733" t="s">
        <v>20530</v>
      </c>
      <c r="D1733" t="s">
        <v>20531</v>
      </c>
      <c r="E1733" t="str">
        <f>"1650600056522"</f>
        <v>0</v>
      </c>
      <c r="F1733" t="str">
        <f>"001450"</f>
        <v>0</v>
      </c>
      <c r="G1733" t="s">
        <v>18359</v>
      </c>
    </row>
    <row r="1734" spans="1:7">
      <c r="A1734">
        <v>1733</v>
      </c>
      <c r="B1734" t="str">
        <f>"013801"</f>
        <v>0</v>
      </c>
      <c r="C1734" t="s">
        <v>1357</v>
      </c>
      <c r="D1734" t="s">
        <v>20532</v>
      </c>
      <c r="E1734" t="str">
        <f>"3400500023736"</f>
        <v>0</v>
      </c>
      <c r="F1734" t="str">
        <f>"001450"</f>
        <v>0</v>
      </c>
      <c r="G1734" t="s">
        <v>18359</v>
      </c>
    </row>
    <row r="1735" spans="1:7">
      <c r="A1735">
        <v>1734</v>
      </c>
      <c r="B1735" t="str">
        <f>"017340"</f>
        <v>0</v>
      </c>
      <c r="C1735" t="s">
        <v>46</v>
      </c>
      <c r="D1735" t="s">
        <v>20533</v>
      </c>
      <c r="E1735" t="str">
        <f>"3210100201931"</f>
        <v>0</v>
      </c>
      <c r="F1735" t="str">
        <f>"001450"</f>
        <v>0</v>
      </c>
      <c r="G1735" t="s">
        <v>18359</v>
      </c>
    </row>
    <row r="1736" spans="1:7">
      <c r="A1736">
        <v>1735</v>
      </c>
      <c r="B1736" t="str">
        <f>"019525"</f>
        <v>0</v>
      </c>
      <c r="C1736" t="s">
        <v>474</v>
      </c>
      <c r="D1736" t="s">
        <v>20534</v>
      </c>
      <c r="E1736" t="str">
        <f>"3840600100470"</f>
        <v>0</v>
      </c>
      <c r="F1736" t="str">
        <f>"001450"</f>
        <v>0</v>
      </c>
      <c r="G1736" t="s">
        <v>18359</v>
      </c>
    </row>
    <row r="1737" spans="1:7">
      <c r="A1737">
        <v>1736</v>
      </c>
      <c r="B1737" t="str">
        <f>"021004"</f>
        <v>0</v>
      </c>
      <c r="C1737" t="s">
        <v>20535</v>
      </c>
      <c r="D1737" t="s">
        <v>20536</v>
      </c>
      <c r="E1737" t="str">
        <f>"3210200303913"</f>
        <v>0</v>
      </c>
      <c r="F1737" t="str">
        <f>"001450"</f>
        <v>0</v>
      </c>
      <c r="G1737" t="s">
        <v>18359</v>
      </c>
    </row>
    <row r="1738" spans="1:7">
      <c r="A1738">
        <v>1737</v>
      </c>
      <c r="B1738" t="str">
        <f>"022238"</f>
        <v>0</v>
      </c>
      <c r="C1738" t="s">
        <v>20537</v>
      </c>
      <c r="D1738" t="s">
        <v>20538</v>
      </c>
      <c r="E1738" t="str">
        <f>"3220100155335"</f>
        <v>0</v>
      </c>
      <c r="F1738" t="str">
        <f>"001450"</f>
        <v>0</v>
      </c>
      <c r="G1738" t="s">
        <v>18359</v>
      </c>
    </row>
    <row r="1739" spans="1:7">
      <c r="A1739">
        <v>1738</v>
      </c>
      <c r="B1739" t="str">
        <f>"025287"</f>
        <v>0</v>
      </c>
      <c r="C1739" t="s">
        <v>20539</v>
      </c>
      <c r="D1739" t="s">
        <v>20540</v>
      </c>
      <c r="E1739" t="str">
        <f>"3250800095939"</f>
        <v>0</v>
      </c>
      <c r="F1739" t="str">
        <f>"001450"</f>
        <v>0</v>
      </c>
      <c r="G1739" t="s">
        <v>18359</v>
      </c>
    </row>
    <row r="1740" spans="1:7">
      <c r="A1740">
        <v>1739</v>
      </c>
      <c r="B1740" t="str">
        <f>"027561"</f>
        <v>0</v>
      </c>
      <c r="C1740" t="s">
        <v>20541</v>
      </c>
      <c r="D1740" t="s">
        <v>20542</v>
      </c>
      <c r="E1740" t="str">
        <f>"5230100036553"</f>
        <v>0</v>
      </c>
      <c r="F1740" t="str">
        <f>"001450"</f>
        <v>0</v>
      </c>
      <c r="G1740" t="s">
        <v>18359</v>
      </c>
    </row>
    <row r="1741" spans="1:7">
      <c r="A1741">
        <v>1740</v>
      </c>
      <c r="B1741" t="str">
        <f>"001004"</f>
        <v>0</v>
      </c>
      <c r="C1741" t="s">
        <v>878</v>
      </c>
      <c r="D1741" t="s">
        <v>20543</v>
      </c>
      <c r="E1741" t="str">
        <f>"5451190008626"</f>
        <v>0</v>
      </c>
      <c r="F1741" t="str">
        <f>"001480"</f>
        <v>0</v>
      </c>
      <c r="G1741" t="s">
        <v>18359</v>
      </c>
    </row>
    <row r="1742" spans="1:7">
      <c r="A1742">
        <v>1741</v>
      </c>
      <c r="B1742" t="str">
        <f>"002597"</f>
        <v>0</v>
      </c>
      <c r="C1742" t="s">
        <v>837</v>
      </c>
      <c r="D1742" t="s">
        <v>20544</v>
      </c>
      <c r="E1742" t="str">
        <f>"3450100961020"</f>
        <v>0</v>
      </c>
      <c r="F1742" t="str">
        <f>"001480"</f>
        <v>0</v>
      </c>
      <c r="G1742" t="s">
        <v>18359</v>
      </c>
    </row>
    <row r="1743" spans="1:7">
      <c r="A1743">
        <v>1742</v>
      </c>
      <c r="B1743" t="str">
        <f>"002823"</f>
        <v>0</v>
      </c>
      <c r="C1743" t="s">
        <v>4049</v>
      </c>
      <c r="D1743" t="s">
        <v>20545</v>
      </c>
      <c r="E1743" t="str">
        <f>"3459900169957"</f>
        <v>0</v>
      </c>
      <c r="F1743" t="str">
        <f>"001480"</f>
        <v>0</v>
      </c>
      <c r="G1743" t="s">
        <v>18359</v>
      </c>
    </row>
    <row r="1744" spans="1:7">
      <c r="A1744">
        <v>1743</v>
      </c>
      <c r="B1744" t="str">
        <f>"003054"</f>
        <v>0</v>
      </c>
      <c r="C1744" t="s">
        <v>20546</v>
      </c>
      <c r="D1744" t="s">
        <v>20547</v>
      </c>
      <c r="E1744" t="str">
        <f>"3451400643938"</f>
        <v>0</v>
      </c>
      <c r="F1744" t="str">
        <f>"001480"</f>
        <v>0</v>
      </c>
      <c r="G1744" t="s">
        <v>18359</v>
      </c>
    </row>
    <row r="1745" spans="1:7">
      <c r="A1745">
        <v>1744</v>
      </c>
      <c r="B1745" t="str">
        <f>"003450"</f>
        <v>0</v>
      </c>
      <c r="C1745" t="s">
        <v>4579</v>
      </c>
      <c r="D1745" t="s">
        <v>20548</v>
      </c>
      <c r="E1745" t="str">
        <f>"3459900319029"</f>
        <v>0</v>
      </c>
      <c r="F1745" t="str">
        <f>"001480"</f>
        <v>0</v>
      </c>
      <c r="G1745" t="s">
        <v>18359</v>
      </c>
    </row>
    <row r="1746" spans="1:7">
      <c r="A1746">
        <v>1745</v>
      </c>
      <c r="B1746" t="str">
        <f>"003776"</f>
        <v>0</v>
      </c>
      <c r="C1746" t="s">
        <v>20549</v>
      </c>
      <c r="D1746" t="s">
        <v>20550</v>
      </c>
      <c r="E1746" t="str">
        <f>"3459900009674"</f>
        <v>0</v>
      </c>
      <c r="F1746" t="str">
        <f>"001480"</f>
        <v>0</v>
      </c>
      <c r="G1746" t="s">
        <v>18359</v>
      </c>
    </row>
    <row r="1747" spans="1:7">
      <c r="A1747">
        <v>1746</v>
      </c>
      <c r="B1747" t="str">
        <f>"003778"</f>
        <v>0</v>
      </c>
      <c r="C1747" t="s">
        <v>4399</v>
      </c>
      <c r="D1747" t="s">
        <v>20551</v>
      </c>
      <c r="E1747" t="str">
        <f>"3450700481487"</f>
        <v>0</v>
      </c>
      <c r="F1747" t="str">
        <f>"001480"</f>
        <v>0</v>
      </c>
      <c r="G1747" t="s">
        <v>18359</v>
      </c>
    </row>
    <row r="1748" spans="1:7">
      <c r="A1748">
        <v>1747</v>
      </c>
      <c r="B1748" t="str">
        <f>"003820"</f>
        <v>0</v>
      </c>
      <c r="C1748" t="s">
        <v>20552</v>
      </c>
      <c r="D1748" t="s">
        <v>20553</v>
      </c>
      <c r="E1748" t="str">
        <f>"3459900225296"</f>
        <v>0</v>
      </c>
      <c r="F1748" t="str">
        <f>"001480"</f>
        <v>0</v>
      </c>
      <c r="G1748" t="s">
        <v>18359</v>
      </c>
    </row>
    <row r="1749" spans="1:7">
      <c r="A1749">
        <v>1748</v>
      </c>
      <c r="B1749" t="str">
        <f>"004448"</f>
        <v>0</v>
      </c>
      <c r="C1749" t="s">
        <v>470</v>
      </c>
      <c r="D1749" t="s">
        <v>20554</v>
      </c>
      <c r="E1749" t="str">
        <f>"3200700286309"</f>
        <v>0</v>
      </c>
      <c r="F1749" t="str">
        <f>"001480"</f>
        <v>0</v>
      </c>
      <c r="G1749" t="s">
        <v>18359</v>
      </c>
    </row>
    <row r="1750" spans="1:7">
      <c r="A1750">
        <v>1749</v>
      </c>
      <c r="B1750" t="str">
        <f>"004660"</f>
        <v>0</v>
      </c>
      <c r="C1750" t="s">
        <v>2746</v>
      </c>
      <c r="D1750" t="s">
        <v>13984</v>
      </c>
      <c r="E1750" t="str">
        <f>"3450700334999"</f>
        <v>0</v>
      </c>
      <c r="F1750" t="str">
        <f>"001480"</f>
        <v>0</v>
      </c>
      <c r="G1750" t="s">
        <v>18359</v>
      </c>
    </row>
    <row r="1751" spans="1:7">
      <c r="A1751">
        <v>1750</v>
      </c>
      <c r="B1751" t="str">
        <f>"004985"</f>
        <v>0</v>
      </c>
      <c r="C1751" t="s">
        <v>837</v>
      </c>
      <c r="D1751" t="s">
        <v>14409</v>
      </c>
      <c r="E1751" t="str">
        <f>"3710600708983"</f>
        <v>0</v>
      </c>
      <c r="F1751" t="str">
        <f>"001480"</f>
        <v>0</v>
      </c>
      <c r="G1751" t="s">
        <v>18359</v>
      </c>
    </row>
    <row r="1752" spans="1:7">
      <c r="A1752">
        <v>1751</v>
      </c>
      <c r="B1752" t="str">
        <f>"005016"</f>
        <v>0</v>
      </c>
      <c r="C1752" t="s">
        <v>20555</v>
      </c>
      <c r="D1752" t="s">
        <v>20556</v>
      </c>
      <c r="E1752" t="str">
        <f>"3450100959696"</f>
        <v>0</v>
      </c>
      <c r="F1752" t="str">
        <f>"001480"</f>
        <v>0</v>
      </c>
      <c r="G1752" t="s">
        <v>18359</v>
      </c>
    </row>
    <row r="1753" spans="1:7">
      <c r="A1753">
        <v>1752</v>
      </c>
      <c r="B1753" t="str">
        <f>"005451"</f>
        <v>0</v>
      </c>
      <c r="C1753" t="s">
        <v>20557</v>
      </c>
      <c r="D1753" t="s">
        <v>17708</v>
      </c>
      <c r="E1753" t="str">
        <f>"3320101671239"</f>
        <v>0</v>
      </c>
      <c r="F1753" t="str">
        <f>"001480"</f>
        <v>0</v>
      </c>
      <c r="G1753" t="s">
        <v>18359</v>
      </c>
    </row>
    <row r="1754" spans="1:7">
      <c r="A1754">
        <v>1753</v>
      </c>
      <c r="B1754" t="str">
        <f>"005456"</f>
        <v>0</v>
      </c>
      <c r="C1754" t="s">
        <v>13933</v>
      </c>
      <c r="D1754" t="s">
        <v>20558</v>
      </c>
      <c r="E1754" t="str">
        <f>"3450500331775"</f>
        <v>0</v>
      </c>
      <c r="F1754" t="str">
        <f>"001480"</f>
        <v>0</v>
      </c>
      <c r="G1754" t="s">
        <v>18359</v>
      </c>
    </row>
    <row r="1755" spans="1:7">
      <c r="A1755">
        <v>1754</v>
      </c>
      <c r="B1755" t="str">
        <f>"005533"</f>
        <v>0</v>
      </c>
      <c r="C1755" t="s">
        <v>4607</v>
      </c>
      <c r="D1755" t="s">
        <v>20559</v>
      </c>
      <c r="E1755" t="str">
        <f>"3450300010223"</f>
        <v>0</v>
      </c>
      <c r="F1755" t="str">
        <f>"001480"</f>
        <v>0</v>
      </c>
      <c r="G1755" t="s">
        <v>18359</v>
      </c>
    </row>
    <row r="1756" spans="1:7">
      <c r="A1756">
        <v>1755</v>
      </c>
      <c r="B1756" t="str">
        <f>"005689"</f>
        <v>0</v>
      </c>
      <c r="C1756" t="s">
        <v>17415</v>
      </c>
      <c r="D1756" t="s">
        <v>13867</v>
      </c>
      <c r="E1756" t="str">
        <f>"3100501653710"</f>
        <v>0</v>
      </c>
      <c r="F1756" t="str">
        <f>"001480"</f>
        <v>0</v>
      </c>
      <c r="G1756" t="s">
        <v>18359</v>
      </c>
    </row>
    <row r="1757" spans="1:7">
      <c r="A1757">
        <v>1756</v>
      </c>
      <c r="B1757" t="str">
        <f>"005798"</f>
        <v>0</v>
      </c>
      <c r="C1757" t="s">
        <v>2071</v>
      </c>
      <c r="D1757" t="s">
        <v>15733</v>
      </c>
      <c r="E1757" t="str">
        <f>"3320300283026"</f>
        <v>0</v>
      </c>
      <c r="F1757" t="str">
        <f>"001480"</f>
        <v>0</v>
      </c>
      <c r="G1757" t="s">
        <v>18359</v>
      </c>
    </row>
    <row r="1758" spans="1:7">
      <c r="A1758">
        <v>1757</v>
      </c>
      <c r="B1758" t="str">
        <f>"005799"</f>
        <v>0</v>
      </c>
      <c r="C1758" t="s">
        <v>2634</v>
      </c>
      <c r="D1758" t="s">
        <v>20560</v>
      </c>
      <c r="E1758" t="str">
        <f>"3450200016238"</f>
        <v>0</v>
      </c>
      <c r="F1758" t="str">
        <f>"001480"</f>
        <v>0</v>
      </c>
      <c r="G1758" t="s">
        <v>18359</v>
      </c>
    </row>
    <row r="1759" spans="1:7">
      <c r="A1759">
        <v>1758</v>
      </c>
      <c r="B1759" t="str">
        <f>"007271"</f>
        <v>0</v>
      </c>
      <c r="C1759" t="s">
        <v>6192</v>
      </c>
      <c r="D1759" t="s">
        <v>573</v>
      </c>
      <c r="E1759" t="str">
        <f>"3100503517201"</f>
        <v>0</v>
      </c>
      <c r="F1759" t="str">
        <f>"001480"</f>
        <v>0</v>
      </c>
      <c r="G1759" t="s">
        <v>18359</v>
      </c>
    </row>
    <row r="1760" spans="1:7">
      <c r="A1760">
        <v>1759</v>
      </c>
      <c r="B1760" t="str">
        <f>"007774"</f>
        <v>0</v>
      </c>
      <c r="C1760" t="s">
        <v>20561</v>
      </c>
      <c r="D1760" t="s">
        <v>12244</v>
      </c>
      <c r="E1760" t="str">
        <f>"3451500095274"</f>
        <v>0</v>
      </c>
      <c r="F1760" t="str">
        <f>"001480"</f>
        <v>0</v>
      </c>
      <c r="G1760" t="s">
        <v>18359</v>
      </c>
    </row>
    <row r="1761" spans="1:7">
      <c r="A1761">
        <v>1760</v>
      </c>
      <c r="B1761" t="str">
        <f>"007836"</f>
        <v>0</v>
      </c>
      <c r="C1761" t="s">
        <v>20562</v>
      </c>
      <c r="D1761" t="s">
        <v>20563</v>
      </c>
      <c r="E1761" t="str">
        <f>"3340100144448"</f>
        <v>0</v>
      </c>
      <c r="F1761" t="str">
        <f>"001480"</f>
        <v>0</v>
      </c>
      <c r="G1761" t="s">
        <v>18359</v>
      </c>
    </row>
    <row r="1762" spans="1:7">
      <c r="A1762">
        <v>1761</v>
      </c>
      <c r="B1762" t="str">
        <f>"008018"</f>
        <v>0</v>
      </c>
      <c r="C1762" t="s">
        <v>20564</v>
      </c>
      <c r="D1762" t="s">
        <v>20565</v>
      </c>
      <c r="E1762" t="str">
        <f>"3451100371070"</f>
        <v>0</v>
      </c>
      <c r="F1762" t="str">
        <f>"001480"</f>
        <v>0</v>
      </c>
      <c r="G1762" t="s">
        <v>18359</v>
      </c>
    </row>
    <row r="1763" spans="1:7">
      <c r="A1763">
        <v>1762</v>
      </c>
      <c r="B1763" t="str">
        <f>"008309"</f>
        <v>0</v>
      </c>
      <c r="C1763" t="s">
        <v>19629</v>
      </c>
      <c r="D1763" t="s">
        <v>20566</v>
      </c>
      <c r="E1763" t="str">
        <f>"3451000423469"</f>
        <v>0</v>
      </c>
      <c r="F1763" t="str">
        <f>"001480"</f>
        <v>0</v>
      </c>
      <c r="G1763" t="s">
        <v>18359</v>
      </c>
    </row>
    <row r="1764" spans="1:7">
      <c r="A1764">
        <v>1763</v>
      </c>
      <c r="B1764" t="str">
        <f>"008503"</f>
        <v>0</v>
      </c>
      <c r="C1764" t="s">
        <v>352</v>
      </c>
      <c r="D1764" t="s">
        <v>20567</v>
      </c>
      <c r="E1764" t="str">
        <f>"3450101364025"</f>
        <v>0</v>
      </c>
      <c r="F1764" t="str">
        <f>"001480"</f>
        <v>0</v>
      </c>
      <c r="G1764" t="s">
        <v>18359</v>
      </c>
    </row>
    <row r="1765" spans="1:7">
      <c r="A1765">
        <v>1764</v>
      </c>
      <c r="B1765" t="str">
        <f>"009264"</f>
        <v>0</v>
      </c>
      <c r="C1765" t="s">
        <v>488</v>
      </c>
      <c r="D1765" t="s">
        <v>3386</v>
      </c>
      <c r="E1765" t="str">
        <f>"3450600103804"</f>
        <v>0</v>
      </c>
      <c r="F1765" t="str">
        <f>"001480"</f>
        <v>0</v>
      </c>
      <c r="G1765" t="s">
        <v>18359</v>
      </c>
    </row>
    <row r="1766" spans="1:7">
      <c r="A1766">
        <v>1765</v>
      </c>
      <c r="B1766" t="str">
        <f>"009494"</f>
        <v>0</v>
      </c>
      <c r="C1766" t="s">
        <v>144</v>
      </c>
      <c r="D1766" t="s">
        <v>12274</v>
      </c>
      <c r="E1766" t="str">
        <f>"3459900154402"</f>
        <v>0</v>
      </c>
      <c r="F1766" t="str">
        <f>"001480"</f>
        <v>0</v>
      </c>
      <c r="G1766" t="s">
        <v>18359</v>
      </c>
    </row>
    <row r="1767" spans="1:7">
      <c r="A1767">
        <v>1766</v>
      </c>
      <c r="B1767" t="str">
        <f>"009525"</f>
        <v>0</v>
      </c>
      <c r="C1767" t="s">
        <v>403</v>
      </c>
      <c r="D1767" t="s">
        <v>20568</v>
      </c>
      <c r="E1767" t="str">
        <f>"3460300800747"</f>
        <v>0</v>
      </c>
      <c r="F1767" t="str">
        <f>"001480"</f>
        <v>0</v>
      </c>
      <c r="G1767" t="s">
        <v>18359</v>
      </c>
    </row>
    <row r="1768" spans="1:7">
      <c r="A1768">
        <v>1767</v>
      </c>
      <c r="B1768" t="str">
        <f>"009856"</f>
        <v>0</v>
      </c>
      <c r="C1768" t="s">
        <v>20569</v>
      </c>
      <c r="D1768" t="s">
        <v>20570</v>
      </c>
      <c r="E1768" t="str">
        <f>"3451400643903"</f>
        <v>0</v>
      </c>
      <c r="F1768" t="str">
        <f>"001480"</f>
        <v>0</v>
      </c>
      <c r="G1768" t="s">
        <v>18359</v>
      </c>
    </row>
    <row r="1769" spans="1:7">
      <c r="A1769">
        <v>1768</v>
      </c>
      <c r="B1769" t="str">
        <f>"009857"</f>
        <v>0</v>
      </c>
      <c r="C1769" t="s">
        <v>2837</v>
      </c>
      <c r="D1769" t="s">
        <v>20571</v>
      </c>
      <c r="E1769" t="str">
        <f>"3451100762087"</f>
        <v>0</v>
      </c>
      <c r="F1769" t="str">
        <f>"001480"</f>
        <v>0</v>
      </c>
      <c r="G1769" t="s">
        <v>18359</v>
      </c>
    </row>
    <row r="1770" spans="1:7">
      <c r="A1770">
        <v>1769</v>
      </c>
      <c r="B1770" t="str">
        <f>"010572"</f>
        <v>0</v>
      </c>
      <c r="C1770" t="s">
        <v>1978</v>
      </c>
      <c r="D1770" t="s">
        <v>20572</v>
      </c>
      <c r="E1770" t="str">
        <f>"3440200018451"</f>
        <v>0</v>
      </c>
      <c r="F1770" t="str">
        <f>"001480"</f>
        <v>0</v>
      </c>
      <c r="G1770" t="s">
        <v>18359</v>
      </c>
    </row>
    <row r="1771" spans="1:7">
      <c r="A1771">
        <v>1770</v>
      </c>
      <c r="B1771" t="str">
        <f>"010915"</f>
        <v>0</v>
      </c>
      <c r="C1771" t="s">
        <v>20573</v>
      </c>
      <c r="D1771" t="s">
        <v>20574</v>
      </c>
      <c r="E1771" t="str">
        <f>"3450101166941"</f>
        <v>0</v>
      </c>
      <c r="F1771" t="str">
        <f>"001480"</f>
        <v>0</v>
      </c>
      <c r="G1771" t="s">
        <v>18359</v>
      </c>
    </row>
    <row r="1772" spans="1:7">
      <c r="A1772">
        <v>1771</v>
      </c>
      <c r="B1772" t="str">
        <f>"011058"</f>
        <v>0</v>
      </c>
      <c r="C1772" t="s">
        <v>11294</v>
      </c>
      <c r="D1772" t="s">
        <v>20575</v>
      </c>
      <c r="E1772" t="str">
        <f>"3450500934470"</f>
        <v>0</v>
      </c>
      <c r="F1772" t="str">
        <f>"001480"</f>
        <v>0</v>
      </c>
      <c r="G1772" t="s">
        <v>18359</v>
      </c>
    </row>
    <row r="1773" spans="1:7">
      <c r="A1773">
        <v>1772</v>
      </c>
      <c r="B1773" t="str">
        <f>"011281"</f>
        <v>0</v>
      </c>
      <c r="C1773" t="s">
        <v>570</v>
      </c>
      <c r="D1773" t="s">
        <v>20576</v>
      </c>
      <c r="E1773" t="str">
        <f>"4319900001168"</f>
        <v>0</v>
      </c>
      <c r="F1773" t="str">
        <f>"001480"</f>
        <v>0</v>
      </c>
      <c r="G1773" t="s">
        <v>18359</v>
      </c>
    </row>
    <row r="1774" spans="1:7">
      <c r="A1774">
        <v>1773</v>
      </c>
      <c r="B1774" t="str">
        <f>"012289"</f>
        <v>0</v>
      </c>
      <c r="C1774" t="s">
        <v>20577</v>
      </c>
      <c r="D1774" t="s">
        <v>20578</v>
      </c>
      <c r="E1774" t="str">
        <f>"4320700001158"</f>
        <v>0</v>
      </c>
      <c r="F1774" t="str">
        <f>"001480"</f>
        <v>0</v>
      </c>
      <c r="G1774" t="s">
        <v>18359</v>
      </c>
    </row>
    <row r="1775" spans="1:7">
      <c r="A1775">
        <v>1774</v>
      </c>
      <c r="B1775" t="str">
        <f>"012809"</f>
        <v>0</v>
      </c>
      <c r="C1775" t="s">
        <v>1356</v>
      </c>
      <c r="D1775" t="s">
        <v>20579</v>
      </c>
      <c r="E1775" t="str">
        <f>"3451000534457"</f>
        <v>0</v>
      </c>
      <c r="F1775" t="str">
        <f>"001480"</f>
        <v>0</v>
      </c>
      <c r="G1775" t="s">
        <v>18359</v>
      </c>
    </row>
    <row r="1776" spans="1:7">
      <c r="A1776">
        <v>1775</v>
      </c>
      <c r="B1776" t="str">
        <f>"013277"</f>
        <v>0</v>
      </c>
      <c r="C1776" t="s">
        <v>16905</v>
      </c>
      <c r="D1776" t="s">
        <v>20580</v>
      </c>
      <c r="E1776" t="str">
        <f>"3401600022881"</f>
        <v>0</v>
      </c>
      <c r="F1776" t="str">
        <f>"001480"</f>
        <v>0</v>
      </c>
      <c r="G1776" t="s">
        <v>18359</v>
      </c>
    </row>
    <row r="1777" spans="1:7">
      <c r="A1777">
        <v>1776</v>
      </c>
      <c r="B1777" t="str">
        <f>"016432"</f>
        <v>0</v>
      </c>
      <c r="C1777" t="s">
        <v>20581</v>
      </c>
      <c r="D1777" t="s">
        <v>20582</v>
      </c>
      <c r="E1777" t="str">
        <f>"3450400076056"</f>
        <v>0</v>
      </c>
      <c r="F1777" t="str">
        <f>"001480"</f>
        <v>0</v>
      </c>
      <c r="G1777" t="s">
        <v>18359</v>
      </c>
    </row>
    <row r="1778" spans="1:7">
      <c r="A1778">
        <v>1777</v>
      </c>
      <c r="B1778" t="str">
        <f>"018125"</f>
        <v>0</v>
      </c>
      <c r="C1778" t="s">
        <v>20583</v>
      </c>
      <c r="D1778" t="s">
        <v>11663</v>
      </c>
      <c r="E1778" t="str">
        <f>"3469900070004"</f>
        <v>0</v>
      </c>
      <c r="F1778" t="str">
        <f>"001480"</f>
        <v>0</v>
      </c>
      <c r="G1778" t="s">
        <v>18359</v>
      </c>
    </row>
    <row r="1779" spans="1:7">
      <c r="A1779">
        <v>1778</v>
      </c>
      <c r="B1779" t="str">
        <f>"019264"</f>
        <v>0</v>
      </c>
      <c r="C1779" t="s">
        <v>3572</v>
      </c>
      <c r="D1779" t="s">
        <v>20584</v>
      </c>
      <c r="E1779" t="str">
        <f>"3450700259016"</f>
        <v>0</v>
      </c>
      <c r="F1779" t="str">
        <f>"001480"</f>
        <v>0</v>
      </c>
      <c r="G1779" t="s">
        <v>18359</v>
      </c>
    </row>
    <row r="1780" spans="1:7">
      <c r="A1780">
        <v>1779</v>
      </c>
      <c r="B1780" t="str">
        <f>"019805"</f>
        <v>0</v>
      </c>
      <c r="C1780" t="s">
        <v>1498</v>
      </c>
      <c r="D1780" t="s">
        <v>20585</v>
      </c>
      <c r="E1780" t="str">
        <f>"3310101707993"</f>
        <v>0</v>
      </c>
      <c r="F1780" t="str">
        <f>"001480"</f>
        <v>0</v>
      </c>
      <c r="G1780" t="s">
        <v>18359</v>
      </c>
    </row>
    <row r="1781" spans="1:7">
      <c r="A1781">
        <v>1780</v>
      </c>
      <c r="B1781" t="str">
        <f>"020799"</f>
        <v>0</v>
      </c>
      <c r="C1781" t="s">
        <v>16761</v>
      </c>
      <c r="D1781" t="s">
        <v>20586</v>
      </c>
      <c r="E1781" t="str">
        <f>"3470200001800"</f>
        <v>0</v>
      </c>
      <c r="F1781" t="str">
        <f>"001480"</f>
        <v>0</v>
      </c>
      <c r="G1781" t="s">
        <v>18359</v>
      </c>
    </row>
    <row r="1782" spans="1:7">
      <c r="A1782">
        <v>1781</v>
      </c>
      <c r="B1782" t="str">
        <f>"027273"</f>
        <v>0</v>
      </c>
      <c r="C1782" t="s">
        <v>2193</v>
      </c>
      <c r="D1782" t="s">
        <v>20587</v>
      </c>
      <c r="E1782" t="str">
        <f>"5459900001271"</f>
        <v>0</v>
      </c>
      <c r="F1782" t="str">
        <f>"001480"</f>
        <v>0</v>
      </c>
      <c r="G1782" t="s">
        <v>18359</v>
      </c>
    </row>
    <row r="1783" spans="1:7">
      <c r="A1783">
        <v>1782</v>
      </c>
      <c r="B1783" t="str">
        <f>"007283"</f>
        <v>0</v>
      </c>
      <c r="C1783" t="s">
        <v>1634</v>
      </c>
      <c r="D1783" t="s">
        <v>20588</v>
      </c>
      <c r="E1783" t="str">
        <f>"3451400189714"</f>
        <v>0</v>
      </c>
      <c r="F1783" t="str">
        <f>"001480"</f>
        <v>0</v>
      </c>
      <c r="G1783" t="s">
        <v>18359</v>
      </c>
    </row>
    <row r="1784" spans="1:7">
      <c r="A1784">
        <v>1783</v>
      </c>
      <c r="B1784" t="str">
        <f>"007781"</f>
        <v>0</v>
      </c>
      <c r="C1784" t="s">
        <v>20589</v>
      </c>
      <c r="D1784" t="s">
        <v>20590</v>
      </c>
      <c r="E1784" t="str">
        <f>"3450600306942"</f>
        <v>0</v>
      </c>
      <c r="F1784" t="str">
        <f>"001480"</f>
        <v>0</v>
      </c>
      <c r="G1784" t="s">
        <v>18359</v>
      </c>
    </row>
    <row r="1785" spans="1:7">
      <c r="A1785">
        <v>1784</v>
      </c>
      <c r="B1785" t="str">
        <f>"012280"</f>
        <v>0</v>
      </c>
      <c r="C1785" t="s">
        <v>44</v>
      </c>
      <c r="D1785" t="s">
        <v>20591</v>
      </c>
      <c r="E1785" t="str">
        <f>"3450500576727"</f>
        <v>0</v>
      </c>
      <c r="F1785" t="str">
        <f>"001480"</f>
        <v>0</v>
      </c>
      <c r="G1785" t="s">
        <v>18359</v>
      </c>
    </row>
    <row r="1786" spans="1:7">
      <c r="A1786">
        <v>1785</v>
      </c>
      <c r="B1786" t="str">
        <f>"016563"</f>
        <v>0</v>
      </c>
      <c r="C1786" t="s">
        <v>15547</v>
      </c>
      <c r="D1786" t="s">
        <v>6766</v>
      </c>
      <c r="E1786" t="str">
        <f>"3450700066587"</f>
        <v>0</v>
      </c>
      <c r="F1786" t="str">
        <f>"001480"</f>
        <v>0</v>
      </c>
      <c r="G1786" t="s">
        <v>18359</v>
      </c>
    </row>
    <row r="1787" spans="1:7">
      <c r="A1787">
        <v>1786</v>
      </c>
      <c r="B1787" t="str">
        <f>"017700"</f>
        <v>0</v>
      </c>
      <c r="C1787" t="s">
        <v>20592</v>
      </c>
      <c r="D1787" t="s">
        <v>20593</v>
      </c>
      <c r="E1787" t="str">
        <f>"3450300305894"</f>
        <v>0</v>
      </c>
      <c r="F1787" t="str">
        <f>"001480"</f>
        <v>0</v>
      </c>
      <c r="G1787" t="s">
        <v>18359</v>
      </c>
    </row>
    <row r="1788" spans="1:7">
      <c r="A1788">
        <v>1787</v>
      </c>
      <c r="B1788" t="str">
        <f>"025945"</f>
        <v>0</v>
      </c>
      <c r="C1788" t="s">
        <v>20594</v>
      </c>
      <c r="D1788" t="s">
        <v>20595</v>
      </c>
      <c r="E1788" t="str">
        <f>"1330900165893"</f>
        <v>0</v>
      </c>
      <c r="F1788" t="str">
        <f>"001480"</f>
        <v>0</v>
      </c>
      <c r="G1788" t="s">
        <v>18359</v>
      </c>
    </row>
    <row r="1789" spans="1:7">
      <c r="A1789">
        <v>1788</v>
      </c>
      <c r="B1789" t="str">
        <f>"024525"</f>
        <v>0</v>
      </c>
      <c r="C1789" t="s">
        <v>20596</v>
      </c>
      <c r="D1789" t="s">
        <v>20597</v>
      </c>
      <c r="E1789" t="str">
        <f>"1230100001277"</f>
        <v>0</v>
      </c>
      <c r="F1789" t="str">
        <f>"001480"</f>
        <v>0</v>
      </c>
      <c r="G1789" t="s">
        <v>18359</v>
      </c>
    </row>
    <row r="1790" spans="1:7">
      <c r="A1790">
        <v>1789</v>
      </c>
      <c r="B1790" t="str">
        <f>"025312"</f>
        <v>0</v>
      </c>
      <c r="C1790" t="s">
        <v>13845</v>
      </c>
      <c r="D1790" t="s">
        <v>20598</v>
      </c>
      <c r="E1790" t="str">
        <f>"1350100142210"</f>
        <v>0</v>
      </c>
      <c r="F1790" t="str">
        <f>"001480"</f>
        <v>0</v>
      </c>
      <c r="G1790" t="s">
        <v>18359</v>
      </c>
    </row>
    <row r="1791" spans="1:7">
      <c r="A1791">
        <v>1790</v>
      </c>
      <c r="B1791" t="str">
        <f>"027390"</f>
        <v>0</v>
      </c>
      <c r="C1791" t="s">
        <v>20599</v>
      </c>
      <c r="D1791" t="s">
        <v>20600</v>
      </c>
      <c r="E1791" t="str">
        <f>"3440900088690"</f>
        <v>0</v>
      </c>
      <c r="F1791" t="str">
        <f>"001480"</f>
        <v>0</v>
      </c>
      <c r="G1791" t="s">
        <v>18359</v>
      </c>
    </row>
    <row r="1792" spans="1:7">
      <c r="A1792">
        <v>1791</v>
      </c>
      <c r="B1792" t="str">
        <f>"018947"</f>
        <v>0</v>
      </c>
      <c r="C1792" t="s">
        <v>17760</v>
      </c>
      <c r="D1792" t="s">
        <v>20601</v>
      </c>
      <c r="E1792" t="str">
        <f>"3450101290978"</f>
        <v>0</v>
      </c>
      <c r="F1792" t="str">
        <f>"001480"</f>
        <v>0</v>
      </c>
      <c r="G1792" t="s">
        <v>18359</v>
      </c>
    </row>
    <row r="1793" spans="1:7">
      <c r="A1793">
        <v>1792</v>
      </c>
      <c r="B1793" t="str">
        <f>"020633"</f>
        <v>0</v>
      </c>
      <c r="C1793" t="s">
        <v>1200</v>
      </c>
      <c r="D1793" t="s">
        <v>20602</v>
      </c>
      <c r="E1793" t="str">
        <f>"5451100076376"</f>
        <v>0</v>
      </c>
      <c r="F1793" t="str">
        <f>"001480"</f>
        <v>0</v>
      </c>
      <c r="G1793" t="s">
        <v>18359</v>
      </c>
    </row>
    <row r="1794" spans="1:7">
      <c r="A1794">
        <v>1793</v>
      </c>
      <c r="B1794" t="str">
        <f>"022064"</f>
        <v>0</v>
      </c>
      <c r="C1794" t="s">
        <v>20603</v>
      </c>
      <c r="D1794" t="s">
        <v>2074</v>
      </c>
      <c r="E1794" t="str">
        <f>"3450101576634"</f>
        <v>0</v>
      </c>
      <c r="F1794" t="str">
        <f>"001480"</f>
        <v>0</v>
      </c>
      <c r="G1794" t="s">
        <v>18359</v>
      </c>
    </row>
    <row r="1795" spans="1:7">
      <c r="A1795">
        <v>1794</v>
      </c>
      <c r="B1795" t="str">
        <f>"023054"</f>
        <v>0</v>
      </c>
      <c r="C1795" t="s">
        <v>20604</v>
      </c>
      <c r="D1795" t="s">
        <v>18925</v>
      </c>
      <c r="E1795" t="str">
        <f>"3451001128061"</f>
        <v>0</v>
      </c>
      <c r="F1795" t="str">
        <f>"001480"</f>
        <v>0</v>
      </c>
      <c r="G1795" t="s">
        <v>18359</v>
      </c>
    </row>
    <row r="1796" spans="1:7">
      <c r="A1796">
        <v>1795</v>
      </c>
      <c r="B1796" t="str">
        <f>"023951"</f>
        <v>0</v>
      </c>
      <c r="C1796" t="s">
        <v>1196</v>
      </c>
      <c r="D1796" t="s">
        <v>20605</v>
      </c>
      <c r="E1796" t="str">
        <f>"1459900037167"</f>
        <v>0</v>
      </c>
      <c r="F1796" t="str">
        <f>"001480"</f>
        <v>0</v>
      </c>
      <c r="G1796" t="s">
        <v>18359</v>
      </c>
    </row>
    <row r="1797" spans="1:7">
      <c r="A1797">
        <v>1796</v>
      </c>
      <c r="B1797" t="str">
        <f>"024111"</f>
        <v>0</v>
      </c>
      <c r="C1797" t="s">
        <v>20606</v>
      </c>
      <c r="D1797" t="s">
        <v>20607</v>
      </c>
      <c r="E1797" t="str">
        <f>"1451100028026"</f>
        <v>0</v>
      </c>
      <c r="F1797" t="str">
        <f>"001480"</f>
        <v>0</v>
      </c>
      <c r="G1797" t="s">
        <v>18359</v>
      </c>
    </row>
    <row r="1798" spans="1:7">
      <c r="A1798">
        <v>1797</v>
      </c>
      <c r="B1798" t="str">
        <f>"024181"</f>
        <v>0</v>
      </c>
      <c r="C1798" t="s">
        <v>3364</v>
      </c>
      <c r="D1798" t="s">
        <v>20608</v>
      </c>
      <c r="E1798" t="str">
        <f>"3451001109415"</f>
        <v>0</v>
      </c>
      <c r="F1798" t="str">
        <f>"001480"</f>
        <v>0</v>
      </c>
      <c r="G1798" t="s">
        <v>18359</v>
      </c>
    </row>
    <row r="1799" spans="1:7">
      <c r="A1799">
        <v>1798</v>
      </c>
      <c r="B1799" t="str">
        <f>"024655"</f>
        <v>0</v>
      </c>
      <c r="C1799" t="s">
        <v>20609</v>
      </c>
      <c r="D1799" t="s">
        <v>12510</v>
      </c>
      <c r="E1799" t="str">
        <f>"3450101176725"</f>
        <v>0</v>
      </c>
      <c r="F1799" t="str">
        <f>"001480"</f>
        <v>0</v>
      </c>
      <c r="G1799" t="s">
        <v>18359</v>
      </c>
    </row>
    <row r="1800" spans="1:7">
      <c r="A1800">
        <v>1799</v>
      </c>
      <c r="B1800" t="str">
        <f>"024783"</f>
        <v>0</v>
      </c>
      <c r="C1800" t="s">
        <v>20610</v>
      </c>
      <c r="D1800" t="s">
        <v>20611</v>
      </c>
      <c r="E1800" t="str">
        <f>"3451001073526"</f>
        <v>0</v>
      </c>
      <c r="F1800" t="str">
        <f>"001480"</f>
        <v>0</v>
      </c>
      <c r="G1800" t="s">
        <v>18359</v>
      </c>
    </row>
    <row r="1801" spans="1:7">
      <c r="A1801">
        <v>1800</v>
      </c>
      <c r="B1801" t="str">
        <f>"024848"</f>
        <v>0</v>
      </c>
      <c r="C1801" t="s">
        <v>20612</v>
      </c>
      <c r="D1801" t="s">
        <v>20613</v>
      </c>
      <c r="E1801" t="str">
        <f>"3411100586530"</f>
        <v>0</v>
      </c>
      <c r="F1801" t="str">
        <f>"001480"</f>
        <v>0</v>
      </c>
      <c r="G1801" t="s">
        <v>18359</v>
      </c>
    </row>
    <row r="1802" spans="1:7">
      <c r="A1802">
        <v>1801</v>
      </c>
      <c r="B1802" t="str">
        <f>"025049"</f>
        <v>0</v>
      </c>
      <c r="C1802" t="s">
        <v>7765</v>
      </c>
      <c r="D1802" t="s">
        <v>20614</v>
      </c>
      <c r="E1802" t="str">
        <f>"3450700662040"</f>
        <v>0</v>
      </c>
      <c r="F1802" t="str">
        <f>"001480"</f>
        <v>0</v>
      </c>
      <c r="G1802" t="s">
        <v>18359</v>
      </c>
    </row>
    <row r="1803" spans="1:7">
      <c r="A1803">
        <v>1802</v>
      </c>
      <c r="B1803" t="str">
        <f>"025317"</f>
        <v>0</v>
      </c>
      <c r="C1803" t="s">
        <v>20615</v>
      </c>
      <c r="D1803" t="s">
        <v>20616</v>
      </c>
      <c r="E1803" t="str">
        <f>"4410100006611"</f>
        <v>0</v>
      </c>
      <c r="F1803" t="str">
        <f>"001480"</f>
        <v>0</v>
      </c>
      <c r="G1803" t="s">
        <v>18359</v>
      </c>
    </row>
    <row r="1804" spans="1:7">
      <c r="A1804">
        <v>1803</v>
      </c>
      <c r="B1804" t="str">
        <f>"026395"</f>
        <v>0</v>
      </c>
      <c r="C1804" t="s">
        <v>1781</v>
      </c>
      <c r="D1804" t="s">
        <v>20617</v>
      </c>
      <c r="E1804" t="str">
        <f>"1450200175704"</f>
        <v>0</v>
      </c>
      <c r="F1804" t="str">
        <f>"001480"</f>
        <v>0</v>
      </c>
      <c r="G1804" t="s">
        <v>18359</v>
      </c>
    </row>
    <row r="1805" spans="1:7">
      <c r="A1805">
        <v>1804</v>
      </c>
      <c r="B1805" t="str">
        <f>"026398"</f>
        <v>0</v>
      </c>
      <c r="C1805" t="s">
        <v>20618</v>
      </c>
      <c r="D1805" t="s">
        <v>20619</v>
      </c>
      <c r="E1805" t="str">
        <f>"3450100509933"</f>
        <v>0</v>
      </c>
      <c r="F1805" t="str">
        <f>"001480"</f>
        <v>0</v>
      </c>
      <c r="G1805" t="s">
        <v>18359</v>
      </c>
    </row>
    <row r="1806" spans="1:7">
      <c r="A1806">
        <v>1805</v>
      </c>
      <c r="B1806" t="str">
        <f>"026778"</f>
        <v>0</v>
      </c>
      <c r="C1806" t="s">
        <v>20620</v>
      </c>
      <c r="D1806" t="s">
        <v>20621</v>
      </c>
      <c r="E1806" t="str">
        <f>"1409900566054"</f>
        <v>0</v>
      </c>
      <c r="F1806" t="str">
        <f>"001480"</f>
        <v>0</v>
      </c>
      <c r="G1806" t="s">
        <v>18359</v>
      </c>
    </row>
    <row r="1807" spans="1:7">
      <c r="A1807">
        <v>1806</v>
      </c>
      <c r="B1807" t="str">
        <f>"027394"</f>
        <v>0</v>
      </c>
      <c r="C1807" t="s">
        <v>20622</v>
      </c>
      <c r="D1807" t="s">
        <v>20623</v>
      </c>
      <c r="E1807" t="str">
        <f>"3459900176589"</f>
        <v>0</v>
      </c>
      <c r="F1807" t="str">
        <f>"001480"</f>
        <v>0</v>
      </c>
      <c r="G1807" t="s">
        <v>18359</v>
      </c>
    </row>
    <row r="1808" spans="1:7">
      <c r="A1808">
        <v>1807</v>
      </c>
      <c r="B1808" t="str">
        <f>"027396"</f>
        <v>0</v>
      </c>
      <c r="C1808" t="s">
        <v>1097</v>
      </c>
      <c r="D1808" t="s">
        <v>12514</v>
      </c>
      <c r="E1808" t="str">
        <f>"1459900318590"</f>
        <v>0</v>
      </c>
      <c r="F1808" t="str">
        <f>"001480"</f>
        <v>0</v>
      </c>
      <c r="G1808" t="s">
        <v>18359</v>
      </c>
    </row>
    <row r="1809" spans="1:7">
      <c r="A1809">
        <v>1808</v>
      </c>
      <c r="B1809" t="str">
        <f>"008175"</f>
        <v>0</v>
      </c>
      <c r="C1809" t="s">
        <v>2742</v>
      </c>
      <c r="D1809" t="s">
        <v>20624</v>
      </c>
      <c r="E1809" t="str">
        <f>"3460300761512"</f>
        <v>0</v>
      </c>
      <c r="F1809" t="str">
        <f>"001480"</f>
        <v>0</v>
      </c>
      <c r="G1809" t="s">
        <v>18359</v>
      </c>
    </row>
    <row r="1810" spans="1:7">
      <c r="A1810">
        <v>1809</v>
      </c>
      <c r="B1810" t="str">
        <f>"013543"</f>
        <v>0</v>
      </c>
      <c r="C1810" t="s">
        <v>20625</v>
      </c>
      <c r="D1810" t="s">
        <v>20626</v>
      </c>
      <c r="E1810" t="str">
        <f>"3460400025079"</f>
        <v>0</v>
      </c>
      <c r="F1810" t="str">
        <f>"001480"</f>
        <v>0</v>
      </c>
      <c r="G1810" t="s">
        <v>18359</v>
      </c>
    </row>
    <row r="1811" spans="1:7">
      <c r="A1811">
        <v>1810</v>
      </c>
      <c r="B1811" t="str">
        <f>"022686"</f>
        <v>0</v>
      </c>
      <c r="C1811" t="s">
        <v>20627</v>
      </c>
      <c r="D1811" t="s">
        <v>20628</v>
      </c>
      <c r="E1811" t="str">
        <f>"3440500084930"</f>
        <v>0</v>
      </c>
      <c r="F1811" t="str">
        <f>"001480"</f>
        <v>0</v>
      </c>
      <c r="G1811" t="s">
        <v>18359</v>
      </c>
    </row>
    <row r="1812" spans="1:7">
      <c r="A1812">
        <v>1811</v>
      </c>
      <c r="B1812" t="str">
        <f>"024099"</f>
        <v>0</v>
      </c>
      <c r="C1812" t="s">
        <v>3225</v>
      </c>
      <c r="D1812" t="s">
        <v>12238</v>
      </c>
      <c r="E1812" t="str">
        <f>"5460900008030"</f>
        <v>0</v>
      </c>
      <c r="F1812" t="str">
        <f>"001480"</f>
        <v>0</v>
      </c>
      <c r="G1812" t="s">
        <v>18359</v>
      </c>
    </row>
    <row r="1813" spans="1:7">
      <c r="A1813">
        <v>1812</v>
      </c>
      <c r="B1813" t="str">
        <f>"024239"</f>
        <v>0</v>
      </c>
      <c r="C1813" t="s">
        <v>1204</v>
      </c>
      <c r="D1813" t="s">
        <v>20629</v>
      </c>
      <c r="E1813" t="str">
        <f>"3700400453680"</f>
        <v>0</v>
      </c>
      <c r="F1813" t="str">
        <f>"001480"</f>
        <v>0</v>
      </c>
      <c r="G1813" t="s">
        <v>18359</v>
      </c>
    </row>
    <row r="1814" spans="1:7">
      <c r="A1814">
        <v>1813</v>
      </c>
      <c r="B1814" t="str">
        <f>"026200"</f>
        <v>0</v>
      </c>
      <c r="C1814" t="s">
        <v>20630</v>
      </c>
      <c r="D1814" t="s">
        <v>20631</v>
      </c>
      <c r="E1814" t="str">
        <f>"1469900152373"</f>
        <v>0</v>
      </c>
      <c r="F1814" t="str">
        <f>"001480"</f>
        <v>0</v>
      </c>
      <c r="G1814" t="s">
        <v>18359</v>
      </c>
    </row>
    <row r="1815" spans="1:7">
      <c r="A1815">
        <v>1814</v>
      </c>
      <c r="B1815" t="str">
        <f>"023352"</f>
        <v>0</v>
      </c>
      <c r="C1815" t="s">
        <v>5396</v>
      </c>
      <c r="D1815" t="s">
        <v>20632</v>
      </c>
      <c r="E1815" t="str">
        <f>"3770500080184"</f>
        <v>0</v>
      </c>
      <c r="F1815" t="str">
        <f>"001480"</f>
        <v>0</v>
      </c>
      <c r="G1815" t="s">
        <v>18359</v>
      </c>
    </row>
    <row r="1816" spans="1:7">
      <c r="A1816">
        <v>1815</v>
      </c>
      <c r="B1816" t="str">
        <f>"024912"</f>
        <v>0</v>
      </c>
      <c r="C1816" t="s">
        <v>20633</v>
      </c>
      <c r="D1816" t="s">
        <v>20634</v>
      </c>
      <c r="E1816" t="str">
        <f>"1709900486988"</f>
        <v>0</v>
      </c>
      <c r="F1816" t="str">
        <f>"001480"</f>
        <v>0</v>
      </c>
      <c r="G1816" t="s">
        <v>18359</v>
      </c>
    </row>
    <row r="1817" spans="1:7">
      <c r="A1817">
        <v>1816</v>
      </c>
      <c r="B1817" t="str">
        <f>"016780"</f>
        <v>0</v>
      </c>
      <c r="C1817" t="s">
        <v>1021</v>
      </c>
      <c r="D1817" t="s">
        <v>20635</v>
      </c>
      <c r="E1817" t="str">
        <f>"3309901117323"</f>
        <v>0</v>
      </c>
      <c r="F1817" t="str">
        <f>"001480"</f>
        <v>0</v>
      </c>
      <c r="G1817" t="s">
        <v>18359</v>
      </c>
    </row>
    <row r="1818" spans="1:7">
      <c r="A1818">
        <v>1817</v>
      </c>
      <c r="B1818" t="str">
        <f>"002138"</f>
        <v>0</v>
      </c>
      <c r="C1818" t="s">
        <v>6279</v>
      </c>
      <c r="D1818" t="s">
        <v>65</v>
      </c>
      <c r="E1818" t="str">
        <f>"3700100317641"</f>
        <v>0</v>
      </c>
      <c r="F1818" t="str">
        <f>"001520"</f>
        <v>0</v>
      </c>
      <c r="G1818" t="s">
        <v>18359</v>
      </c>
    </row>
    <row r="1819" spans="1:7">
      <c r="A1819">
        <v>1818</v>
      </c>
      <c r="B1819" t="str">
        <f>"002766"</f>
        <v>0</v>
      </c>
      <c r="C1819" t="s">
        <v>6446</v>
      </c>
      <c r="D1819" t="s">
        <v>20636</v>
      </c>
      <c r="E1819" t="str">
        <f>"3730100633429"</f>
        <v>0</v>
      </c>
      <c r="F1819" t="str">
        <f>"001520"</f>
        <v>0</v>
      </c>
      <c r="G1819" t="s">
        <v>18359</v>
      </c>
    </row>
    <row r="1820" spans="1:7">
      <c r="A1820">
        <v>1819</v>
      </c>
      <c r="B1820" t="str">
        <f>"003253"</f>
        <v>0</v>
      </c>
      <c r="C1820" t="s">
        <v>15093</v>
      </c>
      <c r="D1820" t="s">
        <v>20637</v>
      </c>
      <c r="E1820" t="str">
        <f>"3709900317724"</f>
        <v>0</v>
      </c>
      <c r="F1820" t="str">
        <f>"001520"</f>
        <v>0</v>
      </c>
      <c r="G1820" t="s">
        <v>18359</v>
      </c>
    </row>
    <row r="1821" spans="1:7">
      <c r="A1821">
        <v>1820</v>
      </c>
      <c r="B1821" t="str">
        <f>"004007"</f>
        <v>0</v>
      </c>
      <c r="C1821" t="s">
        <v>941</v>
      </c>
      <c r="D1821" t="s">
        <v>20638</v>
      </c>
      <c r="E1821" t="str">
        <f>"3700600081328"</f>
        <v>0</v>
      </c>
      <c r="F1821" t="str">
        <f>"001520"</f>
        <v>0</v>
      </c>
      <c r="G1821" t="s">
        <v>18359</v>
      </c>
    </row>
    <row r="1822" spans="1:7">
      <c r="A1822">
        <v>1821</v>
      </c>
      <c r="B1822" t="str">
        <f>"005167"</f>
        <v>0</v>
      </c>
      <c r="C1822" t="s">
        <v>9968</v>
      </c>
      <c r="D1822" t="s">
        <v>20639</v>
      </c>
      <c r="E1822" t="str">
        <f>"3700700924904"</f>
        <v>0</v>
      </c>
      <c r="F1822" t="str">
        <f>"001520"</f>
        <v>0</v>
      </c>
      <c r="G1822" t="s">
        <v>18359</v>
      </c>
    </row>
    <row r="1823" spans="1:7">
      <c r="A1823">
        <v>1822</v>
      </c>
      <c r="B1823" t="str">
        <f>"005925"</f>
        <v>0</v>
      </c>
      <c r="C1823" t="s">
        <v>1356</v>
      </c>
      <c r="D1823" t="s">
        <v>20640</v>
      </c>
      <c r="E1823" t="str">
        <f>"3700100112470"</f>
        <v>0</v>
      </c>
      <c r="F1823" t="str">
        <f>"001520"</f>
        <v>0</v>
      </c>
      <c r="G1823" t="s">
        <v>18359</v>
      </c>
    </row>
    <row r="1824" spans="1:7">
      <c r="A1824">
        <v>1823</v>
      </c>
      <c r="B1824" t="str">
        <f>"006369"</f>
        <v>0</v>
      </c>
      <c r="C1824" t="s">
        <v>13919</v>
      </c>
      <c r="D1824" t="s">
        <v>20641</v>
      </c>
      <c r="E1824" t="str">
        <f>"3700700824365"</f>
        <v>0</v>
      </c>
      <c r="F1824" t="str">
        <f>"001520"</f>
        <v>0</v>
      </c>
      <c r="G1824" t="s">
        <v>18359</v>
      </c>
    </row>
    <row r="1825" spans="1:7">
      <c r="A1825">
        <v>1824</v>
      </c>
      <c r="B1825" t="str">
        <f>"006394"</f>
        <v>0</v>
      </c>
      <c r="C1825" t="s">
        <v>4928</v>
      </c>
      <c r="D1825" t="s">
        <v>20642</v>
      </c>
      <c r="E1825" t="str">
        <f>"3700500121221"</f>
        <v>0</v>
      </c>
      <c r="F1825" t="str">
        <f>"001520"</f>
        <v>0</v>
      </c>
      <c r="G1825" t="s">
        <v>18359</v>
      </c>
    </row>
    <row r="1826" spans="1:7">
      <c r="A1826">
        <v>1825</v>
      </c>
      <c r="B1826" t="str">
        <f>"006402"</f>
        <v>0</v>
      </c>
      <c r="C1826" t="s">
        <v>2443</v>
      </c>
      <c r="D1826" t="s">
        <v>20643</v>
      </c>
      <c r="E1826" t="str">
        <f>"5700190014894"</f>
        <v>0</v>
      </c>
      <c r="F1826" t="str">
        <f>"001520"</f>
        <v>0</v>
      </c>
      <c r="G1826" t="s">
        <v>18359</v>
      </c>
    </row>
    <row r="1827" spans="1:7">
      <c r="A1827">
        <v>1826</v>
      </c>
      <c r="B1827" t="str">
        <f>"006750"</f>
        <v>0</v>
      </c>
      <c r="C1827" t="s">
        <v>20644</v>
      </c>
      <c r="D1827" t="s">
        <v>12542</v>
      </c>
      <c r="E1827" t="str">
        <f>"3700500061724"</f>
        <v>0</v>
      </c>
      <c r="F1827" t="str">
        <f>"001520"</f>
        <v>0</v>
      </c>
      <c r="G1827" t="s">
        <v>18359</v>
      </c>
    </row>
    <row r="1828" spans="1:7">
      <c r="A1828">
        <v>1827</v>
      </c>
      <c r="B1828" t="str">
        <f>"007574"</f>
        <v>0</v>
      </c>
      <c r="C1828" t="s">
        <v>20645</v>
      </c>
      <c r="D1828" t="s">
        <v>20646</v>
      </c>
      <c r="E1828" t="str">
        <f>"3130500019758"</f>
        <v>0</v>
      </c>
      <c r="F1828" t="str">
        <f>"001520"</f>
        <v>0</v>
      </c>
      <c r="G1828" t="s">
        <v>18359</v>
      </c>
    </row>
    <row r="1829" spans="1:7">
      <c r="A1829">
        <v>1828</v>
      </c>
      <c r="B1829" t="str">
        <f>"007984"</f>
        <v>0</v>
      </c>
      <c r="C1829" t="s">
        <v>20647</v>
      </c>
      <c r="D1829" t="s">
        <v>20648</v>
      </c>
      <c r="E1829" t="str">
        <f>"3141300122041"</f>
        <v>0</v>
      </c>
      <c r="F1829" t="str">
        <f>"001520"</f>
        <v>0</v>
      </c>
      <c r="G1829" t="s">
        <v>18359</v>
      </c>
    </row>
    <row r="1830" spans="1:7">
      <c r="A1830">
        <v>1829</v>
      </c>
      <c r="B1830" t="str">
        <f>"008619"</f>
        <v>0</v>
      </c>
      <c r="C1830" t="s">
        <v>20649</v>
      </c>
      <c r="D1830" t="s">
        <v>20650</v>
      </c>
      <c r="E1830" t="str">
        <f>"3700100405833"</f>
        <v>0</v>
      </c>
      <c r="F1830" t="str">
        <f>"001520"</f>
        <v>0</v>
      </c>
      <c r="G1830" t="s">
        <v>18359</v>
      </c>
    </row>
    <row r="1831" spans="1:7">
      <c r="A1831">
        <v>1830</v>
      </c>
      <c r="B1831" t="str">
        <f>"008742"</f>
        <v>0</v>
      </c>
      <c r="C1831" t="s">
        <v>20651</v>
      </c>
      <c r="D1831" t="s">
        <v>20652</v>
      </c>
      <c r="E1831" t="str">
        <f>"3700500395240"</f>
        <v>0</v>
      </c>
      <c r="F1831" t="str">
        <f>"001520"</f>
        <v>0</v>
      </c>
      <c r="G1831" t="s">
        <v>18359</v>
      </c>
    </row>
    <row r="1832" spans="1:7">
      <c r="A1832">
        <v>1831</v>
      </c>
      <c r="B1832" t="str">
        <f>"008931"</f>
        <v>0</v>
      </c>
      <c r="C1832" t="s">
        <v>229</v>
      </c>
      <c r="D1832" t="s">
        <v>20653</v>
      </c>
      <c r="E1832" t="str">
        <f>"3709900194479"</f>
        <v>0</v>
      </c>
      <c r="F1832" t="str">
        <f>"001520"</f>
        <v>0</v>
      </c>
      <c r="G1832" t="s">
        <v>18359</v>
      </c>
    </row>
    <row r="1833" spans="1:7">
      <c r="A1833">
        <v>1832</v>
      </c>
      <c r="B1833" t="str">
        <f>"009292"</f>
        <v>0</v>
      </c>
      <c r="C1833" t="s">
        <v>3303</v>
      </c>
      <c r="D1833" t="s">
        <v>20654</v>
      </c>
      <c r="E1833" t="str">
        <f>"3760500083272"</f>
        <v>0</v>
      </c>
      <c r="F1833" t="str">
        <f>"001520"</f>
        <v>0</v>
      </c>
      <c r="G1833" t="s">
        <v>18359</v>
      </c>
    </row>
    <row r="1834" spans="1:7">
      <c r="A1834">
        <v>1833</v>
      </c>
      <c r="B1834" t="str">
        <f>"009562"</f>
        <v>0</v>
      </c>
      <c r="C1834" t="s">
        <v>130</v>
      </c>
      <c r="D1834" t="s">
        <v>20655</v>
      </c>
      <c r="E1834" t="str">
        <f>"3700500395363"</f>
        <v>0</v>
      </c>
      <c r="F1834" t="str">
        <f>"001520"</f>
        <v>0</v>
      </c>
      <c r="G1834" t="s">
        <v>18359</v>
      </c>
    </row>
    <row r="1835" spans="1:7">
      <c r="A1835">
        <v>1834</v>
      </c>
      <c r="B1835" t="str">
        <f>"010023"</f>
        <v>0</v>
      </c>
      <c r="C1835" t="s">
        <v>10384</v>
      </c>
      <c r="D1835" t="s">
        <v>20656</v>
      </c>
      <c r="E1835" t="str">
        <f>"3700700705897"</f>
        <v>0</v>
      </c>
      <c r="F1835" t="str">
        <f>"001520"</f>
        <v>0</v>
      </c>
      <c r="G1835" t="s">
        <v>18359</v>
      </c>
    </row>
    <row r="1836" spans="1:7">
      <c r="A1836">
        <v>1835</v>
      </c>
      <c r="B1836" t="str">
        <f>"010075"</f>
        <v>0</v>
      </c>
      <c r="C1836" t="s">
        <v>4757</v>
      </c>
      <c r="D1836" t="s">
        <v>12626</v>
      </c>
      <c r="E1836" t="str">
        <f>"3709900267425"</f>
        <v>0</v>
      </c>
      <c r="F1836" t="str">
        <f>"001520"</f>
        <v>0</v>
      </c>
      <c r="G1836" t="s">
        <v>18359</v>
      </c>
    </row>
    <row r="1837" spans="1:7">
      <c r="A1837">
        <v>1836</v>
      </c>
      <c r="B1837" t="str">
        <f>"010086"</f>
        <v>0</v>
      </c>
      <c r="C1837" t="s">
        <v>20657</v>
      </c>
      <c r="D1837" t="s">
        <v>20658</v>
      </c>
      <c r="E1837" t="str">
        <f>"3101700648563"</f>
        <v>0</v>
      </c>
      <c r="F1837" t="str">
        <f>"001520"</f>
        <v>0</v>
      </c>
      <c r="G1837" t="s">
        <v>18359</v>
      </c>
    </row>
    <row r="1838" spans="1:7">
      <c r="A1838">
        <v>1837</v>
      </c>
      <c r="B1838" t="str">
        <f>"010251"</f>
        <v>0</v>
      </c>
      <c r="C1838" t="s">
        <v>5962</v>
      </c>
      <c r="D1838" t="s">
        <v>20659</v>
      </c>
      <c r="E1838" t="str">
        <f>"3700100568163"</f>
        <v>0</v>
      </c>
      <c r="F1838" t="str">
        <f>"001520"</f>
        <v>0</v>
      </c>
      <c r="G1838" t="s">
        <v>18359</v>
      </c>
    </row>
    <row r="1839" spans="1:7">
      <c r="A1839">
        <v>1838</v>
      </c>
      <c r="B1839" t="str">
        <f>"010511"</f>
        <v>0</v>
      </c>
      <c r="C1839" t="s">
        <v>17677</v>
      </c>
      <c r="D1839" t="s">
        <v>20660</v>
      </c>
      <c r="E1839" t="str">
        <f>"3750200381201"</f>
        <v>0</v>
      </c>
      <c r="F1839" t="str">
        <f>"001520"</f>
        <v>0</v>
      </c>
      <c r="G1839" t="s">
        <v>18359</v>
      </c>
    </row>
    <row r="1840" spans="1:7">
      <c r="A1840">
        <v>1839</v>
      </c>
      <c r="B1840" t="str">
        <f>"014326"</f>
        <v>0</v>
      </c>
      <c r="C1840" t="s">
        <v>837</v>
      </c>
      <c r="D1840" t="s">
        <v>20648</v>
      </c>
      <c r="E1840" t="str">
        <f>"3179900110432"</f>
        <v>0</v>
      </c>
      <c r="F1840" t="str">
        <f>"001520"</f>
        <v>0</v>
      </c>
      <c r="G1840" t="s">
        <v>18359</v>
      </c>
    </row>
    <row r="1841" spans="1:7">
      <c r="A1841">
        <v>1840</v>
      </c>
      <c r="B1841" t="str">
        <f>"019494"</f>
        <v>0</v>
      </c>
      <c r="C1841" t="s">
        <v>433</v>
      </c>
      <c r="D1841" t="s">
        <v>20661</v>
      </c>
      <c r="E1841" t="str">
        <f>"3700700372855"</f>
        <v>0</v>
      </c>
      <c r="F1841" t="str">
        <f>"001520"</f>
        <v>0</v>
      </c>
      <c r="G1841" t="s">
        <v>18359</v>
      </c>
    </row>
    <row r="1842" spans="1:7">
      <c r="A1842">
        <v>1841</v>
      </c>
      <c r="B1842" t="str">
        <f>"020161"</f>
        <v>0</v>
      </c>
      <c r="C1842" t="s">
        <v>20662</v>
      </c>
      <c r="D1842" t="s">
        <v>742</v>
      </c>
      <c r="E1842" t="str">
        <f>"3700600132755"</f>
        <v>0</v>
      </c>
      <c r="F1842" t="str">
        <f>"001520"</f>
        <v>0</v>
      </c>
      <c r="G1842" t="s">
        <v>18359</v>
      </c>
    </row>
    <row r="1843" spans="1:7">
      <c r="A1843">
        <v>1842</v>
      </c>
      <c r="B1843" t="str">
        <f>"024736"</f>
        <v>0</v>
      </c>
      <c r="C1843" t="s">
        <v>20663</v>
      </c>
      <c r="D1843" t="s">
        <v>20664</v>
      </c>
      <c r="E1843" t="str">
        <f>"1709700015671"</f>
        <v>0</v>
      </c>
      <c r="F1843" t="str">
        <f>"001520"</f>
        <v>0</v>
      </c>
      <c r="G1843" t="s">
        <v>18359</v>
      </c>
    </row>
    <row r="1844" spans="1:7">
      <c r="A1844">
        <v>1843</v>
      </c>
      <c r="B1844" t="str">
        <f>"025196"</f>
        <v>0</v>
      </c>
      <c r="C1844" t="s">
        <v>4122</v>
      </c>
      <c r="D1844" t="s">
        <v>20665</v>
      </c>
      <c r="E1844" t="str">
        <f>"3700200081681"</f>
        <v>0</v>
      </c>
      <c r="F1844" t="str">
        <f>"001520"</f>
        <v>0</v>
      </c>
      <c r="G1844" t="s">
        <v>18359</v>
      </c>
    </row>
    <row r="1845" spans="1:7">
      <c r="A1845">
        <v>1844</v>
      </c>
      <c r="B1845" t="str">
        <f>"026294"</f>
        <v>0</v>
      </c>
      <c r="C1845" t="s">
        <v>3574</v>
      </c>
      <c r="D1845" t="s">
        <v>20666</v>
      </c>
      <c r="E1845" t="str">
        <f>"1119900392911"</f>
        <v>0</v>
      </c>
      <c r="F1845" t="str">
        <f>"001520"</f>
        <v>0</v>
      </c>
      <c r="G1845" t="s">
        <v>18359</v>
      </c>
    </row>
    <row r="1846" spans="1:7">
      <c r="A1846">
        <v>1845</v>
      </c>
      <c r="B1846" t="str">
        <f>"023386"</f>
        <v>0</v>
      </c>
      <c r="C1846" t="s">
        <v>20667</v>
      </c>
      <c r="D1846" t="s">
        <v>20668</v>
      </c>
      <c r="E1846" t="str">
        <f>"1700400081115"</f>
        <v>0</v>
      </c>
      <c r="F1846" t="str">
        <f>"001520"</f>
        <v>0</v>
      </c>
      <c r="G1846" t="s">
        <v>18359</v>
      </c>
    </row>
    <row r="1847" spans="1:7">
      <c r="A1847">
        <v>1846</v>
      </c>
      <c r="B1847" t="str">
        <f>"025794"</f>
        <v>0</v>
      </c>
      <c r="C1847" t="s">
        <v>7053</v>
      </c>
      <c r="D1847" t="s">
        <v>20669</v>
      </c>
      <c r="E1847" t="str">
        <f>"1709900357274"</f>
        <v>0</v>
      </c>
      <c r="F1847" t="str">
        <f>"001520"</f>
        <v>0</v>
      </c>
      <c r="G1847" t="s">
        <v>18359</v>
      </c>
    </row>
    <row r="1848" spans="1:7">
      <c r="A1848">
        <v>1847</v>
      </c>
      <c r="B1848" t="str">
        <f>"016912"</f>
        <v>0</v>
      </c>
      <c r="C1848" t="s">
        <v>15887</v>
      </c>
      <c r="D1848" t="s">
        <v>20670</v>
      </c>
      <c r="E1848" t="str">
        <f>"3700400359055"</f>
        <v>0</v>
      </c>
      <c r="F1848" t="str">
        <f>"001520"</f>
        <v>0</v>
      </c>
      <c r="G1848" t="s">
        <v>18359</v>
      </c>
    </row>
    <row r="1849" spans="1:7">
      <c r="A1849">
        <v>1848</v>
      </c>
      <c r="B1849" t="str">
        <f>"021814"</f>
        <v>0</v>
      </c>
      <c r="C1849" t="s">
        <v>20671</v>
      </c>
      <c r="D1849" t="s">
        <v>20672</v>
      </c>
      <c r="E1849" t="str">
        <f>"3760600152551"</f>
        <v>0</v>
      </c>
      <c r="F1849" t="str">
        <f>"001520"</f>
        <v>0</v>
      </c>
      <c r="G1849" t="s">
        <v>18359</v>
      </c>
    </row>
    <row r="1850" spans="1:7">
      <c r="A1850">
        <v>1849</v>
      </c>
      <c r="B1850" t="str">
        <f>"026325"</f>
        <v>0</v>
      </c>
      <c r="C1850" t="s">
        <v>20673</v>
      </c>
      <c r="D1850" t="s">
        <v>20674</v>
      </c>
      <c r="E1850" t="str">
        <f>"1339900326402"</f>
        <v>0</v>
      </c>
      <c r="F1850" t="str">
        <f>"001520"</f>
        <v>0</v>
      </c>
      <c r="G1850" t="s">
        <v>18359</v>
      </c>
    </row>
    <row r="1851" spans="1:7">
      <c r="A1851">
        <v>1850</v>
      </c>
      <c r="B1851" t="str">
        <f>"023908"</f>
        <v>0</v>
      </c>
      <c r="C1851" t="s">
        <v>20675</v>
      </c>
      <c r="D1851" t="s">
        <v>20676</v>
      </c>
      <c r="E1851" t="str">
        <f>"3101201570976"</f>
        <v>0</v>
      </c>
      <c r="F1851" t="str">
        <f>"001520"</f>
        <v>0</v>
      </c>
      <c r="G1851" t="s">
        <v>18359</v>
      </c>
    </row>
    <row r="1852" spans="1:7">
      <c r="A1852">
        <v>1851</v>
      </c>
      <c r="B1852" t="str">
        <f>"027195"</f>
        <v>0</v>
      </c>
      <c r="C1852" t="s">
        <v>20677</v>
      </c>
      <c r="D1852" t="s">
        <v>14235</v>
      </c>
      <c r="E1852" t="str">
        <f>"1539900257263"</f>
        <v>0</v>
      </c>
      <c r="F1852" t="str">
        <f>"001520"</f>
        <v>0</v>
      </c>
      <c r="G1852" t="s">
        <v>18359</v>
      </c>
    </row>
    <row r="1853" spans="1:7">
      <c r="A1853">
        <v>1852</v>
      </c>
      <c r="B1853" t="str">
        <f>"012927"</f>
        <v>0</v>
      </c>
      <c r="C1853" t="s">
        <v>6636</v>
      </c>
      <c r="D1853" t="s">
        <v>12607</v>
      </c>
      <c r="E1853" t="str">
        <f>"3700500757419"</f>
        <v>0</v>
      </c>
      <c r="F1853" t="str">
        <f>"001520"</f>
        <v>0</v>
      </c>
      <c r="G1853" t="s">
        <v>18359</v>
      </c>
    </row>
    <row r="1854" spans="1:7">
      <c r="A1854">
        <v>1853</v>
      </c>
      <c r="B1854" t="str">
        <f>"024390"</f>
        <v>0</v>
      </c>
      <c r="C1854" t="s">
        <v>20678</v>
      </c>
      <c r="D1854" t="s">
        <v>2154</v>
      </c>
      <c r="E1854" t="str">
        <f>"1719900214856"</f>
        <v>0</v>
      </c>
      <c r="F1854" t="str">
        <f>"001520"</f>
        <v>0</v>
      </c>
      <c r="G1854" t="s">
        <v>18359</v>
      </c>
    </row>
    <row r="1855" spans="1:7">
      <c r="A1855">
        <v>1854</v>
      </c>
      <c r="B1855" t="str">
        <f>"024391"</f>
        <v>0</v>
      </c>
      <c r="C1855" t="s">
        <v>20679</v>
      </c>
      <c r="D1855" t="s">
        <v>20680</v>
      </c>
      <c r="E1855" t="str">
        <f>"1659900298368"</f>
        <v>0</v>
      </c>
      <c r="F1855" t="str">
        <f>"001520"</f>
        <v>0</v>
      </c>
      <c r="G1855" t="s">
        <v>18359</v>
      </c>
    </row>
    <row r="1856" spans="1:7">
      <c r="A1856">
        <v>1855</v>
      </c>
      <c r="B1856" t="str">
        <f>"024885"</f>
        <v>0</v>
      </c>
      <c r="C1856" t="s">
        <v>20681</v>
      </c>
      <c r="D1856" t="s">
        <v>20682</v>
      </c>
      <c r="E1856" t="str">
        <f>"1709900567121"</f>
        <v>0</v>
      </c>
      <c r="F1856" t="str">
        <f>"001520"</f>
        <v>0</v>
      </c>
      <c r="G1856" t="s">
        <v>18359</v>
      </c>
    </row>
    <row r="1857" spans="1:7">
      <c r="A1857">
        <v>1856</v>
      </c>
      <c r="B1857" t="str">
        <f>"025645"</f>
        <v>0</v>
      </c>
      <c r="C1857" t="s">
        <v>20683</v>
      </c>
      <c r="D1857" t="s">
        <v>20684</v>
      </c>
      <c r="E1857" t="str">
        <f>"1709900619422"</f>
        <v>0</v>
      </c>
      <c r="F1857" t="str">
        <f>"001520"</f>
        <v>0</v>
      </c>
      <c r="G1857" t="s">
        <v>18359</v>
      </c>
    </row>
    <row r="1858" spans="1:7">
      <c r="A1858">
        <v>1857</v>
      </c>
      <c r="B1858" t="str">
        <f>"023742"</f>
        <v>0</v>
      </c>
      <c r="C1858" t="s">
        <v>20685</v>
      </c>
      <c r="D1858" t="s">
        <v>20686</v>
      </c>
      <c r="E1858" t="str">
        <f>"3770600823898"</f>
        <v>0</v>
      </c>
      <c r="F1858" t="str">
        <f>"001520"</f>
        <v>0</v>
      </c>
      <c r="G1858" t="s">
        <v>18359</v>
      </c>
    </row>
    <row r="1859" spans="1:7">
      <c r="A1859">
        <v>1858</v>
      </c>
      <c r="B1859" t="str">
        <f>"012378"</f>
        <v>0</v>
      </c>
      <c r="C1859" t="s">
        <v>20687</v>
      </c>
      <c r="D1859" t="s">
        <v>7926</v>
      </c>
      <c r="E1859" t="str">
        <f>"3170400070565"</f>
        <v>0</v>
      </c>
      <c r="F1859" t="str">
        <f>"001550"</f>
        <v>0</v>
      </c>
      <c r="G1859" t="s">
        <v>18359</v>
      </c>
    </row>
    <row r="1860" spans="1:7">
      <c r="A1860">
        <v>1859</v>
      </c>
      <c r="B1860" t="str">
        <f>"018882"</f>
        <v>0</v>
      </c>
      <c r="C1860" t="s">
        <v>20688</v>
      </c>
      <c r="D1860" t="s">
        <v>560</v>
      </c>
      <c r="E1860" t="str">
        <f>"3160101274711"</f>
        <v>0</v>
      </c>
      <c r="F1860" t="str">
        <f>"001550"</f>
        <v>0</v>
      </c>
      <c r="G1860" t="s">
        <v>18359</v>
      </c>
    </row>
    <row r="1861" spans="1:7">
      <c r="A1861">
        <v>1860</v>
      </c>
      <c r="B1861" t="str">
        <f>"013052"</f>
        <v>0</v>
      </c>
      <c r="C1861" t="s">
        <v>442</v>
      </c>
      <c r="D1861" t="s">
        <v>20689</v>
      </c>
      <c r="E1861" t="str">
        <f>"3169800024160"</f>
        <v>0</v>
      </c>
      <c r="F1861" t="str">
        <f>"001550"</f>
        <v>0</v>
      </c>
      <c r="G1861" t="s">
        <v>18359</v>
      </c>
    </row>
    <row r="1862" spans="1:7">
      <c r="A1862">
        <v>1861</v>
      </c>
      <c r="B1862" t="str">
        <f>"013544"</f>
        <v>0</v>
      </c>
      <c r="C1862" t="s">
        <v>20690</v>
      </c>
      <c r="D1862" t="s">
        <v>20691</v>
      </c>
      <c r="E1862" t="str">
        <f>"3160600001958"</f>
        <v>0</v>
      </c>
      <c r="F1862" t="str">
        <f>"001550"</f>
        <v>0</v>
      </c>
      <c r="G1862" t="s">
        <v>18359</v>
      </c>
    </row>
    <row r="1863" spans="1:7">
      <c r="A1863">
        <v>1862</v>
      </c>
      <c r="B1863" t="str">
        <f>"014306"</f>
        <v>0</v>
      </c>
      <c r="C1863" t="s">
        <v>20692</v>
      </c>
      <c r="D1863" t="s">
        <v>20693</v>
      </c>
      <c r="E1863" t="str">
        <f>"3499900207255"</f>
        <v>0</v>
      </c>
      <c r="F1863" t="str">
        <f>"001550"</f>
        <v>0</v>
      </c>
      <c r="G1863" t="s">
        <v>18359</v>
      </c>
    </row>
    <row r="1864" spans="1:7">
      <c r="A1864">
        <v>1863</v>
      </c>
      <c r="B1864" t="str">
        <f>"014648"</f>
        <v>0</v>
      </c>
      <c r="C1864" t="s">
        <v>789</v>
      </c>
      <c r="D1864" t="s">
        <v>12222</v>
      </c>
      <c r="E1864" t="str">
        <f>"3160400325911"</f>
        <v>0</v>
      </c>
      <c r="F1864" t="str">
        <f>"001550"</f>
        <v>0</v>
      </c>
      <c r="G1864" t="s">
        <v>18359</v>
      </c>
    </row>
    <row r="1865" spans="1:7">
      <c r="A1865">
        <v>1864</v>
      </c>
      <c r="B1865" t="str">
        <f>"017237"</f>
        <v>0</v>
      </c>
      <c r="C1865" t="s">
        <v>11284</v>
      </c>
      <c r="D1865" t="s">
        <v>20694</v>
      </c>
      <c r="E1865" t="str">
        <f>"3670500133408"</f>
        <v>0</v>
      </c>
      <c r="F1865" t="str">
        <f>"001550"</f>
        <v>0</v>
      </c>
      <c r="G1865" t="s">
        <v>18359</v>
      </c>
    </row>
    <row r="1866" spans="1:7">
      <c r="A1866">
        <v>1865</v>
      </c>
      <c r="B1866" t="str">
        <f>"017577"</f>
        <v>0</v>
      </c>
      <c r="C1866" t="s">
        <v>167</v>
      </c>
      <c r="D1866" t="s">
        <v>16580</v>
      </c>
      <c r="E1866" t="str">
        <f>"3169800014202"</f>
        <v>0</v>
      </c>
      <c r="F1866" t="str">
        <f>"001550"</f>
        <v>0</v>
      </c>
      <c r="G1866" t="s">
        <v>18359</v>
      </c>
    </row>
    <row r="1867" spans="1:7">
      <c r="A1867">
        <v>1866</v>
      </c>
      <c r="B1867" t="str">
        <f>"017876"</f>
        <v>0</v>
      </c>
      <c r="C1867" t="s">
        <v>20695</v>
      </c>
      <c r="D1867" t="s">
        <v>20696</v>
      </c>
      <c r="E1867" t="str">
        <f>"3670600249866"</f>
        <v>0</v>
      </c>
      <c r="F1867" t="str">
        <f>"001550"</f>
        <v>0</v>
      </c>
      <c r="G1867" t="s">
        <v>18359</v>
      </c>
    </row>
    <row r="1868" spans="1:7">
      <c r="A1868">
        <v>1867</v>
      </c>
      <c r="B1868" t="str">
        <f>"018881"</f>
        <v>0</v>
      </c>
      <c r="C1868" t="s">
        <v>5168</v>
      </c>
      <c r="D1868" t="s">
        <v>20697</v>
      </c>
      <c r="E1868" t="str">
        <f>"3160101386731"</f>
        <v>0</v>
      </c>
      <c r="F1868" t="str">
        <f>"001550"</f>
        <v>0</v>
      </c>
      <c r="G1868" t="s">
        <v>18359</v>
      </c>
    </row>
    <row r="1869" spans="1:7">
      <c r="A1869">
        <v>1868</v>
      </c>
      <c r="B1869" t="str">
        <f>"019239"</f>
        <v>0</v>
      </c>
      <c r="C1869" t="s">
        <v>15430</v>
      </c>
      <c r="D1869" t="s">
        <v>2035</v>
      </c>
      <c r="E1869" t="str">
        <f>"3361100046722"</f>
        <v>0</v>
      </c>
      <c r="F1869" t="str">
        <f>"001550"</f>
        <v>0</v>
      </c>
      <c r="G1869" t="s">
        <v>18359</v>
      </c>
    </row>
    <row r="1870" spans="1:7">
      <c r="A1870">
        <v>1869</v>
      </c>
      <c r="B1870" t="str">
        <f>"019508"</f>
        <v>0</v>
      </c>
      <c r="C1870" t="s">
        <v>445</v>
      </c>
      <c r="D1870" t="s">
        <v>20698</v>
      </c>
      <c r="E1870" t="str">
        <f>"3160101469628"</f>
        <v>0</v>
      </c>
      <c r="F1870" t="str">
        <f>"001550"</f>
        <v>0</v>
      </c>
      <c r="G1870" t="s">
        <v>18359</v>
      </c>
    </row>
    <row r="1871" spans="1:7">
      <c r="A1871">
        <v>1870</v>
      </c>
      <c r="B1871" t="str">
        <f>"020233"</f>
        <v>0</v>
      </c>
      <c r="C1871" t="s">
        <v>20699</v>
      </c>
      <c r="D1871" t="s">
        <v>20700</v>
      </c>
      <c r="E1871" t="str">
        <f>"3490500469408"</f>
        <v>0</v>
      </c>
      <c r="F1871" t="str">
        <f>"001550"</f>
        <v>0</v>
      </c>
      <c r="G1871" t="s">
        <v>18359</v>
      </c>
    </row>
    <row r="1872" spans="1:7">
      <c r="A1872">
        <v>1871</v>
      </c>
      <c r="B1872" t="str">
        <f>"020665"</f>
        <v>0</v>
      </c>
      <c r="C1872" t="s">
        <v>10234</v>
      </c>
      <c r="D1872" t="s">
        <v>20701</v>
      </c>
      <c r="E1872" t="str">
        <f>"3330200049293"</f>
        <v>0</v>
      </c>
      <c r="F1872" t="str">
        <f>"001550"</f>
        <v>0</v>
      </c>
      <c r="G1872" t="s">
        <v>18359</v>
      </c>
    </row>
    <row r="1873" spans="1:7">
      <c r="A1873">
        <v>1872</v>
      </c>
      <c r="B1873" t="str">
        <f>"020898"</f>
        <v>0</v>
      </c>
      <c r="C1873" t="s">
        <v>20702</v>
      </c>
      <c r="D1873" t="s">
        <v>20703</v>
      </c>
      <c r="E1873" t="str">
        <f>"3342100095210"</f>
        <v>0</v>
      </c>
      <c r="F1873" t="str">
        <f>"001550"</f>
        <v>0</v>
      </c>
      <c r="G1873" t="s">
        <v>18359</v>
      </c>
    </row>
    <row r="1874" spans="1:7">
      <c r="A1874">
        <v>1873</v>
      </c>
      <c r="B1874" t="str">
        <f>"021275"</f>
        <v>0</v>
      </c>
      <c r="C1874" t="s">
        <v>2815</v>
      </c>
      <c r="D1874" t="s">
        <v>12891</v>
      </c>
      <c r="E1874" t="str">
        <f>"3141500138090"</f>
        <v>0</v>
      </c>
      <c r="F1874" t="str">
        <f>"001550"</f>
        <v>0</v>
      </c>
      <c r="G1874" t="s">
        <v>18359</v>
      </c>
    </row>
    <row r="1875" spans="1:7">
      <c r="A1875">
        <v>1874</v>
      </c>
      <c r="B1875" t="str">
        <f>"021690"</f>
        <v>0</v>
      </c>
      <c r="C1875" t="s">
        <v>20704</v>
      </c>
      <c r="D1875" t="s">
        <v>20705</v>
      </c>
      <c r="E1875" t="str">
        <f>"3160101502960"</f>
        <v>0</v>
      </c>
      <c r="F1875" t="str">
        <f>"001550"</f>
        <v>0</v>
      </c>
      <c r="G1875" t="s">
        <v>18359</v>
      </c>
    </row>
    <row r="1876" spans="1:7">
      <c r="A1876">
        <v>1875</v>
      </c>
      <c r="B1876" t="str">
        <f>"021888"</f>
        <v>0</v>
      </c>
      <c r="C1876" t="s">
        <v>197</v>
      </c>
      <c r="D1876" t="s">
        <v>20706</v>
      </c>
      <c r="E1876" t="str">
        <f>"3160200401746"</f>
        <v>0</v>
      </c>
      <c r="F1876" t="str">
        <f>"001550"</f>
        <v>0</v>
      </c>
      <c r="G1876" t="s">
        <v>18359</v>
      </c>
    </row>
    <row r="1877" spans="1:7">
      <c r="A1877">
        <v>1876</v>
      </c>
      <c r="B1877" t="str">
        <f>"022019"</f>
        <v>0</v>
      </c>
      <c r="C1877" t="s">
        <v>118</v>
      </c>
      <c r="D1877" t="s">
        <v>20707</v>
      </c>
      <c r="E1877" t="str">
        <f>"3160100732287"</f>
        <v>0</v>
      </c>
      <c r="F1877" t="str">
        <f>"001550"</f>
        <v>0</v>
      </c>
      <c r="G1877" t="s">
        <v>18359</v>
      </c>
    </row>
    <row r="1878" spans="1:7">
      <c r="A1878">
        <v>1877</v>
      </c>
      <c r="B1878" t="str">
        <f>"022049"</f>
        <v>0</v>
      </c>
      <c r="C1878" t="s">
        <v>1682</v>
      </c>
      <c r="D1878" t="s">
        <v>20708</v>
      </c>
      <c r="E1878" t="str">
        <f>"3169900320798"</f>
        <v>0</v>
      </c>
      <c r="F1878" t="str">
        <f>"001550"</f>
        <v>0</v>
      </c>
      <c r="G1878" t="s">
        <v>18359</v>
      </c>
    </row>
    <row r="1879" spans="1:7">
      <c r="A1879">
        <v>1878</v>
      </c>
      <c r="B1879" t="str">
        <f>"022623"</f>
        <v>0</v>
      </c>
      <c r="C1879" t="s">
        <v>20709</v>
      </c>
      <c r="D1879" t="s">
        <v>20710</v>
      </c>
      <c r="E1879" t="str">
        <f>"1160300014179"</f>
        <v>0</v>
      </c>
      <c r="F1879" t="str">
        <f>"001550"</f>
        <v>0</v>
      </c>
      <c r="G1879" t="s">
        <v>18359</v>
      </c>
    </row>
    <row r="1880" spans="1:7">
      <c r="A1880">
        <v>1879</v>
      </c>
      <c r="B1880" t="str">
        <f>"022901"</f>
        <v>0</v>
      </c>
      <c r="C1880" t="s">
        <v>1229</v>
      </c>
      <c r="D1880" t="s">
        <v>20711</v>
      </c>
      <c r="E1880" t="str">
        <f>"3100503890743"</f>
        <v>0</v>
      </c>
      <c r="F1880" t="str">
        <f>"001550"</f>
        <v>0</v>
      </c>
      <c r="G1880" t="s">
        <v>18359</v>
      </c>
    </row>
    <row r="1881" spans="1:7">
      <c r="A1881">
        <v>1880</v>
      </c>
      <c r="B1881" t="str">
        <f>"024394"</f>
        <v>0</v>
      </c>
      <c r="C1881" t="s">
        <v>963</v>
      </c>
      <c r="D1881" t="s">
        <v>20712</v>
      </c>
      <c r="E1881" t="str">
        <f>"1160100051534"</f>
        <v>0</v>
      </c>
      <c r="F1881" t="str">
        <f>"001550"</f>
        <v>0</v>
      </c>
      <c r="G1881" t="s">
        <v>18359</v>
      </c>
    </row>
    <row r="1882" spans="1:7">
      <c r="A1882">
        <v>1881</v>
      </c>
      <c r="B1882" t="str">
        <f>"027253"</f>
        <v>0</v>
      </c>
      <c r="C1882" t="s">
        <v>1413</v>
      </c>
      <c r="D1882" t="s">
        <v>20713</v>
      </c>
      <c r="E1882" t="str">
        <f>"1839900010133"</f>
        <v>0</v>
      </c>
      <c r="F1882" t="str">
        <f>"001550"</f>
        <v>0</v>
      </c>
      <c r="G1882" t="s">
        <v>18359</v>
      </c>
    </row>
    <row r="1883" spans="1:7">
      <c r="A1883">
        <v>1882</v>
      </c>
      <c r="B1883" t="str">
        <f>"027434"</f>
        <v>0</v>
      </c>
      <c r="C1883" t="s">
        <v>1200</v>
      </c>
      <c r="D1883" t="s">
        <v>20714</v>
      </c>
      <c r="E1883" t="str">
        <f>"1709900474726"</f>
        <v>0</v>
      </c>
      <c r="F1883" t="str">
        <f>"001550"</f>
        <v>0</v>
      </c>
      <c r="G1883" t="s">
        <v>18359</v>
      </c>
    </row>
    <row r="1884" spans="1:7">
      <c r="A1884">
        <v>1883</v>
      </c>
      <c r="B1884" t="str">
        <f>"026787"</f>
        <v>0</v>
      </c>
      <c r="C1884" t="s">
        <v>20715</v>
      </c>
      <c r="D1884" t="s">
        <v>20716</v>
      </c>
      <c r="E1884" t="str">
        <f>"1160200084604"</f>
        <v>0</v>
      </c>
      <c r="F1884" t="str">
        <f>"001550"</f>
        <v>0</v>
      </c>
      <c r="G1884" t="s">
        <v>18359</v>
      </c>
    </row>
    <row r="1885" spans="1:7">
      <c r="A1885">
        <v>1884</v>
      </c>
      <c r="B1885" t="str">
        <f>"026792"</f>
        <v>0</v>
      </c>
      <c r="C1885" t="s">
        <v>20717</v>
      </c>
      <c r="D1885" t="s">
        <v>20718</v>
      </c>
      <c r="E1885" t="str">
        <f>"5650900019706"</f>
        <v>0</v>
      </c>
      <c r="F1885" t="str">
        <f>"001550"</f>
        <v>0</v>
      </c>
      <c r="G1885" t="s">
        <v>18359</v>
      </c>
    </row>
    <row r="1886" spans="1:7">
      <c r="A1886">
        <v>1885</v>
      </c>
      <c r="B1886" t="str">
        <f>"021363"</f>
        <v>0</v>
      </c>
      <c r="C1886" t="s">
        <v>20719</v>
      </c>
      <c r="D1886" t="s">
        <v>20720</v>
      </c>
      <c r="E1886" t="str">
        <f>"3160600165969"</f>
        <v>0</v>
      </c>
      <c r="F1886" t="str">
        <f>"001550"</f>
        <v>0</v>
      </c>
      <c r="G1886" t="s">
        <v>18359</v>
      </c>
    </row>
    <row r="1887" spans="1:7">
      <c r="A1887">
        <v>1886</v>
      </c>
      <c r="B1887" t="str">
        <f>"022902"</f>
        <v>0</v>
      </c>
      <c r="C1887" t="s">
        <v>311</v>
      </c>
      <c r="D1887" t="s">
        <v>20721</v>
      </c>
      <c r="E1887" t="str">
        <f>"3310700744811"</f>
        <v>0</v>
      </c>
      <c r="F1887" t="str">
        <f>"001550"</f>
        <v>0</v>
      </c>
      <c r="G1887" t="s">
        <v>18359</v>
      </c>
    </row>
    <row r="1888" spans="1:7">
      <c r="A1888">
        <v>1887</v>
      </c>
      <c r="B1888" t="str">
        <f>"024392"</f>
        <v>0</v>
      </c>
      <c r="C1888" t="s">
        <v>20722</v>
      </c>
      <c r="D1888" t="s">
        <v>20723</v>
      </c>
      <c r="E1888" t="str">
        <f>"1360900002170"</f>
        <v>0</v>
      </c>
      <c r="F1888" t="str">
        <f>"001550"</f>
        <v>0</v>
      </c>
      <c r="G1888" t="s">
        <v>18359</v>
      </c>
    </row>
    <row r="1889" spans="1:7">
      <c r="A1889">
        <v>1888</v>
      </c>
      <c r="B1889" t="str">
        <f>"024659"</f>
        <v>0</v>
      </c>
      <c r="C1889" t="s">
        <v>5524</v>
      </c>
      <c r="D1889" t="s">
        <v>20724</v>
      </c>
      <c r="E1889" t="str">
        <f>"1509900383501"</f>
        <v>0</v>
      </c>
      <c r="F1889" t="str">
        <f>"001550"</f>
        <v>0</v>
      </c>
      <c r="G1889" t="s">
        <v>18359</v>
      </c>
    </row>
    <row r="1890" spans="1:7">
      <c r="A1890">
        <v>1889</v>
      </c>
      <c r="B1890" t="str">
        <f>"026790"</f>
        <v>0</v>
      </c>
      <c r="C1890" t="s">
        <v>20725</v>
      </c>
      <c r="D1890" t="s">
        <v>20726</v>
      </c>
      <c r="E1890" t="str">
        <f>"1609700148486"</f>
        <v>0</v>
      </c>
      <c r="F1890" t="str">
        <f>"001550"</f>
        <v>0</v>
      </c>
      <c r="G1890" t="s">
        <v>18359</v>
      </c>
    </row>
    <row r="1891" spans="1:7">
      <c r="A1891">
        <v>1890</v>
      </c>
      <c r="B1891" t="str">
        <f>"024583"</f>
        <v>0</v>
      </c>
      <c r="C1891" t="s">
        <v>1400</v>
      </c>
      <c r="D1891" t="s">
        <v>20035</v>
      </c>
      <c r="E1891" t="str">
        <f>"1769900262125"</f>
        <v>0</v>
      </c>
      <c r="F1891" t="str">
        <f>"001550"</f>
        <v>0</v>
      </c>
      <c r="G1891" t="s">
        <v>18359</v>
      </c>
    </row>
    <row r="1892" spans="1:7">
      <c r="A1892">
        <v>1891</v>
      </c>
      <c r="B1892" t="str">
        <f>"015618"</f>
        <v>0</v>
      </c>
      <c r="C1892" t="s">
        <v>6737</v>
      </c>
      <c r="D1892" t="s">
        <v>4103</v>
      </c>
      <c r="E1892" t="str">
        <f>"3180100086938"</f>
        <v>0</v>
      </c>
      <c r="F1892" t="str">
        <f>"001550"</f>
        <v>0</v>
      </c>
      <c r="G1892" t="s">
        <v>18359</v>
      </c>
    </row>
    <row r="1893" spans="1:7">
      <c r="A1893">
        <v>1892</v>
      </c>
      <c r="B1893" t="str">
        <f>"021789"</f>
        <v>0</v>
      </c>
      <c r="C1893" t="s">
        <v>20727</v>
      </c>
      <c r="D1893" t="s">
        <v>16806</v>
      </c>
      <c r="E1893" t="str">
        <f>"1100700034266"</f>
        <v>0</v>
      </c>
      <c r="F1893" t="str">
        <f>"001550"</f>
        <v>0</v>
      </c>
      <c r="G1893" t="s">
        <v>18359</v>
      </c>
    </row>
    <row r="1894" spans="1:7">
      <c r="A1894">
        <v>1893</v>
      </c>
      <c r="B1894" t="str">
        <f>"027539"</f>
        <v>0</v>
      </c>
      <c r="C1894" t="s">
        <v>2379</v>
      </c>
      <c r="D1894" t="s">
        <v>20728</v>
      </c>
      <c r="E1894" t="str">
        <f>"3160101712859"</f>
        <v>0</v>
      </c>
      <c r="F1894" t="str">
        <f>"001550"</f>
        <v>0</v>
      </c>
      <c r="G1894" t="s">
        <v>18359</v>
      </c>
    </row>
    <row r="1895" spans="1:7">
      <c r="A1895">
        <v>1894</v>
      </c>
      <c r="B1895" t="str">
        <f>"027598"</f>
        <v>0</v>
      </c>
      <c r="C1895" t="s">
        <v>20729</v>
      </c>
      <c r="D1895" t="s">
        <v>20730</v>
      </c>
      <c r="E1895" t="str">
        <f>"1839900277032"</f>
        <v>0</v>
      </c>
      <c r="F1895" t="str">
        <f>"001550"</f>
        <v>0</v>
      </c>
      <c r="G1895" t="s">
        <v>18359</v>
      </c>
    </row>
    <row r="1896" spans="1:7">
      <c r="A1896">
        <v>1895</v>
      </c>
      <c r="B1896" t="str">
        <f>"027600"</f>
        <v>0</v>
      </c>
      <c r="C1896" t="s">
        <v>16522</v>
      </c>
      <c r="D1896" t="s">
        <v>20731</v>
      </c>
      <c r="E1896" t="str">
        <f>"1309800120527"</f>
        <v>0</v>
      </c>
      <c r="F1896" t="str">
        <f>"001550"</f>
        <v>0</v>
      </c>
      <c r="G1896" t="s">
        <v>18359</v>
      </c>
    </row>
    <row r="1897" spans="1:7">
      <c r="A1897">
        <v>1896</v>
      </c>
      <c r="B1897" t="str">
        <f>"027602"</f>
        <v>0</v>
      </c>
      <c r="C1897" t="s">
        <v>20732</v>
      </c>
      <c r="D1897" t="s">
        <v>6198</v>
      </c>
      <c r="E1897" t="str">
        <f>"1939900176154"</f>
        <v>0</v>
      </c>
      <c r="F1897" t="str">
        <f>"001550"</f>
        <v>0</v>
      </c>
      <c r="G1897" t="s">
        <v>18359</v>
      </c>
    </row>
    <row r="1898" spans="1:7">
      <c r="A1898">
        <v>1897</v>
      </c>
      <c r="B1898" t="str">
        <f>"027604"</f>
        <v>0</v>
      </c>
      <c r="C1898" t="s">
        <v>20733</v>
      </c>
      <c r="D1898" t="s">
        <v>20730</v>
      </c>
      <c r="E1898" t="str">
        <f>"1959900134346"</f>
        <v>0</v>
      </c>
      <c r="F1898" t="str">
        <f>"001550"</f>
        <v>0</v>
      </c>
      <c r="G1898" t="s">
        <v>18359</v>
      </c>
    </row>
    <row r="1899" spans="1:7">
      <c r="A1899">
        <v>1898</v>
      </c>
      <c r="B1899" t="str">
        <f>"001117"</f>
        <v>0</v>
      </c>
      <c r="C1899" t="s">
        <v>2529</v>
      </c>
      <c r="D1899" t="s">
        <v>20734</v>
      </c>
      <c r="E1899" t="str">
        <f>"3521200254546"</f>
        <v>0</v>
      </c>
      <c r="F1899" t="str">
        <f>"001580"</f>
        <v>0</v>
      </c>
      <c r="G1899" t="s">
        <v>18359</v>
      </c>
    </row>
    <row r="1900" spans="1:7">
      <c r="A1900">
        <v>1899</v>
      </c>
      <c r="B1900" t="str">
        <f>"001812"</f>
        <v>0</v>
      </c>
      <c r="C1900" t="s">
        <v>2441</v>
      </c>
      <c r="D1900" t="s">
        <v>20735</v>
      </c>
      <c r="E1900" t="str">
        <f>"3520900138238"</f>
        <v>0</v>
      </c>
      <c r="F1900" t="str">
        <f>"001580"</f>
        <v>0</v>
      </c>
      <c r="G1900" t="s">
        <v>18359</v>
      </c>
    </row>
    <row r="1901" spans="1:7">
      <c r="A1901">
        <v>1900</v>
      </c>
      <c r="B1901" t="str">
        <f>"002848"</f>
        <v>0</v>
      </c>
      <c r="C1901" t="s">
        <v>2027</v>
      </c>
      <c r="D1901" t="s">
        <v>20736</v>
      </c>
      <c r="E1901" t="str">
        <f>"3520800155050"</f>
        <v>0</v>
      </c>
      <c r="F1901" t="str">
        <f>"001580"</f>
        <v>0</v>
      </c>
      <c r="G1901" t="s">
        <v>18359</v>
      </c>
    </row>
    <row r="1902" spans="1:7">
      <c r="A1902">
        <v>1901</v>
      </c>
      <c r="B1902" t="str">
        <f>"003361"</f>
        <v>0</v>
      </c>
      <c r="C1902" t="s">
        <v>20737</v>
      </c>
      <c r="D1902" t="s">
        <v>20738</v>
      </c>
      <c r="E1902" t="str">
        <f>"3510600360156"</f>
        <v>0</v>
      </c>
      <c r="F1902" t="str">
        <f>"001580"</f>
        <v>0</v>
      </c>
      <c r="G1902" t="s">
        <v>18359</v>
      </c>
    </row>
    <row r="1903" spans="1:7">
      <c r="A1903">
        <v>1902</v>
      </c>
      <c r="B1903" t="str">
        <f>"004335"</f>
        <v>0</v>
      </c>
      <c r="C1903" t="s">
        <v>2608</v>
      </c>
      <c r="D1903" t="s">
        <v>9357</v>
      </c>
      <c r="E1903" t="str">
        <f>"3669900169866"</f>
        <v>0</v>
      </c>
      <c r="F1903" t="str">
        <f>"001580"</f>
        <v>0</v>
      </c>
      <c r="G1903" t="s">
        <v>18359</v>
      </c>
    </row>
    <row r="1904" spans="1:7">
      <c r="A1904">
        <v>1903</v>
      </c>
      <c r="B1904" t="str">
        <f>"004430"</f>
        <v>0</v>
      </c>
      <c r="C1904" t="s">
        <v>2902</v>
      </c>
      <c r="D1904" t="s">
        <v>12994</v>
      </c>
      <c r="E1904" t="str">
        <f>"3520600251381"</f>
        <v>0</v>
      </c>
      <c r="F1904" t="str">
        <f>"001580"</f>
        <v>0</v>
      </c>
      <c r="G1904" t="s">
        <v>18359</v>
      </c>
    </row>
    <row r="1905" spans="1:7">
      <c r="A1905">
        <v>1904</v>
      </c>
      <c r="B1905" t="str">
        <f>"004825"</f>
        <v>0</v>
      </c>
      <c r="C1905" t="s">
        <v>7255</v>
      </c>
      <c r="D1905" t="s">
        <v>6339</v>
      </c>
      <c r="E1905" t="str">
        <f>"3520100492738"</f>
        <v>0</v>
      </c>
      <c r="F1905" t="str">
        <f>"001580"</f>
        <v>0</v>
      </c>
      <c r="G1905" t="s">
        <v>18359</v>
      </c>
    </row>
    <row r="1906" spans="1:7">
      <c r="A1906">
        <v>1905</v>
      </c>
      <c r="B1906" t="str">
        <f>"005320"</f>
        <v>0</v>
      </c>
      <c r="C1906" t="s">
        <v>20739</v>
      </c>
      <c r="D1906" t="s">
        <v>20740</v>
      </c>
      <c r="E1906" t="str">
        <f>"3520300019831"</f>
        <v>0</v>
      </c>
      <c r="F1906" t="str">
        <f>"001580"</f>
        <v>0</v>
      </c>
      <c r="G1906" t="s">
        <v>18359</v>
      </c>
    </row>
    <row r="1907" spans="1:7">
      <c r="A1907">
        <v>1906</v>
      </c>
      <c r="B1907" t="str">
        <f>"005461"</f>
        <v>0</v>
      </c>
      <c r="C1907" t="s">
        <v>20384</v>
      </c>
      <c r="D1907" t="s">
        <v>20741</v>
      </c>
      <c r="E1907" t="str">
        <f>"3520600015858"</f>
        <v>0</v>
      </c>
      <c r="F1907" t="str">
        <f>"001580"</f>
        <v>0</v>
      </c>
      <c r="G1907" t="s">
        <v>18359</v>
      </c>
    </row>
    <row r="1908" spans="1:7">
      <c r="A1908">
        <v>1907</v>
      </c>
      <c r="B1908" t="str">
        <f>"005673"</f>
        <v>0</v>
      </c>
      <c r="C1908" t="s">
        <v>217</v>
      </c>
      <c r="D1908" t="s">
        <v>20742</v>
      </c>
      <c r="E1908" t="str">
        <f>"3520101587261"</f>
        <v>0</v>
      </c>
      <c r="F1908" t="str">
        <f>"001580"</f>
        <v>0</v>
      </c>
      <c r="G1908" t="s">
        <v>18359</v>
      </c>
    </row>
    <row r="1909" spans="1:7">
      <c r="A1909">
        <v>1908</v>
      </c>
      <c r="B1909" t="str">
        <f>"005679"</f>
        <v>0</v>
      </c>
      <c r="C1909" t="s">
        <v>326</v>
      </c>
      <c r="D1909" t="s">
        <v>20743</v>
      </c>
      <c r="E1909" t="str">
        <f>"3521000439275"</f>
        <v>0</v>
      </c>
      <c r="F1909" t="str">
        <f>"001580"</f>
        <v>0</v>
      </c>
      <c r="G1909" t="s">
        <v>18359</v>
      </c>
    </row>
    <row r="1910" spans="1:7">
      <c r="A1910">
        <v>1909</v>
      </c>
      <c r="B1910" t="str">
        <f>"005683"</f>
        <v>0</v>
      </c>
      <c r="C1910" t="s">
        <v>4969</v>
      </c>
      <c r="D1910" t="s">
        <v>20744</v>
      </c>
      <c r="E1910" t="str">
        <f>"3521100019502"</f>
        <v>0</v>
      </c>
      <c r="F1910" t="str">
        <f>"001580"</f>
        <v>0</v>
      </c>
      <c r="G1910" t="s">
        <v>18359</v>
      </c>
    </row>
    <row r="1911" spans="1:7">
      <c r="A1911">
        <v>1910</v>
      </c>
      <c r="B1911" t="str">
        <f>"009980"</f>
        <v>0</v>
      </c>
      <c r="C1911" t="s">
        <v>20745</v>
      </c>
      <c r="D1911" t="s">
        <v>15396</v>
      </c>
      <c r="E1911" t="str">
        <f>"3520600360369"</f>
        <v>0</v>
      </c>
      <c r="F1911" t="str">
        <f>"001580"</f>
        <v>0</v>
      </c>
      <c r="G1911" t="s">
        <v>18359</v>
      </c>
    </row>
    <row r="1912" spans="1:7">
      <c r="A1912">
        <v>1911</v>
      </c>
      <c r="B1912" t="str">
        <f>"004829"</f>
        <v>0</v>
      </c>
      <c r="C1912" t="s">
        <v>2608</v>
      </c>
      <c r="D1912" t="s">
        <v>20746</v>
      </c>
      <c r="E1912" t="str">
        <f>"3529900281454"</f>
        <v>0</v>
      </c>
      <c r="F1912" t="str">
        <f>"001580"</f>
        <v>0</v>
      </c>
      <c r="G1912" t="s">
        <v>18359</v>
      </c>
    </row>
    <row r="1913" spans="1:7">
      <c r="A1913">
        <v>1912</v>
      </c>
      <c r="B1913" t="str">
        <f>"024411"</f>
        <v>0</v>
      </c>
      <c r="C1913" t="s">
        <v>19917</v>
      </c>
      <c r="D1913" t="s">
        <v>20747</v>
      </c>
      <c r="E1913" t="str">
        <f>"1529900190584"</f>
        <v>0</v>
      </c>
      <c r="F1913" t="str">
        <f>"001580"</f>
        <v>0</v>
      </c>
      <c r="G1913" t="s">
        <v>18359</v>
      </c>
    </row>
    <row r="1914" spans="1:7">
      <c r="A1914">
        <v>1913</v>
      </c>
      <c r="B1914" t="str">
        <f>"013799"</f>
        <v>0</v>
      </c>
      <c r="C1914" t="s">
        <v>3791</v>
      </c>
      <c r="D1914" t="s">
        <v>13404</v>
      </c>
      <c r="E1914" t="str">
        <f>"3520300096020"</f>
        <v>0</v>
      </c>
      <c r="F1914" t="str">
        <f>"001580"</f>
        <v>0</v>
      </c>
      <c r="G1914" t="s">
        <v>18359</v>
      </c>
    </row>
    <row r="1915" spans="1:7">
      <c r="A1915">
        <v>1914</v>
      </c>
      <c r="B1915" t="str">
        <f>"019094"</f>
        <v>0</v>
      </c>
      <c r="C1915" t="s">
        <v>7266</v>
      </c>
      <c r="D1915" t="s">
        <v>20748</v>
      </c>
      <c r="E1915" t="str">
        <f>"3571100183621"</f>
        <v>0</v>
      </c>
      <c r="F1915" t="str">
        <f>"001580"</f>
        <v>0</v>
      </c>
      <c r="G1915" t="s">
        <v>18359</v>
      </c>
    </row>
    <row r="1916" spans="1:7">
      <c r="A1916">
        <v>1915</v>
      </c>
      <c r="B1916" t="str">
        <f>"019981"</f>
        <v>0</v>
      </c>
      <c r="C1916" t="s">
        <v>20749</v>
      </c>
      <c r="D1916" t="s">
        <v>20750</v>
      </c>
      <c r="E1916" t="str">
        <f>"3520100584748"</f>
        <v>0</v>
      </c>
      <c r="F1916" t="str">
        <f>"001580"</f>
        <v>0</v>
      </c>
      <c r="G1916" t="s">
        <v>18359</v>
      </c>
    </row>
    <row r="1917" spans="1:7">
      <c r="A1917">
        <v>1916</v>
      </c>
      <c r="B1917" t="str">
        <f>"021996"</f>
        <v>0</v>
      </c>
      <c r="C1917" t="s">
        <v>20751</v>
      </c>
      <c r="D1917" t="s">
        <v>20752</v>
      </c>
      <c r="E1917" t="str">
        <f>"3302100539291"</f>
        <v>0</v>
      </c>
      <c r="F1917" t="str">
        <f>"001580"</f>
        <v>0</v>
      </c>
      <c r="G1917" t="s">
        <v>18359</v>
      </c>
    </row>
    <row r="1918" spans="1:7">
      <c r="A1918">
        <v>1917</v>
      </c>
      <c r="B1918" t="str">
        <f>"022093"</f>
        <v>0</v>
      </c>
      <c r="C1918" t="s">
        <v>12220</v>
      </c>
      <c r="D1918" t="s">
        <v>20753</v>
      </c>
      <c r="E1918" t="str">
        <f>"3930100865140"</f>
        <v>0</v>
      </c>
      <c r="F1918" t="str">
        <f>"001580"</f>
        <v>0</v>
      </c>
      <c r="G1918" t="s">
        <v>18359</v>
      </c>
    </row>
    <row r="1919" spans="1:7">
      <c r="A1919">
        <v>1918</v>
      </c>
      <c r="B1919" t="str">
        <f>"023572"</f>
        <v>0</v>
      </c>
      <c r="C1919" t="s">
        <v>20754</v>
      </c>
      <c r="D1919" t="s">
        <v>20755</v>
      </c>
      <c r="E1919" t="str">
        <f>"1529900190801"</f>
        <v>0</v>
      </c>
      <c r="F1919" t="str">
        <f>"001580"</f>
        <v>0</v>
      </c>
      <c r="G1919" t="s">
        <v>18359</v>
      </c>
    </row>
    <row r="1920" spans="1:7">
      <c r="A1920">
        <v>1919</v>
      </c>
      <c r="B1920" t="str">
        <f>"023730"</f>
        <v>0</v>
      </c>
      <c r="C1920" t="s">
        <v>20756</v>
      </c>
      <c r="D1920" t="s">
        <v>20757</v>
      </c>
      <c r="E1920" t="str">
        <f>"1520100093306"</f>
        <v>0</v>
      </c>
      <c r="F1920" t="str">
        <f>"001580"</f>
        <v>0</v>
      </c>
      <c r="G1920" t="s">
        <v>18359</v>
      </c>
    </row>
    <row r="1921" spans="1:7">
      <c r="A1921">
        <v>1920</v>
      </c>
      <c r="B1921" t="str">
        <f>"024067"</f>
        <v>0</v>
      </c>
      <c r="C1921" t="s">
        <v>20758</v>
      </c>
      <c r="D1921" t="s">
        <v>20759</v>
      </c>
      <c r="E1921" t="str">
        <f>"1529900125545"</f>
        <v>0</v>
      </c>
      <c r="F1921" t="str">
        <f>"001580"</f>
        <v>0</v>
      </c>
      <c r="G1921" t="s">
        <v>18359</v>
      </c>
    </row>
    <row r="1922" spans="1:7">
      <c r="A1922">
        <v>1921</v>
      </c>
      <c r="B1922" t="str">
        <f>"025098"</f>
        <v>0</v>
      </c>
      <c r="C1922" t="s">
        <v>6584</v>
      </c>
      <c r="D1922" t="s">
        <v>20760</v>
      </c>
      <c r="E1922" t="str">
        <f>"3520200004565"</f>
        <v>0</v>
      </c>
      <c r="F1922" t="str">
        <f>"001580"</f>
        <v>0</v>
      </c>
      <c r="G1922" t="s">
        <v>18359</v>
      </c>
    </row>
    <row r="1923" spans="1:7">
      <c r="A1923">
        <v>1922</v>
      </c>
      <c r="B1923" t="str">
        <f>"009852"</f>
        <v>0</v>
      </c>
      <c r="C1923" t="s">
        <v>36</v>
      </c>
      <c r="D1923" t="s">
        <v>20761</v>
      </c>
      <c r="E1923" t="str">
        <f>"3540500161755"</f>
        <v>0</v>
      </c>
      <c r="F1923" t="str">
        <f>"001580"</f>
        <v>0</v>
      </c>
      <c r="G1923" t="s">
        <v>18359</v>
      </c>
    </row>
    <row r="1924" spans="1:7">
      <c r="A1924">
        <v>1923</v>
      </c>
      <c r="B1924" t="str">
        <f>"006067"</f>
        <v>0</v>
      </c>
      <c r="C1924" t="s">
        <v>5338</v>
      </c>
      <c r="D1924" t="s">
        <v>13246</v>
      </c>
      <c r="E1924" t="str">
        <f>"3510600603792"</f>
        <v>0</v>
      </c>
      <c r="F1924" t="str">
        <f>"001600"</f>
        <v>0</v>
      </c>
      <c r="G1924" t="s">
        <v>18359</v>
      </c>
    </row>
    <row r="1925" spans="1:7">
      <c r="A1925">
        <v>1924</v>
      </c>
      <c r="B1925" t="str">
        <f>"006564"</f>
        <v>0</v>
      </c>
      <c r="C1925" t="s">
        <v>12098</v>
      </c>
      <c r="D1925" t="s">
        <v>17685</v>
      </c>
      <c r="E1925" t="str">
        <f>"3630100499707"</f>
        <v>0</v>
      </c>
      <c r="F1925" t="str">
        <f>"001600"</f>
        <v>0</v>
      </c>
      <c r="G1925" t="s">
        <v>18359</v>
      </c>
    </row>
    <row r="1926" spans="1:7">
      <c r="A1926">
        <v>1925</v>
      </c>
      <c r="B1926" t="str">
        <f>"007027"</f>
        <v>0</v>
      </c>
      <c r="C1926" t="s">
        <v>3419</v>
      </c>
      <c r="D1926" t="s">
        <v>13338</v>
      </c>
      <c r="E1926" t="str">
        <f>"3560300833911"</f>
        <v>0</v>
      </c>
      <c r="F1926" t="str">
        <f>"001600"</f>
        <v>0</v>
      </c>
      <c r="G1926" t="s">
        <v>18359</v>
      </c>
    </row>
    <row r="1927" spans="1:7">
      <c r="A1927">
        <v>1926</v>
      </c>
      <c r="B1927" t="str">
        <f>"008188"</f>
        <v>0</v>
      </c>
      <c r="C1927" t="s">
        <v>20762</v>
      </c>
      <c r="D1927" t="s">
        <v>20763</v>
      </c>
      <c r="E1927" t="str">
        <f>"3510300011431"</f>
        <v>0</v>
      </c>
      <c r="F1927" t="str">
        <f>"001600"</f>
        <v>0</v>
      </c>
      <c r="G1927" t="s">
        <v>18359</v>
      </c>
    </row>
    <row r="1928" spans="1:7">
      <c r="A1928">
        <v>1927</v>
      </c>
      <c r="B1928" t="str">
        <f>"010856"</f>
        <v>0</v>
      </c>
      <c r="C1928" t="s">
        <v>576</v>
      </c>
      <c r="D1928" t="s">
        <v>20764</v>
      </c>
      <c r="E1928" t="str">
        <f>"3510300051204"</f>
        <v>0</v>
      </c>
      <c r="F1928" t="str">
        <f>"001600"</f>
        <v>0</v>
      </c>
      <c r="G1928" t="s">
        <v>18359</v>
      </c>
    </row>
    <row r="1929" spans="1:7">
      <c r="A1929">
        <v>1928</v>
      </c>
      <c r="B1929" t="str">
        <f>"011981"</f>
        <v>0</v>
      </c>
      <c r="C1929" t="s">
        <v>191</v>
      </c>
      <c r="D1929" t="s">
        <v>20765</v>
      </c>
      <c r="E1929" t="str">
        <f>"3510600602931"</f>
        <v>0</v>
      </c>
      <c r="F1929" t="str">
        <f>"001600"</f>
        <v>0</v>
      </c>
      <c r="G1929" t="s">
        <v>18359</v>
      </c>
    </row>
    <row r="1930" spans="1:7">
      <c r="A1930">
        <v>1929</v>
      </c>
      <c r="B1930" t="str">
        <f>"013239"</f>
        <v>0</v>
      </c>
      <c r="C1930" t="s">
        <v>7295</v>
      </c>
      <c r="D1930" t="s">
        <v>20766</v>
      </c>
      <c r="E1930" t="str">
        <f>"3510100570364"</f>
        <v>0</v>
      </c>
      <c r="F1930" t="str">
        <f>"001600"</f>
        <v>0</v>
      </c>
      <c r="G1930" t="s">
        <v>18359</v>
      </c>
    </row>
    <row r="1931" spans="1:7">
      <c r="A1931">
        <v>1930</v>
      </c>
      <c r="B1931" t="str">
        <f>"005283"</f>
        <v>0</v>
      </c>
      <c r="C1931" t="s">
        <v>3746</v>
      </c>
      <c r="D1931" t="s">
        <v>20767</v>
      </c>
      <c r="E1931" t="str">
        <f>"3510101146256"</f>
        <v>0</v>
      </c>
      <c r="F1931" t="str">
        <f>"001600"</f>
        <v>0</v>
      </c>
      <c r="G1931" t="s">
        <v>18359</v>
      </c>
    </row>
    <row r="1932" spans="1:7">
      <c r="A1932">
        <v>1931</v>
      </c>
      <c r="B1932" t="str">
        <f>"021968"</f>
        <v>0</v>
      </c>
      <c r="C1932" t="s">
        <v>20768</v>
      </c>
      <c r="D1932" t="s">
        <v>20769</v>
      </c>
      <c r="E1932" t="str">
        <f>"3450700737970"</f>
        <v>0</v>
      </c>
      <c r="F1932" t="str">
        <f>"001600"</f>
        <v>0</v>
      </c>
      <c r="G1932" t="s">
        <v>18359</v>
      </c>
    </row>
    <row r="1933" spans="1:7">
      <c r="A1933">
        <v>1932</v>
      </c>
      <c r="B1933" t="str">
        <f>"017306"</f>
        <v>0</v>
      </c>
      <c r="C1933" t="s">
        <v>15390</v>
      </c>
      <c r="D1933" t="s">
        <v>20770</v>
      </c>
      <c r="E1933" t="str">
        <f>"3501100064737"</f>
        <v>0</v>
      </c>
      <c r="F1933" t="str">
        <f>"001600"</f>
        <v>0</v>
      </c>
      <c r="G1933" t="s">
        <v>18359</v>
      </c>
    </row>
    <row r="1934" spans="1:7">
      <c r="A1934">
        <v>1933</v>
      </c>
      <c r="B1934" t="str">
        <f>"021013"</f>
        <v>0</v>
      </c>
      <c r="C1934" t="s">
        <v>20771</v>
      </c>
      <c r="D1934" t="s">
        <v>20772</v>
      </c>
      <c r="E1934" t="str">
        <f>"3501900132451"</f>
        <v>0</v>
      </c>
      <c r="F1934" t="str">
        <f>"001600"</f>
        <v>0</v>
      </c>
      <c r="G1934" t="s">
        <v>18359</v>
      </c>
    </row>
    <row r="1935" spans="1:7">
      <c r="A1935">
        <v>1934</v>
      </c>
      <c r="B1935" t="str">
        <f>"021763"</f>
        <v>0</v>
      </c>
      <c r="C1935" t="s">
        <v>5201</v>
      </c>
      <c r="D1935" t="s">
        <v>20773</v>
      </c>
      <c r="E1935" t="str">
        <f>"3501200280377"</f>
        <v>0</v>
      </c>
      <c r="F1935" t="str">
        <f>"001600"</f>
        <v>0</v>
      </c>
      <c r="G1935" t="s">
        <v>18359</v>
      </c>
    </row>
    <row r="1936" spans="1:7">
      <c r="A1936">
        <v>1935</v>
      </c>
      <c r="B1936" t="str">
        <f>"022773"</f>
        <v>0</v>
      </c>
      <c r="C1936" t="s">
        <v>20774</v>
      </c>
      <c r="D1936" t="s">
        <v>20775</v>
      </c>
      <c r="E1936" t="str">
        <f>"3509900609379"</f>
        <v>0</v>
      </c>
      <c r="F1936" t="str">
        <f>"001600"</f>
        <v>0</v>
      </c>
      <c r="G1936" t="s">
        <v>18359</v>
      </c>
    </row>
    <row r="1937" spans="1:7">
      <c r="A1937">
        <v>1936</v>
      </c>
      <c r="B1937" t="str">
        <f>"023081"</f>
        <v>0</v>
      </c>
      <c r="C1937" t="s">
        <v>20776</v>
      </c>
      <c r="D1937" t="s">
        <v>20777</v>
      </c>
      <c r="E1937" t="str">
        <f>"3501300274557"</f>
        <v>0</v>
      </c>
      <c r="F1937" t="str">
        <f>"001600"</f>
        <v>0</v>
      </c>
      <c r="G1937" t="s">
        <v>18359</v>
      </c>
    </row>
    <row r="1938" spans="1:7">
      <c r="A1938">
        <v>1937</v>
      </c>
      <c r="B1938" t="str">
        <f>"023679"</f>
        <v>0</v>
      </c>
      <c r="C1938" t="s">
        <v>1204</v>
      </c>
      <c r="D1938" t="s">
        <v>20778</v>
      </c>
      <c r="E1938" t="str">
        <f>"3500500528705"</f>
        <v>0</v>
      </c>
      <c r="F1938" t="str">
        <f>"001600"</f>
        <v>0</v>
      </c>
      <c r="G1938" t="s">
        <v>18359</v>
      </c>
    </row>
    <row r="1939" spans="1:7">
      <c r="A1939">
        <v>1938</v>
      </c>
      <c r="B1939" t="str">
        <f>"024374"</f>
        <v>0</v>
      </c>
      <c r="C1939" t="s">
        <v>5524</v>
      </c>
      <c r="D1939" t="s">
        <v>20779</v>
      </c>
      <c r="E1939" t="str">
        <f>"3501200879694"</f>
        <v>0</v>
      </c>
      <c r="F1939" t="str">
        <f>"001600"</f>
        <v>0</v>
      </c>
      <c r="G1939" t="s">
        <v>18359</v>
      </c>
    </row>
    <row r="1940" spans="1:7">
      <c r="A1940">
        <v>1939</v>
      </c>
      <c r="B1940" t="str">
        <f>"024550"</f>
        <v>0</v>
      </c>
      <c r="C1940" t="s">
        <v>20780</v>
      </c>
      <c r="D1940" t="s">
        <v>20781</v>
      </c>
      <c r="E1940" t="str">
        <f>"1550500025073"</f>
        <v>0</v>
      </c>
      <c r="F1940" t="str">
        <f>"001600"</f>
        <v>0</v>
      </c>
      <c r="G1940" t="s">
        <v>18359</v>
      </c>
    </row>
    <row r="1941" spans="1:7">
      <c r="A1941">
        <v>1940</v>
      </c>
      <c r="B1941" t="str">
        <f>"026494"</f>
        <v>0</v>
      </c>
      <c r="C1941" t="s">
        <v>20782</v>
      </c>
      <c r="D1941" t="s">
        <v>20783</v>
      </c>
      <c r="E1941" t="str">
        <f>"1509900786452"</f>
        <v>0</v>
      </c>
      <c r="F1941" t="str">
        <f>"001600"</f>
        <v>0</v>
      </c>
      <c r="G1941" t="s">
        <v>18359</v>
      </c>
    </row>
    <row r="1942" spans="1:7">
      <c r="A1942">
        <v>1941</v>
      </c>
      <c r="B1942" t="str">
        <f>"026527"</f>
        <v>0</v>
      </c>
      <c r="C1942" t="s">
        <v>20784</v>
      </c>
      <c r="D1942" t="s">
        <v>20785</v>
      </c>
      <c r="E1942" t="str">
        <f>"1510400016986"</f>
        <v>0</v>
      </c>
      <c r="F1942" t="str">
        <f>"001600"</f>
        <v>0</v>
      </c>
      <c r="G1942" t="s">
        <v>18359</v>
      </c>
    </row>
    <row r="1943" spans="1:7">
      <c r="A1943">
        <v>1942</v>
      </c>
      <c r="B1943" t="str">
        <f>"008624"</f>
        <v>0</v>
      </c>
      <c r="C1943" t="s">
        <v>12864</v>
      </c>
      <c r="D1943" t="s">
        <v>20786</v>
      </c>
      <c r="E1943" t="str">
        <f>"3519900074581"</f>
        <v>0</v>
      </c>
      <c r="F1943" t="str">
        <f>"001600"</f>
        <v>0</v>
      </c>
      <c r="G1943" t="s">
        <v>18359</v>
      </c>
    </row>
    <row r="1944" spans="1:7">
      <c r="A1944">
        <v>1943</v>
      </c>
      <c r="B1944" t="str">
        <f>"009871"</f>
        <v>0</v>
      </c>
      <c r="C1944" t="s">
        <v>927</v>
      </c>
      <c r="D1944" t="s">
        <v>20787</v>
      </c>
      <c r="E1944" t="str">
        <f>"3510100410588"</f>
        <v>0</v>
      </c>
      <c r="F1944" t="str">
        <f>"001600"</f>
        <v>0</v>
      </c>
      <c r="G1944" t="s">
        <v>18359</v>
      </c>
    </row>
    <row r="1945" spans="1:7">
      <c r="A1945">
        <v>1944</v>
      </c>
      <c r="B1945" t="str">
        <f>"010673"</f>
        <v>0</v>
      </c>
      <c r="C1945" t="s">
        <v>1410</v>
      </c>
      <c r="D1945" t="s">
        <v>20788</v>
      </c>
      <c r="E1945" t="str">
        <f>"3519900122151"</f>
        <v>0</v>
      </c>
      <c r="F1945" t="str">
        <f>"001600"</f>
        <v>0</v>
      </c>
      <c r="G1945" t="s">
        <v>18359</v>
      </c>
    </row>
    <row r="1946" spans="1:7">
      <c r="A1946">
        <v>1945</v>
      </c>
      <c r="B1946" t="str">
        <f>"011936"</f>
        <v>0</v>
      </c>
      <c r="C1946" t="s">
        <v>20789</v>
      </c>
      <c r="D1946" t="s">
        <v>20790</v>
      </c>
      <c r="E1946" t="str">
        <f>"3510200392875"</f>
        <v>0</v>
      </c>
      <c r="F1946" t="str">
        <f>"001600"</f>
        <v>0</v>
      </c>
      <c r="G1946" t="s">
        <v>18359</v>
      </c>
    </row>
    <row r="1947" spans="1:7">
      <c r="A1947">
        <v>1946</v>
      </c>
      <c r="B1947" t="str">
        <f>"020953"</f>
        <v>0</v>
      </c>
      <c r="C1947" t="s">
        <v>20791</v>
      </c>
      <c r="D1947" t="s">
        <v>20792</v>
      </c>
      <c r="E1947" t="str">
        <f>"3510400508940"</f>
        <v>0</v>
      </c>
      <c r="F1947" t="str">
        <f>"001600"</f>
        <v>0</v>
      </c>
      <c r="G1947" t="s">
        <v>18359</v>
      </c>
    </row>
    <row r="1948" spans="1:7">
      <c r="A1948">
        <v>1947</v>
      </c>
      <c r="B1948" t="str">
        <f>"021762"</f>
        <v>0</v>
      </c>
      <c r="C1948" t="s">
        <v>2216</v>
      </c>
      <c r="D1948" t="s">
        <v>20793</v>
      </c>
      <c r="E1948" t="str">
        <f>"3519900121953"</f>
        <v>0</v>
      </c>
      <c r="F1948" t="str">
        <f>"001600"</f>
        <v>0</v>
      </c>
      <c r="G1948" t="s">
        <v>18359</v>
      </c>
    </row>
    <row r="1949" spans="1:7">
      <c r="A1949">
        <v>1948</v>
      </c>
      <c r="B1949" t="str">
        <f>"022060"</f>
        <v>0</v>
      </c>
      <c r="C1949" t="s">
        <v>20794</v>
      </c>
      <c r="D1949" t="s">
        <v>20795</v>
      </c>
      <c r="E1949" t="str">
        <f>"3510600719049"</f>
        <v>0</v>
      </c>
      <c r="F1949" t="str">
        <f>"001600"</f>
        <v>0</v>
      </c>
      <c r="G1949" t="s">
        <v>18359</v>
      </c>
    </row>
    <row r="1950" spans="1:7">
      <c r="A1950">
        <v>1949</v>
      </c>
      <c r="B1950" t="str">
        <f>"022800"</f>
        <v>0</v>
      </c>
      <c r="C1950" t="s">
        <v>20796</v>
      </c>
      <c r="D1950" t="s">
        <v>20797</v>
      </c>
      <c r="E1950" t="str">
        <f>"1510400009874"</f>
        <v>0</v>
      </c>
      <c r="F1950" t="str">
        <f>"001600"</f>
        <v>0</v>
      </c>
      <c r="G1950" t="s">
        <v>18359</v>
      </c>
    </row>
    <row r="1951" spans="1:7">
      <c r="A1951">
        <v>1950</v>
      </c>
      <c r="B1951" t="str">
        <f>"022906"</f>
        <v>0</v>
      </c>
      <c r="C1951" t="s">
        <v>20798</v>
      </c>
      <c r="D1951" t="s">
        <v>20799</v>
      </c>
      <c r="E1951" t="str">
        <f>"3510400057425"</f>
        <v>0</v>
      </c>
      <c r="F1951" t="str">
        <f>"001600"</f>
        <v>0</v>
      </c>
      <c r="G1951" t="s">
        <v>18359</v>
      </c>
    </row>
    <row r="1952" spans="1:7">
      <c r="A1952">
        <v>1951</v>
      </c>
      <c r="B1952" t="str">
        <f>"023862"</f>
        <v>0</v>
      </c>
      <c r="C1952" t="s">
        <v>20800</v>
      </c>
      <c r="D1952" t="s">
        <v>20797</v>
      </c>
      <c r="E1952" t="str">
        <f>"1509900096553"</f>
        <v>0</v>
      </c>
      <c r="F1952" t="str">
        <f>"001600"</f>
        <v>0</v>
      </c>
      <c r="G1952" t="s">
        <v>18359</v>
      </c>
    </row>
    <row r="1953" spans="1:7">
      <c r="A1953">
        <v>1952</v>
      </c>
      <c r="B1953" t="str">
        <f>"024651"</f>
        <v>0</v>
      </c>
      <c r="C1953" t="s">
        <v>20801</v>
      </c>
      <c r="D1953" t="s">
        <v>20802</v>
      </c>
      <c r="E1953" t="str">
        <f>"1339900013552"</f>
        <v>0</v>
      </c>
      <c r="F1953" t="str">
        <f>"001600"</f>
        <v>0</v>
      </c>
      <c r="G1953" t="s">
        <v>18359</v>
      </c>
    </row>
    <row r="1954" spans="1:7">
      <c r="A1954">
        <v>1953</v>
      </c>
      <c r="B1954" t="str">
        <f>"023442"</f>
        <v>0</v>
      </c>
      <c r="C1954" t="s">
        <v>20803</v>
      </c>
      <c r="D1954" t="s">
        <v>20804</v>
      </c>
      <c r="E1954" t="str">
        <f>"3521200010621"</f>
        <v>0</v>
      </c>
      <c r="F1954" t="str">
        <f>"001600"</f>
        <v>0</v>
      </c>
      <c r="G1954" t="s">
        <v>18359</v>
      </c>
    </row>
    <row r="1955" spans="1:7">
      <c r="A1955">
        <v>1954</v>
      </c>
      <c r="B1955" t="str">
        <f>"020584"</f>
        <v>0</v>
      </c>
      <c r="C1955" t="s">
        <v>20805</v>
      </c>
      <c r="D1955" t="s">
        <v>20806</v>
      </c>
      <c r="E1955" t="str">
        <f>"3900200455440"</f>
        <v>0</v>
      </c>
      <c r="F1955" t="str">
        <f>"001600"</f>
        <v>0</v>
      </c>
      <c r="G1955" t="s">
        <v>18359</v>
      </c>
    </row>
    <row r="1956" spans="1:7">
      <c r="A1956">
        <v>1955</v>
      </c>
      <c r="B1956" t="str">
        <f>"003011"</f>
        <v>0</v>
      </c>
      <c r="C1956" t="s">
        <v>20807</v>
      </c>
      <c r="D1956" t="s">
        <v>20808</v>
      </c>
      <c r="E1956" t="str">
        <f>"3420901122247"</f>
        <v>0</v>
      </c>
      <c r="F1956" t="str">
        <f>"001610"</f>
        <v>0</v>
      </c>
      <c r="G1956" t="s">
        <v>18359</v>
      </c>
    </row>
    <row r="1957" spans="1:7">
      <c r="A1957">
        <v>1956</v>
      </c>
      <c r="B1957" t="str">
        <f>"008329"</f>
        <v>0</v>
      </c>
      <c r="C1957" t="s">
        <v>20809</v>
      </c>
      <c r="D1957" t="s">
        <v>20810</v>
      </c>
      <c r="E1957" t="str">
        <f>"3360101252601"</f>
        <v>0</v>
      </c>
      <c r="F1957" t="str">
        <f>"001610"</f>
        <v>0</v>
      </c>
      <c r="G1957" t="s">
        <v>18359</v>
      </c>
    </row>
    <row r="1958" spans="1:7">
      <c r="A1958">
        <v>1957</v>
      </c>
      <c r="B1958" t="str">
        <f>"014213"</f>
        <v>0</v>
      </c>
      <c r="C1958" t="s">
        <v>20811</v>
      </c>
      <c r="D1958" t="s">
        <v>20812</v>
      </c>
      <c r="E1958" t="str">
        <f>"3461400142068"</f>
        <v>0</v>
      </c>
      <c r="F1958" t="str">
        <f>"001610"</f>
        <v>0</v>
      </c>
      <c r="G1958" t="s">
        <v>18359</v>
      </c>
    </row>
    <row r="1959" spans="1:7">
      <c r="A1959">
        <v>1958</v>
      </c>
      <c r="B1959" t="str">
        <f>"017323"</f>
        <v>0</v>
      </c>
      <c r="C1959" t="s">
        <v>18238</v>
      </c>
      <c r="D1959" t="s">
        <v>20813</v>
      </c>
      <c r="E1959" t="str">
        <f>"3409900273541"</f>
        <v>0</v>
      </c>
      <c r="F1959" t="str">
        <f>"001610"</f>
        <v>0</v>
      </c>
      <c r="G1959" t="s">
        <v>18359</v>
      </c>
    </row>
    <row r="1960" spans="1:7">
      <c r="A1960">
        <v>1959</v>
      </c>
      <c r="B1960" t="str">
        <f>"021512"</f>
        <v>0</v>
      </c>
      <c r="C1960" t="s">
        <v>20814</v>
      </c>
      <c r="D1960" t="s">
        <v>7512</v>
      </c>
      <c r="E1960" t="str">
        <f>"3411400709823"</f>
        <v>0</v>
      </c>
      <c r="F1960" t="str">
        <f>"001610"</f>
        <v>0</v>
      </c>
      <c r="G1960" t="s">
        <v>18359</v>
      </c>
    </row>
    <row r="1961" spans="1:7">
      <c r="A1961">
        <v>1960</v>
      </c>
      <c r="B1961" t="str">
        <f>"012786"</f>
        <v>0</v>
      </c>
      <c r="C1961" t="s">
        <v>4781</v>
      </c>
      <c r="D1961" t="s">
        <v>20815</v>
      </c>
      <c r="E1961" t="str">
        <f>"3421000048561"</f>
        <v>0</v>
      </c>
      <c r="F1961" t="str">
        <f>"001610"</f>
        <v>0</v>
      </c>
      <c r="G1961" t="s">
        <v>18359</v>
      </c>
    </row>
    <row r="1962" spans="1:7">
      <c r="A1962">
        <v>1961</v>
      </c>
      <c r="B1962" t="str">
        <f>"013281"</f>
        <v>0</v>
      </c>
      <c r="C1962" t="s">
        <v>20816</v>
      </c>
      <c r="D1962" t="s">
        <v>20817</v>
      </c>
      <c r="E1962" t="str">
        <f>"3901100926867"</f>
        <v>0</v>
      </c>
      <c r="F1962" t="str">
        <f>"001610"</f>
        <v>0</v>
      </c>
      <c r="G1962" t="s">
        <v>18359</v>
      </c>
    </row>
    <row r="1963" spans="1:7">
      <c r="A1963">
        <v>1962</v>
      </c>
      <c r="B1963" t="str">
        <f>"017273"</f>
        <v>0</v>
      </c>
      <c r="C1963" t="s">
        <v>20818</v>
      </c>
      <c r="D1963" t="s">
        <v>20819</v>
      </c>
      <c r="E1963" t="str">
        <f>"3411200938161"</f>
        <v>0</v>
      </c>
      <c r="F1963" t="str">
        <f>"001610"</f>
        <v>0</v>
      </c>
      <c r="G1963" t="s">
        <v>18359</v>
      </c>
    </row>
    <row r="1964" spans="1:7">
      <c r="A1964">
        <v>1963</v>
      </c>
      <c r="B1964" t="str">
        <f>"017605"</f>
        <v>0</v>
      </c>
      <c r="C1964" t="s">
        <v>14603</v>
      </c>
      <c r="D1964" t="s">
        <v>20820</v>
      </c>
      <c r="E1964" t="str">
        <f>"5160399004483"</f>
        <v>0</v>
      </c>
      <c r="F1964" t="str">
        <f>"001610"</f>
        <v>0</v>
      </c>
      <c r="G1964" t="s">
        <v>18359</v>
      </c>
    </row>
    <row r="1965" spans="1:7">
      <c r="A1965">
        <v>1964</v>
      </c>
      <c r="B1965" t="str">
        <f>"021023"</f>
        <v>0</v>
      </c>
      <c r="C1965" t="s">
        <v>20821</v>
      </c>
      <c r="D1965" t="s">
        <v>20822</v>
      </c>
      <c r="E1965" t="str">
        <f>"3401000407021"</f>
        <v>0</v>
      </c>
      <c r="F1965" t="str">
        <f>"001610"</f>
        <v>0</v>
      </c>
      <c r="G1965" t="s">
        <v>18359</v>
      </c>
    </row>
    <row r="1966" spans="1:7">
      <c r="A1966">
        <v>1965</v>
      </c>
      <c r="B1966" t="str">
        <f>"024663"</f>
        <v>0</v>
      </c>
      <c r="C1966" t="s">
        <v>20823</v>
      </c>
      <c r="D1966" t="s">
        <v>20824</v>
      </c>
      <c r="E1966" t="str">
        <f>"1420900050262"</f>
        <v>0</v>
      </c>
      <c r="F1966" t="str">
        <f>"001610"</f>
        <v>0</v>
      </c>
      <c r="G1966" t="s">
        <v>18359</v>
      </c>
    </row>
    <row r="1967" spans="1:7">
      <c r="A1967">
        <v>1966</v>
      </c>
      <c r="B1967" t="str">
        <f>"026211"</f>
        <v>0</v>
      </c>
      <c r="C1967" t="s">
        <v>50</v>
      </c>
      <c r="D1967" t="s">
        <v>20825</v>
      </c>
      <c r="E1967" t="str">
        <f>"1421000105894"</f>
        <v>0</v>
      </c>
      <c r="F1967" t="str">
        <f>"001610"</f>
        <v>0</v>
      </c>
      <c r="G1967" t="s">
        <v>18359</v>
      </c>
    </row>
    <row r="1968" spans="1:7">
      <c r="A1968">
        <v>1967</v>
      </c>
      <c r="B1968" t="str">
        <f>"026913"</f>
        <v>0</v>
      </c>
      <c r="C1968" t="s">
        <v>963</v>
      </c>
      <c r="D1968" t="s">
        <v>20826</v>
      </c>
      <c r="E1968" t="str">
        <f>"1529900524997"</f>
        <v>0</v>
      </c>
      <c r="F1968" t="str">
        <f>"001610"</f>
        <v>0</v>
      </c>
      <c r="G1968" t="s">
        <v>18359</v>
      </c>
    </row>
    <row r="1969" spans="1:7">
      <c r="A1969">
        <v>1968</v>
      </c>
      <c r="B1969" t="str">
        <f>"011083"</f>
        <v>0</v>
      </c>
      <c r="C1969" t="s">
        <v>20827</v>
      </c>
      <c r="D1969" t="s">
        <v>20828</v>
      </c>
      <c r="E1969" t="str">
        <f>"3619900077384"</f>
        <v>0</v>
      </c>
      <c r="F1969" t="str">
        <f>"001610"</f>
        <v>0</v>
      </c>
      <c r="G1969" t="s">
        <v>18359</v>
      </c>
    </row>
    <row r="1970" spans="1:7">
      <c r="A1970">
        <v>1969</v>
      </c>
      <c r="B1970" t="str">
        <f>"026796"</f>
        <v>0</v>
      </c>
      <c r="C1970" t="s">
        <v>1216</v>
      </c>
      <c r="D1970" t="s">
        <v>20829</v>
      </c>
      <c r="E1970" t="str">
        <f>"1659900426579"</f>
        <v>0</v>
      </c>
      <c r="F1970" t="str">
        <f>"001610"</f>
        <v>0</v>
      </c>
      <c r="G1970" t="s">
        <v>18359</v>
      </c>
    </row>
    <row r="1971" spans="1:7">
      <c r="A1971">
        <v>1970</v>
      </c>
      <c r="B1971" t="str">
        <f>"025483"</f>
        <v>0</v>
      </c>
      <c r="C1971" t="s">
        <v>8100</v>
      </c>
      <c r="D1971" t="s">
        <v>20830</v>
      </c>
      <c r="E1971" t="str">
        <f>"1420900046974"</f>
        <v>0</v>
      </c>
      <c r="F1971" t="str">
        <f>"001610"</f>
        <v>0</v>
      </c>
      <c r="G1971" t="s">
        <v>18359</v>
      </c>
    </row>
    <row r="1972" spans="1:7">
      <c r="A1972">
        <v>1971</v>
      </c>
      <c r="B1972" t="str">
        <f>"021727"</f>
        <v>0</v>
      </c>
      <c r="C1972" t="s">
        <v>20831</v>
      </c>
      <c r="D1972" t="s">
        <v>20832</v>
      </c>
      <c r="E1972" t="str">
        <f>"3100600469917"</f>
        <v>0</v>
      </c>
      <c r="F1972" t="str">
        <f>"001610"</f>
        <v>0</v>
      </c>
      <c r="G1972" t="s">
        <v>18359</v>
      </c>
    </row>
    <row r="1973" spans="1:7">
      <c r="A1973">
        <v>1972</v>
      </c>
      <c r="B1973" t="str">
        <f>"015302"</f>
        <v>0</v>
      </c>
      <c r="C1973" t="s">
        <v>10002</v>
      </c>
      <c r="D1973" t="s">
        <v>20833</v>
      </c>
      <c r="E1973" t="str">
        <f>"3429900010052"</f>
        <v>0</v>
      </c>
      <c r="F1973" t="str">
        <f>"001610"</f>
        <v>0</v>
      </c>
      <c r="G1973" t="s">
        <v>18359</v>
      </c>
    </row>
    <row r="1974" spans="1:7">
      <c r="A1974">
        <v>1973</v>
      </c>
      <c r="B1974" t="str">
        <f>"017269"</f>
        <v>0</v>
      </c>
      <c r="C1974" t="s">
        <v>3634</v>
      </c>
      <c r="D1974" t="s">
        <v>20834</v>
      </c>
      <c r="E1974" t="str">
        <f>"3800801122764"</f>
        <v>0</v>
      </c>
      <c r="F1974" t="str">
        <f>"001610"</f>
        <v>0</v>
      </c>
      <c r="G1974" t="s">
        <v>18359</v>
      </c>
    </row>
    <row r="1975" spans="1:7">
      <c r="A1975">
        <v>1974</v>
      </c>
      <c r="B1975" t="str">
        <f>"021665"</f>
        <v>0</v>
      </c>
      <c r="C1975" t="s">
        <v>1001</v>
      </c>
      <c r="D1975" t="s">
        <v>20835</v>
      </c>
      <c r="E1975" t="str">
        <f>"3401100012932"</f>
        <v>0</v>
      </c>
      <c r="F1975" t="str">
        <f>"001610"</f>
        <v>0</v>
      </c>
      <c r="G1975" t="s">
        <v>18359</v>
      </c>
    </row>
    <row r="1976" spans="1:7">
      <c r="A1976">
        <v>1975</v>
      </c>
      <c r="B1976" t="str">
        <f>"027583"</f>
        <v>0</v>
      </c>
      <c r="C1976" t="s">
        <v>20836</v>
      </c>
      <c r="D1976" t="s">
        <v>20837</v>
      </c>
      <c r="E1976" t="str">
        <f>"1559900184321"</f>
        <v>0</v>
      </c>
      <c r="F1976" t="str">
        <f>"001610"</f>
        <v>0</v>
      </c>
      <c r="G1976" t="s">
        <v>18359</v>
      </c>
    </row>
    <row r="1977" spans="1:7">
      <c r="A1977">
        <v>1976</v>
      </c>
      <c r="B1977" t="str">
        <f>"027605"</f>
        <v>0</v>
      </c>
      <c r="C1977" t="s">
        <v>20838</v>
      </c>
      <c r="D1977" t="s">
        <v>20839</v>
      </c>
      <c r="E1977" t="str">
        <f>"1719900161752"</f>
        <v>0</v>
      </c>
      <c r="F1977" t="str">
        <f>"001610"</f>
        <v>0</v>
      </c>
      <c r="G1977" t="s">
        <v>18359</v>
      </c>
    </row>
    <row r="1978" spans="1:7">
      <c r="A1978">
        <v>1977</v>
      </c>
      <c r="B1978" t="str">
        <f>"027607"</f>
        <v>0</v>
      </c>
      <c r="C1978" t="s">
        <v>20840</v>
      </c>
      <c r="D1978" t="s">
        <v>20841</v>
      </c>
      <c r="E1978" t="str">
        <f>"1330300160106"</f>
        <v>0</v>
      </c>
      <c r="F1978" t="str">
        <f>"001610"</f>
        <v>0</v>
      </c>
      <c r="G1978" t="s">
        <v>18359</v>
      </c>
    </row>
    <row r="1979" spans="1:7">
      <c r="A1979">
        <v>1978</v>
      </c>
      <c r="B1979" t="str">
        <f>"000391"</f>
        <v>0</v>
      </c>
      <c r="C1979" t="s">
        <v>20842</v>
      </c>
      <c r="D1979" t="s">
        <v>20843</v>
      </c>
      <c r="E1979" t="str">
        <f>"3339900133252"</f>
        <v>0</v>
      </c>
      <c r="F1979" t="str">
        <f>"001630"</f>
        <v>0</v>
      </c>
      <c r="G1979" t="s">
        <v>18359</v>
      </c>
    </row>
    <row r="1980" spans="1:7">
      <c r="A1980">
        <v>1979</v>
      </c>
      <c r="B1980" t="str">
        <f>"002870"</f>
        <v>0</v>
      </c>
      <c r="C1980" t="s">
        <v>20844</v>
      </c>
      <c r="D1980" t="s">
        <v>20845</v>
      </c>
      <c r="E1980" t="str">
        <f>"3331400026956"</f>
        <v>0</v>
      </c>
      <c r="F1980" t="str">
        <f>"001630"</f>
        <v>0</v>
      </c>
      <c r="G1980" t="s">
        <v>18359</v>
      </c>
    </row>
    <row r="1981" spans="1:7">
      <c r="A1981">
        <v>1980</v>
      </c>
      <c r="B1981" t="str">
        <f>"002874"</f>
        <v>0</v>
      </c>
      <c r="C1981" t="s">
        <v>2434</v>
      </c>
      <c r="D1981" t="s">
        <v>20846</v>
      </c>
      <c r="E1981" t="str">
        <f>"3330401483799"</f>
        <v>0</v>
      </c>
      <c r="F1981" t="str">
        <f>"001630"</f>
        <v>0</v>
      </c>
      <c r="G1981" t="s">
        <v>18359</v>
      </c>
    </row>
    <row r="1982" spans="1:7">
      <c r="A1982">
        <v>1981</v>
      </c>
      <c r="B1982" t="str">
        <f>"003223"</f>
        <v>0</v>
      </c>
      <c r="C1982" t="s">
        <v>20847</v>
      </c>
      <c r="D1982" t="s">
        <v>20848</v>
      </c>
      <c r="E1982" t="str">
        <f>"3331000151141"</f>
        <v>0</v>
      </c>
      <c r="F1982" t="str">
        <f>"001630"</f>
        <v>0</v>
      </c>
      <c r="G1982" t="s">
        <v>18359</v>
      </c>
    </row>
    <row r="1983" spans="1:7">
      <c r="A1983">
        <v>1982</v>
      </c>
      <c r="B1983" t="str">
        <f>"003224"</f>
        <v>0</v>
      </c>
      <c r="C1983" t="s">
        <v>6713</v>
      </c>
      <c r="D1983" t="s">
        <v>1835</v>
      </c>
      <c r="E1983" t="str">
        <f>"3331000430482"</f>
        <v>0</v>
      </c>
      <c r="F1983" t="str">
        <f>"001630"</f>
        <v>0</v>
      </c>
      <c r="G1983" t="s">
        <v>18359</v>
      </c>
    </row>
    <row r="1984" spans="1:7">
      <c r="A1984">
        <v>1983</v>
      </c>
      <c r="B1984" t="str">
        <f>"003232"</f>
        <v>0</v>
      </c>
      <c r="C1984" t="s">
        <v>2239</v>
      </c>
      <c r="D1984" t="s">
        <v>20849</v>
      </c>
      <c r="E1984" t="str">
        <f>"3330501223586"</f>
        <v>0</v>
      </c>
      <c r="F1984" t="str">
        <f>"001630"</f>
        <v>0</v>
      </c>
      <c r="G1984" t="s">
        <v>18359</v>
      </c>
    </row>
    <row r="1985" spans="1:7">
      <c r="A1985">
        <v>1984</v>
      </c>
      <c r="B1985" t="str">
        <f>"004254"</f>
        <v>0</v>
      </c>
      <c r="C1985" t="s">
        <v>20850</v>
      </c>
      <c r="D1985" t="s">
        <v>20849</v>
      </c>
      <c r="E1985" t="str">
        <f>"3330501223594"</f>
        <v>0</v>
      </c>
      <c r="F1985" t="str">
        <f>"001630"</f>
        <v>0</v>
      </c>
      <c r="G1985" t="s">
        <v>18359</v>
      </c>
    </row>
    <row r="1986" spans="1:7">
      <c r="A1986">
        <v>1985</v>
      </c>
      <c r="B1986" t="str">
        <f>"004846"</f>
        <v>0</v>
      </c>
      <c r="C1986" t="s">
        <v>20851</v>
      </c>
      <c r="D1986" t="s">
        <v>16338</v>
      </c>
      <c r="E1986" t="str">
        <f>"3440400545633"</f>
        <v>0</v>
      </c>
      <c r="F1986" t="str">
        <f>"001630"</f>
        <v>0</v>
      </c>
      <c r="G1986" t="s">
        <v>18359</v>
      </c>
    </row>
    <row r="1987" spans="1:7">
      <c r="A1987">
        <v>1986</v>
      </c>
      <c r="B1987" t="str">
        <f>"005483"</f>
        <v>0</v>
      </c>
      <c r="C1987" t="s">
        <v>3799</v>
      </c>
      <c r="D1987" t="s">
        <v>2965</v>
      </c>
      <c r="E1987" t="str">
        <f>"3330401182152"</f>
        <v>0</v>
      </c>
      <c r="F1987" t="str">
        <f>"001630"</f>
        <v>0</v>
      </c>
      <c r="G1987" t="s">
        <v>18359</v>
      </c>
    </row>
    <row r="1988" spans="1:7">
      <c r="A1988">
        <v>1987</v>
      </c>
      <c r="B1988" t="str">
        <f>"006142"</f>
        <v>0</v>
      </c>
      <c r="C1988" t="s">
        <v>7515</v>
      </c>
      <c r="D1988" t="s">
        <v>15630</v>
      </c>
      <c r="E1988" t="str">
        <f>"3339900042150"</f>
        <v>0</v>
      </c>
      <c r="F1988" t="str">
        <f>"001630"</f>
        <v>0</v>
      </c>
      <c r="G1988" t="s">
        <v>18359</v>
      </c>
    </row>
    <row r="1989" spans="1:7">
      <c r="A1989">
        <v>1988</v>
      </c>
      <c r="B1989" t="str">
        <f>"007206"</f>
        <v>0</v>
      </c>
      <c r="C1989" t="s">
        <v>941</v>
      </c>
      <c r="D1989" t="s">
        <v>20852</v>
      </c>
      <c r="E1989" t="str">
        <f>"5330800010602"</f>
        <v>0</v>
      </c>
      <c r="F1989" t="str">
        <f>"001630"</f>
        <v>0</v>
      </c>
      <c r="G1989" t="s">
        <v>18359</v>
      </c>
    </row>
    <row r="1990" spans="1:7">
      <c r="A1990">
        <v>1989</v>
      </c>
      <c r="B1990" t="str">
        <f>"008540"</f>
        <v>0</v>
      </c>
      <c r="C1990" t="s">
        <v>20853</v>
      </c>
      <c r="D1990" t="s">
        <v>20854</v>
      </c>
      <c r="E1990" t="str">
        <f>"3349700013181"</f>
        <v>0</v>
      </c>
      <c r="F1990" t="str">
        <f>"001630"</f>
        <v>0</v>
      </c>
      <c r="G1990" t="s">
        <v>18359</v>
      </c>
    </row>
    <row r="1991" spans="1:7">
      <c r="A1991">
        <v>1990</v>
      </c>
      <c r="B1991" t="str">
        <f>"008686"</f>
        <v>0</v>
      </c>
      <c r="C1991" t="s">
        <v>20855</v>
      </c>
      <c r="D1991" t="s">
        <v>13732</v>
      </c>
      <c r="E1991" t="str">
        <f>"3310400523789"</f>
        <v>0</v>
      </c>
      <c r="F1991" t="str">
        <f>"001630"</f>
        <v>0</v>
      </c>
      <c r="G1991" t="s">
        <v>18359</v>
      </c>
    </row>
    <row r="1992" spans="1:7">
      <c r="A1992">
        <v>1991</v>
      </c>
      <c r="B1992" t="str">
        <f>"008690"</f>
        <v>0</v>
      </c>
      <c r="C1992" t="s">
        <v>20856</v>
      </c>
      <c r="D1992" t="s">
        <v>20857</v>
      </c>
      <c r="E1992" t="str">
        <f>"4330800001494"</f>
        <v>0</v>
      </c>
      <c r="F1992" t="str">
        <f>"001630"</f>
        <v>0</v>
      </c>
      <c r="G1992" t="s">
        <v>18359</v>
      </c>
    </row>
    <row r="1993" spans="1:7">
      <c r="A1993">
        <v>1992</v>
      </c>
      <c r="B1993" t="str">
        <f>"009117"</f>
        <v>0</v>
      </c>
      <c r="C1993" t="s">
        <v>4066</v>
      </c>
      <c r="D1993" t="s">
        <v>10598</v>
      </c>
      <c r="E1993" t="str">
        <f>"4410100010082"</f>
        <v>0</v>
      </c>
      <c r="F1993" t="str">
        <f>"001630"</f>
        <v>0</v>
      </c>
      <c r="G1993" t="s">
        <v>18359</v>
      </c>
    </row>
    <row r="1994" spans="1:7">
      <c r="A1994">
        <v>1993</v>
      </c>
      <c r="B1994" t="str">
        <f>"009579"</f>
        <v>0</v>
      </c>
      <c r="C1994" t="s">
        <v>20858</v>
      </c>
      <c r="D1994" t="s">
        <v>20859</v>
      </c>
      <c r="E1994" t="str">
        <f>"3330700074131"</f>
        <v>0</v>
      </c>
      <c r="F1994" t="str">
        <f>"001630"</f>
        <v>0</v>
      </c>
      <c r="G1994" t="s">
        <v>18359</v>
      </c>
    </row>
    <row r="1995" spans="1:7">
      <c r="A1995">
        <v>1994</v>
      </c>
      <c r="B1995" t="str">
        <f>"009830"</f>
        <v>0</v>
      </c>
      <c r="C1995" t="s">
        <v>16235</v>
      </c>
      <c r="D1995" t="s">
        <v>20860</v>
      </c>
      <c r="E1995" t="str">
        <f>"3330800384913"</f>
        <v>0</v>
      </c>
      <c r="F1995" t="str">
        <f>"001630"</f>
        <v>0</v>
      </c>
      <c r="G1995" t="s">
        <v>18359</v>
      </c>
    </row>
    <row r="1996" spans="1:7">
      <c r="A1996">
        <v>1995</v>
      </c>
      <c r="B1996" t="str">
        <f>"011138"</f>
        <v>0</v>
      </c>
      <c r="C1996" t="s">
        <v>6327</v>
      </c>
      <c r="D1996" t="s">
        <v>20861</v>
      </c>
      <c r="E1996" t="str">
        <f>"3330100146939"</f>
        <v>0</v>
      </c>
      <c r="F1996" t="str">
        <f>"001630"</f>
        <v>0</v>
      </c>
      <c r="G1996" t="s">
        <v>18359</v>
      </c>
    </row>
    <row r="1997" spans="1:7">
      <c r="A1997">
        <v>1996</v>
      </c>
      <c r="B1997" t="str">
        <f>"014460"</f>
        <v>0</v>
      </c>
      <c r="C1997" t="s">
        <v>20862</v>
      </c>
      <c r="D1997" t="s">
        <v>20863</v>
      </c>
      <c r="E1997" t="str">
        <f>"3330700244982"</f>
        <v>0</v>
      </c>
      <c r="F1997" t="str">
        <f>"001630"</f>
        <v>0</v>
      </c>
      <c r="G1997" t="s">
        <v>18359</v>
      </c>
    </row>
    <row r="1998" spans="1:7">
      <c r="A1998">
        <v>1997</v>
      </c>
      <c r="B1998" t="str">
        <f>"026914"</f>
        <v>0</v>
      </c>
      <c r="C1998" t="s">
        <v>20864</v>
      </c>
      <c r="D1998" t="s">
        <v>20865</v>
      </c>
      <c r="E1998" t="str">
        <f>"1100800107915"</f>
        <v>0</v>
      </c>
      <c r="F1998" t="str">
        <f>"001630"</f>
        <v>0</v>
      </c>
      <c r="G1998" t="s">
        <v>18359</v>
      </c>
    </row>
    <row r="1999" spans="1:7">
      <c r="A1999">
        <v>1998</v>
      </c>
      <c r="B1999" t="str">
        <f>"021595"</f>
        <v>0</v>
      </c>
      <c r="C1999" t="s">
        <v>1643</v>
      </c>
      <c r="D1999" t="s">
        <v>20866</v>
      </c>
      <c r="E1999" t="str">
        <f>"5320590047661"</f>
        <v>0</v>
      </c>
      <c r="F1999" t="str">
        <f>"001630"</f>
        <v>0</v>
      </c>
      <c r="G1999" t="s">
        <v>18359</v>
      </c>
    </row>
    <row r="2000" spans="1:7">
      <c r="A2000">
        <v>1999</v>
      </c>
      <c r="B2000" t="str">
        <f>"005768"</f>
        <v>0</v>
      </c>
      <c r="C2000" t="s">
        <v>239</v>
      </c>
      <c r="D2000" t="s">
        <v>8628</v>
      </c>
      <c r="E2000" t="str">
        <f>"3339900013184"</f>
        <v>0</v>
      </c>
      <c r="F2000" t="str">
        <f>"001630"</f>
        <v>0</v>
      </c>
      <c r="G2000" t="s">
        <v>18359</v>
      </c>
    </row>
    <row r="2001" spans="1:7">
      <c r="A2001">
        <v>2000</v>
      </c>
      <c r="B2001" t="str">
        <f>"008075"</f>
        <v>0</v>
      </c>
      <c r="C2001" t="s">
        <v>1988</v>
      </c>
      <c r="D2001" t="s">
        <v>20867</v>
      </c>
      <c r="E2001" t="str">
        <f>"3330500314341"</f>
        <v>0</v>
      </c>
      <c r="F2001" t="str">
        <f>"001630"</f>
        <v>0</v>
      </c>
      <c r="G2001" t="s">
        <v>18359</v>
      </c>
    </row>
    <row r="2002" spans="1:7">
      <c r="A2002">
        <v>2001</v>
      </c>
      <c r="B2002" t="str">
        <f>"010596"</f>
        <v>0</v>
      </c>
      <c r="C2002" t="s">
        <v>20868</v>
      </c>
      <c r="D2002" t="s">
        <v>13665</v>
      </c>
      <c r="E2002" t="str">
        <f>"3330101177633"</f>
        <v>0</v>
      </c>
      <c r="F2002" t="str">
        <f>"001630"</f>
        <v>0</v>
      </c>
      <c r="G2002" t="s">
        <v>18359</v>
      </c>
    </row>
    <row r="2003" spans="1:7">
      <c r="A2003">
        <v>2002</v>
      </c>
      <c r="B2003" t="str">
        <f>"010628"</f>
        <v>0</v>
      </c>
      <c r="C2003" t="s">
        <v>4372</v>
      </c>
      <c r="D2003" t="s">
        <v>6738</v>
      </c>
      <c r="E2003" t="str">
        <f>"5331290003210"</f>
        <v>0</v>
      </c>
      <c r="F2003" t="str">
        <f>"001630"</f>
        <v>0</v>
      </c>
      <c r="G2003" t="s">
        <v>18359</v>
      </c>
    </row>
    <row r="2004" spans="1:7">
      <c r="A2004">
        <v>2003</v>
      </c>
      <c r="B2004" t="str">
        <f>"012098"</f>
        <v>0</v>
      </c>
      <c r="C2004" t="s">
        <v>20869</v>
      </c>
      <c r="D2004" t="s">
        <v>20870</v>
      </c>
      <c r="E2004" t="str">
        <f>"3340300022265"</f>
        <v>0</v>
      </c>
      <c r="F2004" t="str">
        <f>"001630"</f>
        <v>0</v>
      </c>
      <c r="G2004" t="s">
        <v>18359</v>
      </c>
    </row>
    <row r="2005" spans="1:7">
      <c r="A2005">
        <v>2004</v>
      </c>
      <c r="B2005" t="str">
        <f>"018057"</f>
        <v>0</v>
      </c>
      <c r="C2005" t="s">
        <v>20871</v>
      </c>
      <c r="D2005" t="s">
        <v>20872</v>
      </c>
      <c r="E2005" t="str">
        <f>"3330401183230"</f>
        <v>0</v>
      </c>
      <c r="F2005" t="str">
        <f>"001630"</f>
        <v>0</v>
      </c>
      <c r="G2005" t="s">
        <v>18359</v>
      </c>
    </row>
    <row r="2006" spans="1:7">
      <c r="A2006">
        <v>2005</v>
      </c>
      <c r="B2006" t="str">
        <f>"020111"</f>
        <v>0</v>
      </c>
      <c r="C2006" t="s">
        <v>447</v>
      </c>
      <c r="D2006" t="s">
        <v>13694</v>
      </c>
      <c r="E2006" t="str">
        <f>"3330100574027"</f>
        <v>0</v>
      </c>
      <c r="F2006" t="str">
        <f>"001630"</f>
        <v>0</v>
      </c>
      <c r="G2006" t="s">
        <v>18359</v>
      </c>
    </row>
    <row r="2007" spans="1:7">
      <c r="A2007">
        <v>2006</v>
      </c>
      <c r="B2007" t="str">
        <f>"020950"</f>
        <v>0</v>
      </c>
      <c r="C2007" t="s">
        <v>5070</v>
      </c>
      <c r="D2007" t="s">
        <v>20873</v>
      </c>
      <c r="E2007" t="str">
        <f>"3530700195785"</f>
        <v>0</v>
      </c>
      <c r="F2007" t="str">
        <f>"001630"</f>
        <v>0</v>
      </c>
      <c r="G2007" t="s">
        <v>18359</v>
      </c>
    </row>
    <row r="2008" spans="1:7">
      <c r="A2008">
        <v>2007</v>
      </c>
      <c r="B2008" t="str">
        <f>"022025"</f>
        <v>0</v>
      </c>
      <c r="C2008" t="s">
        <v>32</v>
      </c>
      <c r="D2008" t="s">
        <v>20874</v>
      </c>
      <c r="E2008" t="str">
        <f>"2310400024245"</f>
        <v>0</v>
      </c>
      <c r="F2008" t="str">
        <f>"001630"</f>
        <v>0</v>
      </c>
      <c r="G2008" t="s">
        <v>18359</v>
      </c>
    </row>
    <row r="2009" spans="1:7">
      <c r="A2009">
        <v>2008</v>
      </c>
      <c r="B2009" t="str">
        <f>"022626"</f>
        <v>0</v>
      </c>
      <c r="C2009" t="s">
        <v>20875</v>
      </c>
      <c r="D2009" t="s">
        <v>20876</v>
      </c>
      <c r="E2009" t="str">
        <f>"3330900492033"</f>
        <v>0</v>
      </c>
      <c r="F2009" t="str">
        <f>"001630"</f>
        <v>0</v>
      </c>
      <c r="G2009" t="s">
        <v>18359</v>
      </c>
    </row>
    <row r="2010" spans="1:7">
      <c r="A2010">
        <v>2009</v>
      </c>
      <c r="B2010" t="str">
        <f>"023786"</f>
        <v>0</v>
      </c>
      <c r="C2010" t="s">
        <v>20877</v>
      </c>
      <c r="D2010" t="s">
        <v>20878</v>
      </c>
      <c r="E2010" t="str">
        <f>"3330401353062"</f>
        <v>0</v>
      </c>
      <c r="F2010" t="str">
        <f>"001630"</f>
        <v>0</v>
      </c>
      <c r="G2010" t="s">
        <v>18359</v>
      </c>
    </row>
    <row r="2011" spans="1:7">
      <c r="A2011">
        <v>2010</v>
      </c>
      <c r="B2011" t="str">
        <f>"023876"</f>
        <v>0</v>
      </c>
      <c r="C2011" t="s">
        <v>2305</v>
      </c>
      <c r="D2011" t="s">
        <v>20879</v>
      </c>
      <c r="E2011" t="str">
        <f>"3331000256458"</f>
        <v>0</v>
      </c>
      <c r="F2011" t="str">
        <f>"001630"</f>
        <v>0</v>
      </c>
      <c r="G2011" t="s">
        <v>18359</v>
      </c>
    </row>
    <row r="2012" spans="1:7">
      <c r="A2012">
        <v>2011</v>
      </c>
      <c r="B2012" t="str">
        <f>"024110"</f>
        <v>0</v>
      </c>
      <c r="C2012" t="s">
        <v>20880</v>
      </c>
      <c r="D2012" t="s">
        <v>20881</v>
      </c>
      <c r="E2012" t="str">
        <f>"1330500067266"</f>
        <v>0</v>
      </c>
      <c r="F2012" t="str">
        <f>"001630"</f>
        <v>0</v>
      </c>
      <c r="G2012" t="s">
        <v>18359</v>
      </c>
    </row>
    <row r="2013" spans="1:7">
      <c r="A2013">
        <v>2012</v>
      </c>
      <c r="B2013" t="str">
        <f>"024123"</f>
        <v>0</v>
      </c>
      <c r="C2013" t="s">
        <v>18187</v>
      </c>
      <c r="D2013" t="s">
        <v>20882</v>
      </c>
      <c r="E2013" t="str">
        <f>"1339900023876"</f>
        <v>0</v>
      </c>
      <c r="F2013" t="str">
        <f>"001630"</f>
        <v>0</v>
      </c>
      <c r="G2013" t="s">
        <v>18359</v>
      </c>
    </row>
    <row r="2014" spans="1:7">
      <c r="A2014">
        <v>2013</v>
      </c>
      <c r="B2014" t="str">
        <f>"024273"</f>
        <v>0</v>
      </c>
      <c r="C2014" t="s">
        <v>20883</v>
      </c>
      <c r="D2014" t="s">
        <v>20884</v>
      </c>
      <c r="E2014" t="str">
        <f>"3339900121459"</f>
        <v>0</v>
      </c>
      <c r="F2014" t="str">
        <f>"001630"</f>
        <v>0</v>
      </c>
      <c r="G2014" t="s">
        <v>18359</v>
      </c>
    </row>
    <row r="2015" spans="1:7">
      <c r="A2015">
        <v>2014</v>
      </c>
      <c r="B2015" t="str">
        <f>"024399"</f>
        <v>0</v>
      </c>
      <c r="C2015" t="s">
        <v>20885</v>
      </c>
      <c r="D2015" t="s">
        <v>20886</v>
      </c>
      <c r="E2015" t="str">
        <f>"3330401085017"</f>
        <v>0</v>
      </c>
      <c r="F2015" t="str">
        <f>"001630"</f>
        <v>0</v>
      </c>
      <c r="G2015" t="s">
        <v>18359</v>
      </c>
    </row>
    <row r="2016" spans="1:7">
      <c r="A2016">
        <v>2015</v>
      </c>
      <c r="B2016" t="str">
        <f>"024400"</f>
        <v>0</v>
      </c>
      <c r="C2016" t="s">
        <v>16314</v>
      </c>
      <c r="D2016" t="s">
        <v>20887</v>
      </c>
      <c r="E2016" t="str">
        <f>"1330400035508"</f>
        <v>0</v>
      </c>
      <c r="F2016" t="str">
        <f>"001630"</f>
        <v>0</v>
      </c>
      <c r="G2016" t="s">
        <v>18359</v>
      </c>
    </row>
    <row r="2017" spans="1:7">
      <c r="A2017">
        <v>2016</v>
      </c>
      <c r="B2017" t="str">
        <f>"024458"</f>
        <v>0</v>
      </c>
      <c r="C2017" t="s">
        <v>20888</v>
      </c>
      <c r="D2017" t="s">
        <v>20889</v>
      </c>
      <c r="E2017" t="str">
        <f>"3330800639385"</f>
        <v>0</v>
      </c>
      <c r="F2017" t="str">
        <f>"001630"</f>
        <v>0</v>
      </c>
      <c r="G2017" t="s">
        <v>18359</v>
      </c>
    </row>
    <row r="2018" spans="1:7">
      <c r="A2018">
        <v>2017</v>
      </c>
      <c r="B2018" t="str">
        <f>"024531"</f>
        <v>0</v>
      </c>
      <c r="C2018" t="s">
        <v>11186</v>
      </c>
      <c r="D2018" t="s">
        <v>20890</v>
      </c>
      <c r="E2018" t="str">
        <f>"3330800714514"</f>
        <v>0</v>
      </c>
      <c r="F2018" t="str">
        <f>"001630"</f>
        <v>0</v>
      </c>
      <c r="G2018" t="s">
        <v>18359</v>
      </c>
    </row>
    <row r="2019" spans="1:7">
      <c r="A2019">
        <v>2018</v>
      </c>
      <c r="B2019" t="str">
        <f>"024565"</f>
        <v>0</v>
      </c>
      <c r="C2019" t="s">
        <v>6453</v>
      </c>
      <c r="D2019" t="s">
        <v>20891</v>
      </c>
      <c r="E2019" t="str">
        <f>"3341300246474"</f>
        <v>0</v>
      </c>
      <c r="F2019" t="str">
        <f>"001630"</f>
        <v>0</v>
      </c>
      <c r="G2019" t="s">
        <v>18359</v>
      </c>
    </row>
    <row r="2020" spans="1:7">
      <c r="A2020">
        <v>2019</v>
      </c>
      <c r="B2020" t="str">
        <f>"024584"</f>
        <v>0</v>
      </c>
      <c r="C2020" t="s">
        <v>1182</v>
      </c>
      <c r="D2020" t="s">
        <v>20892</v>
      </c>
      <c r="E2020" t="str">
        <f>"1339900004766"</f>
        <v>0</v>
      </c>
      <c r="F2020" t="str">
        <f>"001630"</f>
        <v>0</v>
      </c>
      <c r="G2020" t="s">
        <v>18359</v>
      </c>
    </row>
    <row r="2021" spans="1:7">
      <c r="A2021">
        <v>2020</v>
      </c>
      <c r="B2021" t="str">
        <f>"024681"</f>
        <v>0</v>
      </c>
      <c r="C2021" t="s">
        <v>20893</v>
      </c>
      <c r="D2021" t="s">
        <v>20894</v>
      </c>
      <c r="E2021" t="str">
        <f>"1339900062618"</f>
        <v>0</v>
      </c>
      <c r="F2021" t="str">
        <f>"001630"</f>
        <v>0</v>
      </c>
      <c r="G2021" t="s">
        <v>18359</v>
      </c>
    </row>
    <row r="2022" spans="1:7">
      <c r="A2022">
        <v>2021</v>
      </c>
      <c r="B2022" t="str">
        <f>"024892"</f>
        <v>0</v>
      </c>
      <c r="C2022" t="s">
        <v>8448</v>
      </c>
      <c r="D2022" t="s">
        <v>20873</v>
      </c>
      <c r="E2022" t="str">
        <f>"3330300168481"</f>
        <v>0</v>
      </c>
      <c r="F2022" t="str">
        <f>"001630"</f>
        <v>0</v>
      </c>
      <c r="G2022" t="s">
        <v>18359</v>
      </c>
    </row>
    <row r="2023" spans="1:7">
      <c r="A2023">
        <v>2022</v>
      </c>
      <c r="B2023" t="str">
        <f>"024984"</f>
        <v>0</v>
      </c>
      <c r="C2023" t="s">
        <v>20895</v>
      </c>
      <c r="D2023" t="s">
        <v>20896</v>
      </c>
      <c r="E2023" t="str">
        <f>"1341100134218"</f>
        <v>0</v>
      </c>
      <c r="F2023" t="str">
        <f>"001630"</f>
        <v>0</v>
      </c>
      <c r="G2023" t="s">
        <v>18359</v>
      </c>
    </row>
    <row r="2024" spans="1:7">
      <c r="A2024">
        <v>2023</v>
      </c>
      <c r="B2024" t="str">
        <f>"024985"</f>
        <v>0</v>
      </c>
      <c r="C2024" t="s">
        <v>20897</v>
      </c>
      <c r="D2024" t="s">
        <v>20898</v>
      </c>
      <c r="E2024" t="str">
        <f>"3330900695643"</f>
        <v>0</v>
      </c>
      <c r="F2024" t="str">
        <f>"001630"</f>
        <v>0</v>
      </c>
      <c r="G2024" t="s">
        <v>18359</v>
      </c>
    </row>
    <row r="2025" spans="1:7">
      <c r="A2025">
        <v>2024</v>
      </c>
      <c r="B2025" t="str">
        <f>"025053"</f>
        <v>0</v>
      </c>
      <c r="C2025" t="s">
        <v>11186</v>
      </c>
      <c r="D2025" t="s">
        <v>20899</v>
      </c>
      <c r="E2025" t="str">
        <f>"3330900402654"</f>
        <v>0</v>
      </c>
      <c r="F2025" t="str">
        <f>"001630"</f>
        <v>0</v>
      </c>
      <c r="G2025" t="s">
        <v>18359</v>
      </c>
    </row>
    <row r="2026" spans="1:7">
      <c r="A2026">
        <v>2025</v>
      </c>
      <c r="B2026" t="str">
        <f>"025650"</f>
        <v>0</v>
      </c>
      <c r="C2026" t="s">
        <v>12182</v>
      </c>
      <c r="D2026" t="s">
        <v>20900</v>
      </c>
      <c r="E2026" t="str">
        <f>"1349900208744"</f>
        <v>0</v>
      </c>
      <c r="F2026" t="str">
        <f>"001630"</f>
        <v>0</v>
      </c>
      <c r="G2026" t="s">
        <v>18359</v>
      </c>
    </row>
    <row r="2027" spans="1:7">
      <c r="A2027">
        <v>2026</v>
      </c>
      <c r="B2027" t="str">
        <f>"025918"</f>
        <v>0</v>
      </c>
      <c r="C2027" t="s">
        <v>20901</v>
      </c>
      <c r="D2027" t="s">
        <v>20902</v>
      </c>
      <c r="E2027" t="str">
        <f>"3330100784846"</f>
        <v>0</v>
      </c>
      <c r="F2027" t="str">
        <f>"001630"</f>
        <v>0</v>
      </c>
      <c r="G2027" t="s">
        <v>18359</v>
      </c>
    </row>
    <row r="2028" spans="1:7">
      <c r="A2028">
        <v>2027</v>
      </c>
      <c r="B2028" t="str">
        <f>"025962"</f>
        <v>0</v>
      </c>
      <c r="C2028" t="s">
        <v>20903</v>
      </c>
      <c r="D2028" t="s">
        <v>20904</v>
      </c>
      <c r="E2028" t="str">
        <f>"1339900161896"</f>
        <v>0</v>
      </c>
      <c r="F2028" t="str">
        <f>"001630"</f>
        <v>0</v>
      </c>
      <c r="G2028" t="s">
        <v>18359</v>
      </c>
    </row>
    <row r="2029" spans="1:7">
      <c r="A2029">
        <v>2028</v>
      </c>
      <c r="B2029" t="str">
        <f>"026915"</f>
        <v>0</v>
      </c>
      <c r="C2029" t="s">
        <v>20905</v>
      </c>
      <c r="D2029" t="s">
        <v>20906</v>
      </c>
      <c r="E2029" t="str">
        <f>"5330100021067"</f>
        <v>0</v>
      </c>
      <c r="F2029" t="str">
        <f>"001630"</f>
        <v>0</v>
      </c>
      <c r="G2029" t="s">
        <v>18359</v>
      </c>
    </row>
    <row r="2030" spans="1:7">
      <c r="A2030">
        <v>2029</v>
      </c>
      <c r="B2030" t="str">
        <f>"027203"</f>
        <v>0</v>
      </c>
      <c r="C2030" t="s">
        <v>20907</v>
      </c>
      <c r="D2030" t="s">
        <v>20908</v>
      </c>
      <c r="E2030" t="str">
        <f>"1349900206865"</f>
        <v>0</v>
      </c>
      <c r="F2030" t="str">
        <f>"001630"</f>
        <v>0</v>
      </c>
      <c r="G2030" t="s">
        <v>18359</v>
      </c>
    </row>
    <row r="2031" spans="1:7">
      <c r="A2031">
        <v>2030</v>
      </c>
      <c r="B2031" t="str">
        <f>"027204"</f>
        <v>0</v>
      </c>
      <c r="C2031" t="s">
        <v>20909</v>
      </c>
      <c r="D2031" t="s">
        <v>20910</v>
      </c>
      <c r="E2031" t="str">
        <f>"1330600051841"</f>
        <v>0</v>
      </c>
      <c r="F2031" t="str">
        <f>"001630"</f>
        <v>0</v>
      </c>
      <c r="G2031" t="s">
        <v>18359</v>
      </c>
    </row>
    <row r="2032" spans="1:7">
      <c r="A2032">
        <v>2031</v>
      </c>
      <c r="B2032" t="str">
        <f>"027205"</f>
        <v>0</v>
      </c>
      <c r="C2032" t="s">
        <v>514</v>
      </c>
      <c r="D2032" t="s">
        <v>15280</v>
      </c>
      <c r="E2032" t="str">
        <f>"1950300052987"</f>
        <v>0</v>
      </c>
      <c r="F2032" t="str">
        <f>"001630"</f>
        <v>0</v>
      </c>
      <c r="G2032" t="s">
        <v>18359</v>
      </c>
    </row>
    <row r="2033" spans="1:7">
      <c r="A2033">
        <v>2032</v>
      </c>
      <c r="B2033" t="str">
        <f>"023591"</f>
        <v>0</v>
      </c>
      <c r="C2033" t="s">
        <v>20911</v>
      </c>
      <c r="D2033" t="s">
        <v>20912</v>
      </c>
      <c r="E2033" t="str">
        <f>"3340700454511"</f>
        <v>0</v>
      </c>
      <c r="F2033" t="str">
        <f>"001630"</f>
        <v>0</v>
      </c>
      <c r="G2033" t="s">
        <v>18359</v>
      </c>
    </row>
    <row r="2034" spans="1:7">
      <c r="A2034">
        <v>2033</v>
      </c>
      <c r="B2034" t="str">
        <f>"024122"</f>
        <v>0</v>
      </c>
      <c r="C2034" t="s">
        <v>15884</v>
      </c>
      <c r="D2034" t="s">
        <v>16813</v>
      </c>
      <c r="E2034" t="str">
        <f>"1340400006559"</f>
        <v>0</v>
      </c>
      <c r="F2034" t="str">
        <f>"001630"</f>
        <v>0</v>
      </c>
      <c r="G2034" t="s">
        <v>18359</v>
      </c>
    </row>
    <row r="2035" spans="1:7">
      <c r="A2035">
        <v>2034</v>
      </c>
      <c r="B2035" t="str">
        <f>"024986"</f>
        <v>0</v>
      </c>
      <c r="C2035" t="s">
        <v>20913</v>
      </c>
      <c r="D2035" t="s">
        <v>20914</v>
      </c>
      <c r="E2035" t="str">
        <f>"1341900031090"</f>
        <v>0</v>
      </c>
      <c r="F2035" t="str">
        <f>"001630"</f>
        <v>0</v>
      </c>
      <c r="G2035" t="s">
        <v>18359</v>
      </c>
    </row>
    <row r="2036" spans="1:7">
      <c r="A2036">
        <v>2035</v>
      </c>
      <c r="B2036" t="str">
        <f>"025984"</f>
        <v>0</v>
      </c>
      <c r="C2036" t="s">
        <v>20915</v>
      </c>
      <c r="D2036" t="s">
        <v>20916</v>
      </c>
      <c r="E2036" t="str">
        <f>"3349800236726"</f>
        <v>0</v>
      </c>
      <c r="F2036" t="str">
        <f>"001630"</f>
        <v>0</v>
      </c>
      <c r="G2036" t="s">
        <v>18359</v>
      </c>
    </row>
    <row r="2037" spans="1:7">
      <c r="A2037">
        <v>2036</v>
      </c>
      <c r="B2037" t="str">
        <f>"020423"</f>
        <v>0</v>
      </c>
      <c r="C2037" t="s">
        <v>20917</v>
      </c>
      <c r="D2037" t="s">
        <v>20918</v>
      </c>
      <c r="E2037" t="str">
        <f>"3470400196281"</f>
        <v>0</v>
      </c>
      <c r="F2037" t="str">
        <f>"001630"</f>
        <v>0</v>
      </c>
      <c r="G2037" t="s">
        <v>18359</v>
      </c>
    </row>
    <row r="2038" spans="1:7">
      <c r="A2038">
        <v>2037</v>
      </c>
      <c r="B2038" t="str">
        <f>"023772"</f>
        <v>0</v>
      </c>
      <c r="C2038" t="s">
        <v>326</v>
      </c>
      <c r="D2038" t="s">
        <v>20919</v>
      </c>
      <c r="E2038" t="str">
        <f>"3450800204353"</f>
        <v>0</v>
      </c>
      <c r="F2038" t="str">
        <f>"001630"</f>
        <v>0</v>
      </c>
      <c r="G2038" t="s">
        <v>18359</v>
      </c>
    </row>
    <row r="2039" spans="1:7">
      <c r="A2039">
        <v>2038</v>
      </c>
      <c r="B2039" t="str">
        <f>"026802"</f>
        <v>0</v>
      </c>
      <c r="C2039" t="s">
        <v>20920</v>
      </c>
      <c r="D2039" t="s">
        <v>20921</v>
      </c>
      <c r="E2039" t="str">
        <f>"1410400108938"</f>
        <v>0</v>
      </c>
      <c r="F2039" t="str">
        <f>"001630"</f>
        <v>0</v>
      </c>
      <c r="G2039" t="s">
        <v>18359</v>
      </c>
    </row>
    <row r="2040" spans="1:7">
      <c r="A2040">
        <v>2039</v>
      </c>
      <c r="B2040" t="str">
        <f>"024830"</f>
        <v>0</v>
      </c>
      <c r="C2040" t="s">
        <v>7970</v>
      </c>
      <c r="D2040" t="s">
        <v>20922</v>
      </c>
      <c r="E2040" t="str">
        <f>"3330101165881"</f>
        <v>0</v>
      </c>
      <c r="F2040" t="str">
        <f>"001630"</f>
        <v>0</v>
      </c>
      <c r="G2040" t="s">
        <v>18359</v>
      </c>
    </row>
    <row r="2041" spans="1:7">
      <c r="A2041">
        <v>2040</v>
      </c>
      <c r="B2041" t="str">
        <f>"027576"</f>
        <v>0</v>
      </c>
      <c r="C2041" t="s">
        <v>802</v>
      </c>
      <c r="D2041" t="s">
        <v>4778</v>
      </c>
      <c r="E2041" t="str">
        <f>"3339900005181"</f>
        <v>0</v>
      </c>
      <c r="F2041" t="str">
        <f>"001630"</f>
        <v>0</v>
      </c>
      <c r="G2041" t="s">
        <v>18359</v>
      </c>
    </row>
    <row r="2042" spans="1:7">
      <c r="A2042">
        <v>2041</v>
      </c>
      <c r="B2042" t="str">
        <f>"000638"</f>
        <v>0</v>
      </c>
      <c r="C2042" t="s">
        <v>798</v>
      </c>
      <c r="D2042" t="s">
        <v>20923</v>
      </c>
      <c r="E2042" t="str">
        <f>"3471100012614"</f>
        <v>0</v>
      </c>
      <c r="F2042" t="str">
        <f>"001650"</f>
        <v>0</v>
      </c>
      <c r="G2042" t="s">
        <v>18359</v>
      </c>
    </row>
    <row r="2043" spans="1:7">
      <c r="A2043">
        <v>2042</v>
      </c>
      <c r="B2043" t="str">
        <f>"005188"</f>
        <v>0</v>
      </c>
      <c r="C2043" t="s">
        <v>20924</v>
      </c>
      <c r="D2043" t="s">
        <v>20925</v>
      </c>
      <c r="E2043" t="str">
        <f>"3470200001796"</f>
        <v>0</v>
      </c>
      <c r="F2043" t="str">
        <f>"001650"</f>
        <v>0</v>
      </c>
      <c r="G2043" t="s">
        <v>18359</v>
      </c>
    </row>
    <row r="2044" spans="1:7">
      <c r="A2044">
        <v>2043</v>
      </c>
      <c r="B2044" t="str">
        <f>"006791"</f>
        <v>0</v>
      </c>
      <c r="C2044" t="s">
        <v>12560</v>
      </c>
      <c r="D2044" t="s">
        <v>13998</v>
      </c>
      <c r="E2044" t="str">
        <f>"3470101151871"</f>
        <v>0</v>
      </c>
      <c r="F2044" t="str">
        <f>"001650"</f>
        <v>0</v>
      </c>
      <c r="G2044" t="s">
        <v>18359</v>
      </c>
    </row>
    <row r="2045" spans="1:7">
      <c r="A2045">
        <v>2044</v>
      </c>
      <c r="B2045" t="str">
        <f>"007213"</f>
        <v>0</v>
      </c>
      <c r="C2045" t="s">
        <v>520</v>
      </c>
      <c r="D2045" t="s">
        <v>20926</v>
      </c>
      <c r="E2045" t="str">
        <f>"3479900063580"</f>
        <v>0</v>
      </c>
      <c r="F2045" t="str">
        <f>"001650"</f>
        <v>0</v>
      </c>
      <c r="G2045" t="s">
        <v>18359</v>
      </c>
    </row>
    <row r="2046" spans="1:7">
      <c r="A2046">
        <v>2045</v>
      </c>
      <c r="B2046" t="str">
        <f>"010688"</f>
        <v>0</v>
      </c>
      <c r="C2046" t="s">
        <v>106</v>
      </c>
      <c r="D2046" t="s">
        <v>20927</v>
      </c>
      <c r="E2046" t="str">
        <f>"3469900271913"</f>
        <v>0</v>
      </c>
      <c r="F2046" t="str">
        <f>"001650"</f>
        <v>0</v>
      </c>
      <c r="G2046" t="s">
        <v>18359</v>
      </c>
    </row>
    <row r="2047" spans="1:7">
      <c r="A2047">
        <v>2046</v>
      </c>
      <c r="B2047" t="str">
        <f>"016784"</f>
        <v>0</v>
      </c>
      <c r="C2047" t="s">
        <v>6446</v>
      </c>
      <c r="D2047" t="s">
        <v>20928</v>
      </c>
      <c r="E2047" t="str">
        <f>"3479900030550"</f>
        <v>0</v>
      </c>
      <c r="F2047" t="str">
        <f>"001650"</f>
        <v>0</v>
      </c>
      <c r="G2047" t="s">
        <v>18359</v>
      </c>
    </row>
    <row r="2048" spans="1:7">
      <c r="A2048">
        <v>2047</v>
      </c>
      <c r="B2048" t="str">
        <f>"017582"</f>
        <v>0</v>
      </c>
      <c r="C2048" t="s">
        <v>20929</v>
      </c>
      <c r="D2048" t="s">
        <v>20930</v>
      </c>
      <c r="E2048" t="str">
        <f>"3499900145462"</f>
        <v>0</v>
      </c>
      <c r="F2048" t="str">
        <f>"001650"</f>
        <v>0</v>
      </c>
      <c r="G2048" t="s">
        <v>18359</v>
      </c>
    </row>
    <row r="2049" spans="1:7">
      <c r="A2049">
        <v>2048</v>
      </c>
      <c r="B2049" t="str">
        <f>"026916"</f>
        <v>0</v>
      </c>
      <c r="C2049" t="s">
        <v>20931</v>
      </c>
      <c r="D2049" t="s">
        <v>20932</v>
      </c>
      <c r="E2049" t="str">
        <f>"1301900033114"</f>
        <v>0</v>
      </c>
      <c r="F2049" t="str">
        <f>"001650"</f>
        <v>0</v>
      </c>
      <c r="G2049" t="s">
        <v>18359</v>
      </c>
    </row>
    <row r="2050" spans="1:7">
      <c r="A2050">
        <v>2049</v>
      </c>
      <c r="B2050" t="str">
        <f>"023769"</f>
        <v>0</v>
      </c>
      <c r="C2050" t="s">
        <v>9090</v>
      </c>
      <c r="D2050" t="s">
        <v>20933</v>
      </c>
      <c r="E2050" t="str">
        <f>"3410800023219"</f>
        <v>0</v>
      </c>
      <c r="F2050" t="str">
        <f>"001650"</f>
        <v>0</v>
      </c>
      <c r="G2050" t="s">
        <v>18359</v>
      </c>
    </row>
    <row r="2051" spans="1:7">
      <c r="A2051">
        <v>2050</v>
      </c>
      <c r="B2051" t="str">
        <f>"023452"</f>
        <v>0</v>
      </c>
      <c r="C2051" t="s">
        <v>5599</v>
      </c>
      <c r="D2051" t="s">
        <v>20934</v>
      </c>
      <c r="E2051" t="str">
        <f>"1459900033625"</f>
        <v>0</v>
      </c>
      <c r="F2051" t="str">
        <f>"001650"</f>
        <v>0</v>
      </c>
      <c r="G2051" t="s">
        <v>18359</v>
      </c>
    </row>
    <row r="2052" spans="1:7">
      <c r="A2052">
        <v>2051</v>
      </c>
      <c r="B2052" t="str">
        <f>"010981"</f>
        <v>0</v>
      </c>
      <c r="C2052" t="s">
        <v>15849</v>
      </c>
      <c r="D2052" t="s">
        <v>20935</v>
      </c>
      <c r="E2052" t="str">
        <f>"3470200001788"</f>
        <v>0</v>
      </c>
      <c r="F2052" t="str">
        <f>"001650"</f>
        <v>0</v>
      </c>
      <c r="G2052" t="s">
        <v>18359</v>
      </c>
    </row>
    <row r="2053" spans="1:7">
      <c r="A2053">
        <v>2052</v>
      </c>
      <c r="B2053" t="str">
        <f>"011066"</f>
        <v>0</v>
      </c>
      <c r="C2053" t="s">
        <v>20936</v>
      </c>
      <c r="D2053" t="s">
        <v>10656</v>
      </c>
      <c r="E2053" t="str">
        <f>"3401700606531"</f>
        <v>0</v>
      </c>
      <c r="F2053" t="str">
        <f>"001650"</f>
        <v>0</v>
      </c>
      <c r="G2053" t="s">
        <v>18359</v>
      </c>
    </row>
    <row r="2054" spans="1:7">
      <c r="A2054">
        <v>2053</v>
      </c>
      <c r="B2054" t="str">
        <f>"013049"</f>
        <v>0</v>
      </c>
      <c r="C2054" t="s">
        <v>8765</v>
      </c>
      <c r="D2054" t="s">
        <v>20937</v>
      </c>
      <c r="E2054" t="str">
        <f>"3470400087171"</f>
        <v>0</v>
      </c>
      <c r="F2054" t="str">
        <f>"001650"</f>
        <v>0</v>
      </c>
      <c r="G2054" t="s">
        <v>18359</v>
      </c>
    </row>
    <row r="2055" spans="1:7">
      <c r="A2055">
        <v>2054</v>
      </c>
      <c r="B2055" t="str">
        <f>"013850"</f>
        <v>0</v>
      </c>
      <c r="C2055" t="s">
        <v>5258</v>
      </c>
      <c r="D2055" t="s">
        <v>20938</v>
      </c>
      <c r="E2055" t="str">
        <f>"3401400166854"</f>
        <v>0</v>
      </c>
      <c r="F2055" t="str">
        <f>"001650"</f>
        <v>0</v>
      </c>
      <c r="G2055" t="s">
        <v>18359</v>
      </c>
    </row>
    <row r="2056" spans="1:7">
      <c r="A2056">
        <v>2055</v>
      </c>
      <c r="B2056" t="str">
        <f>"013928"</f>
        <v>0</v>
      </c>
      <c r="C2056" t="s">
        <v>239</v>
      </c>
      <c r="D2056" t="s">
        <v>20939</v>
      </c>
      <c r="E2056" t="str">
        <f>"3801300185152"</f>
        <v>0</v>
      </c>
      <c r="F2056" t="str">
        <f>"001650"</f>
        <v>0</v>
      </c>
      <c r="G2056" t="s">
        <v>18359</v>
      </c>
    </row>
    <row r="2057" spans="1:7">
      <c r="A2057">
        <v>2056</v>
      </c>
      <c r="B2057" t="str">
        <f>"022576"</f>
        <v>0</v>
      </c>
      <c r="C2057" t="s">
        <v>6427</v>
      </c>
      <c r="D2057" t="s">
        <v>20940</v>
      </c>
      <c r="E2057" t="str">
        <f>"3471201170771"</f>
        <v>0</v>
      </c>
      <c r="F2057" t="str">
        <f>"001650"</f>
        <v>0</v>
      </c>
      <c r="G2057" t="s">
        <v>18359</v>
      </c>
    </row>
    <row r="2058" spans="1:7">
      <c r="A2058">
        <v>2057</v>
      </c>
      <c r="B2058" t="str">
        <f>"023060"</f>
        <v>0</v>
      </c>
      <c r="C2058" t="s">
        <v>1234</v>
      </c>
      <c r="D2058" t="s">
        <v>20941</v>
      </c>
      <c r="E2058" t="str">
        <f>"3471100448111"</f>
        <v>0</v>
      </c>
      <c r="F2058" t="str">
        <f>"001650"</f>
        <v>0</v>
      </c>
      <c r="G2058" t="s">
        <v>18359</v>
      </c>
    </row>
    <row r="2059" spans="1:7">
      <c r="A2059">
        <v>2058</v>
      </c>
      <c r="B2059" t="str">
        <f>"023451"</f>
        <v>0</v>
      </c>
      <c r="C2059" t="s">
        <v>20942</v>
      </c>
      <c r="D2059" t="s">
        <v>20943</v>
      </c>
      <c r="E2059" t="str">
        <f>"3471400053596"</f>
        <v>0</v>
      </c>
      <c r="F2059" t="str">
        <f>"001650"</f>
        <v>0</v>
      </c>
      <c r="G2059" t="s">
        <v>18359</v>
      </c>
    </row>
    <row r="2060" spans="1:7">
      <c r="A2060">
        <v>2059</v>
      </c>
      <c r="B2060" t="str">
        <f>"023645"</f>
        <v>0</v>
      </c>
      <c r="C2060" t="s">
        <v>20944</v>
      </c>
      <c r="D2060" t="s">
        <v>20945</v>
      </c>
      <c r="E2060" t="str">
        <f>"3471100024329"</f>
        <v>0</v>
      </c>
      <c r="F2060" t="str">
        <f>"001650"</f>
        <v>0</v>
      </c>
      <c r="G2060" t="s">
        <v>18359</v>
      </c>
    </row>
    <row r="2061" spans="1:7">
      <c r="A2061">
        <v>2060</v>
      </c>
      <c r="B2061" t="str">
        <f>"025389"</f>
        <v>0</v>
      </c>
      <c r="C2061" t="s">
        <v>20946</v>
      </c>
      <c r="D2061" t="s">
        <v>20947</v>
      </c>
      <c r="E2061" t="str">
        <f>"3470300263750"</f>
        <v>0</v>
      </c>
      <c r="F2061" t="str">
        <f>"001650"</f>
        <v>0</v>
      </c>
      <c r="G2061" t="s">
        <v>18359</v>
      </c>
    </row>
    <row r="2062" spans="1:7">
      <c r="A2062">
        <v>2061</v>
      </c>
      <c r="B2062" t="str">
        <f>"025657"</f>
        <v>0</v>
      </c>
      <c r="C2062" t="s">
        <v>20948</v>
      </c>
      <c r="D2062" t="s">
        <v>20949</v>
      </c>
      <c r="E2062" t="str">
        <f>"1471100054876"</f>
        <v>0</v>
      </c>
      <c r="F2062" t="str">
        <f>"001650"</f>
        <v>0</v>
      </c>
      <c r="G2062" t="s">
        <v>18359</v>
      </c>
    </row>
    <row r="2063" spans="1:7">
      <c r="A2063">
        <v>2062</v>
      </c>
      <c r="B2063" t="str">
        <f>"025961"</f>
        <v>0</v>
      </c>
      <c r="C2063" t="s">
        <v>7754</v>
      </c>
      <c r="D2063" t="s">
        <v>20950</v>
      </c>
      <c r="E2063" t="str">
        <f>"1470500008447"</f>
        <v>0</v>
      </c>
      <c r="F2063" t="str">
        <f>"001650"</f>
        <v>0</v>
      </c>
      <c r="G2063" t="s">
        <v>18359</v>
      </c>
    </row>
    <row r="2064" spans="1:7">
      <c r="A2064">
        <v>2063</v>
      </c>
      <c r="B2064" t="str">
        <f>"025966"</f>
        <v>0</v>
      </c>
      <c r="C2064" t="s">
        <v>606</v>
      </c>
      <c r="D2064" t="s">
        <v>11706</v>
      </c>
      <c r="E2064" t="str">
        <f>"3501200550412"</f>
        <v>0</v>
      </c>
      <c r="F2064" t="str">
        <f>"001650"</f>
        <v>0</v>
      </c>
      <c r="G2064" t="s">
        <v>18359</v>
      </c>
    </row>
    <row r="2065" spans="1:7">
      <c r="A2065">
        <v>2064</v>
      </c>
      <c r="B2065" t="str">
        <f>"025967"</f>
        <v>0</v>
      </c>
      <c r="C2065" t="s">
        <v>20951</v>
      </c>
      <c r="D2065" t="s">
        <v>20952</v>
      </c>
      <c r="E2065" t="str">
        <f>"1471200012067"</f>
        <v>0</v>
      </c>
      <c r="F2065" t="str">
        <f>"001650"</f>
        <v>0</v>
      </c>
      <c r="G2065" t="s">
        <v>18359</v>
      </c>
    </row>
    <row r="2066" spans="1:7">
      <c r="A2066">
        <v>2065</v>
      </c>
      <c r="B2066" t="str">
        <f>"026038"</f>
        <v>0</v>
      </c>
      <c r="C2066" t="s">
        <v>20953</v>
      </c>
      <c r="D2066" t="s">
        <v>20954</v>
      </c>
      <c r="E2066" t="str">
        <f>"3470500004367"</f>
        <v>0</v>
      </c>
      <c r="F2066" t="str">
        <f>"001650"</f>
        <v>0</v>
      </c>
      <c r="G2066" t="s">
        <v>18359</v>
      </c>
    </row>
    <row r="2067" spans="1:7">
      <c r="A2067">
        <v>2066</v>
      </c>
      <c r="B2067" t="str">
        <f>"026219"</f>
        <v>0</v>
      </c>
      <c r="C2067" t="s">
        <v>3566</v>
      </c>
      <c r="D2067" t="s">
        <v>20955</v>
      </c>
      <c r="E2067" t="str">
        <f>"1471100020866"</f>
        <v>0</v>
      </c>
      <c r="F2067" t="str">
        <f>"001650"</f>
        <v>0</v>
      </c>
      <c r="G2067" t="s">
        <v>18359</v>
      </c>
    </row>
    <row r="2068" spans="1:7">
      <c r="A2068">
        <v>2067</v>
      </c>
      <c r="B2068" t="str">
        <f>"026531"</f>
        <v>0</v>
      </c>
      <c r="C2068" t="s">
        <v>20956</v>
      </c>
      <c r="D2068" t="s">
        <v>20957</v>
      </c>
      <c r="E2068" t="str">
        <f>"1321090002055"</f>
        <v>0</v>
      </c>
      <c r="F2068" t="str">
        <f>"001650"</f>
        <v>0</v>
      </c>
      <c r="G2068" t="s">
        <v>18359</v>
      </c>
    </row>
    <row r="2069" spans="1:7">
      <c r="A2069">
        <v>2068</v>
      </c>
      <c r="B2069" t="str">
        <f>"026917"</f>
        <v>0</v>
      </c>
      <c r="C2069" t="s">
        <v>1108</v>
      </c>
      <c r="D2069" t="s">
        <v>20958</v>
      </c>
      <c r="E2069" t="str">
        <f>"1470100204869"</f>
        <v>0</v>
      </c>
      <c r="F2069" t="str">
        <f>"001650"</f>
        <v>0</v>
      </c>
      <c r="G2069" t="s">
        <v>18359</v>
      </c>
    </row>
    <row r="2070" spans="1:7">
      <c r="A2070">
        <v>2069</v>
      </c>
      <c r="B2070" t="str">
        <f>"027210"</f>
        <v>0</v>
      </c>
      <c r="C2070" t="s">
        <v>20959</v>
      </c>
      <c r="D2070" t="s">
        <v>20960</v>
      </c>
      <c r="E2070" t="str">
        <f>"3471400139377"</f>
        <v>0</v>
      </c>
      <c r="F2070" t="str">
        <f>"001650"</f>
        <v>0</v>
      </c>
      <c r="G2070" t="s">
        <v>18359</v>
      </c>
    </row>
    <row r="2071" spans="1:7">
      <c r="A2071">
        <v>2070</v>
      </c>
      <c r="B2071" t="str">
        <f>"027397"</f>
        <v>0</v>
      </c>
      <c r="C2071" t="s">
        <v>20961</v>
      </c>
      <c r="D2071" t="s">
        <v>20962</v>
      </c>
      <c r="E2071" t="str">
        <f>"1470900092216"</f>
        <v>0</v>
      </c>
      <c r="F2071" t="str">
        <f>"001650"</f>
        <v>0</v>
      </c>
      <c r="G2071" t="s">
        <v>18359</v>
      </c>
    </row>
    <row r="2072" spans="1:7">
      <c r="A2072">
        <v>2071</v>
      </c>
      <c r="B2072" t="str">
        <f>"017402"</f>
        <v>0</v>
      </c>
      <c r="C2072" t="s">
        <v>14060</v>
      </c>
      <c r="D2072" t="s">
        <v>20963</v>
      </c>
      <c r="E2072" t="str">
        <f>"3471500031268"</f>
        <v>0</v>
      </c>
      <c r="F2072" t="str">
        <f>"001650"</f>
        <v>0</v>
      </c>
      <c r="G2072" t="s">
        <v>18359</v>
      </c>
    </row>
    <row r="2073" spans="1:7">
      <c r="A2073">
        <v>2072</v>
      </c>
      <c r="B2073" t="str">
        <f>"023030"</f>
        <v>0</v>
      </c>
      <c r="C2073" t="s">
        <v>20964</v>
      </c>
      <c r="D2073" t="s">
        <v>20965</v>
      </c>
      <c r="E2073" t="str">
        <f>"3480300001941"</f>
        <v>0</v>
      </c>
      <c r="F2073" t="str">
        <f>"001650"</f>
        <v>0</v>
      </c>
      <c r="G2073" t="s">
        <v>18359</v>
      </c>
    </row>
    <row r="2074" spans="1:7">
      <c r="A2074">
        <v>2073</v>
      </c>
      <c r="B2074" t="str">
        <f>"023775"</f>
        <v>0</v>
      </c>
      <c r="C2074" t="s">
        <v>20966</v>
      </c>
      <c r="D2074" t="s">
        <v>20967</v>
      </c>
      <c r="E2074" t="str">
        <f>"3430400175721"</f>
        <v>0</v>
      </c>
      <c r="F2074" t="str">
        <f>"001650"</f>
        <v>0</v>
      </c>
      <c r="G2074" t="s">
        <v>18359</v>
      </c>
    </row>
    <row r="2075" spans="1:7">
      <c r="A2075">
        <v>2074</v>
      </c>
      <c r="B2075" t="str">
        <f>"025792"</f>
        <v>0</v>
      </c>
      <c r="C2075" t="s">
        <v>20968</v>
      </c>
      <c r="D2075" t="s">
        <v>20969</v>
      </c>
      <c r="E2075" t="str">
        <f>"1430900098681"</f>
        <v>0</v>
      </c>
      <c r="F2075" t="str">
        <f>"001650"</f>
        <v>0</v>
      </c>
      <c r="G2075" t="s">
        <v>18359</v>
      </c>
    </row>
    <row r="2076" spans="1:7">
      <c r="A2076">
        <v>2075</v>
      </c>
      <c r="B2076" t="str">
        <f>"027208"</f>
        <v>0</v>
      </c>
      <c r="C2076" t="s">
        <v>20970</v>
      </c>
      <c r="D2076" t="s">
        <v>20971</v>
      </c>
      <c r="E2076" t="str">
        <f>"1101100077461"</f>
        <v>0</v>
      </c>
      <c r="F2076" t="str">
        <f>"001650"</f>
        <v>0</v>
      </c>
      <c r="G2076" t="s">
        <v>18359</v>
      </c>
    </row>
    <row r="2077" spans="1:7">
      <c r="A2077">
        <v>2076</v>
      </c>
      <c r="B2077" t="str">
        <f>"027212"</f>
        <v>0</v>
      </c>
      <c r="C2077" t="s">
        <v>20972</v>
      </c>
      <c r="D2077" t="s">
        <v>20973</v>
      </c>
      <c r="E2077" t="str">
        <f>"1909800708464"</f>
        <v>0</v>
      </c>
      <c r="F2077" t="str">
        <f>"001650"</f>
        <v>0</v>
      </c>
      <c r="G2077" t="s">
        <v>18359</v>
      </c>
    </row>
    <row r="2078" spans="1:7">
      <c r="A2078">
        <v>2077</v>
      </c>
      <c r="B2078" t="str">
        <f>"026529"</f>
        <v>0</v>
      </c>
      <c r="C2078" t="s">
        <v>20974</v>
      </c>
      <c r="D2078" t="s">
        <v>20975</v>
      </c>
      <c r="E2078" t="str">
        <f>"2959900008659"</f>
        <v>0</v>
      </c>
      <c r="F2078" t="str">
        <f>"001650"</f>
        <v>0</v>
      </c>
      <c r="G2078" t="s">
        <v>18359</v>
      </c>
    </row>
    <row r="2079" spans="1:7">
      <c r="A2079">
        <v>2078</v>
      </c>
      <c r="B2079" t="str">
        <f>"027530"</f>
        <v>0</v>
      </c>
      <c r="C2079" t="s">
        <v>20976</v>
      </c>
      <c r="D2079" t="s">
        <v>667</v>
      </c>
      <c r="E2079" t="str">
        <f>"2900600001855"</f>
        <v>0</v>
      </c>
      <c r="F2079" t="str">
        <f>"001650"</f>
        <v>0</v>
      </c>
      <c r="G2079" t="s">
        <v>18359</v>
      </c>
    </row>
    <row r="2080" spans="1:7">
      <c r="A2080">
        <v>2079</v>
      </c>
      <c r="B2080" t="str">
        <f>"001107"</f>
        <v>0</v>
      </c>
      <c r="C2080" t="s">
        <v>5737</v>
      </c>
      <c r="D2080" t="s">
        <v>3749</v>
      </c>
      <c r="E2080" t="str">
        <f>"3909900454673"</f>
        <v>0</v>
      </c>
      <c r="F2080" t="str">
        <f>"001670"</f>
        <v>0</v>
      </c>
      <c r="G2080" t="s">
        <v>18359</v>
      </c>
    </row>
    <row r="2081" spans="1:7">
      <c r="A2081">
        <v>2080</v>
      </c>
      <c r="B2081" t="str">
        <f>"001239"</f>
        <v>0</v>
      </c>
      <c r="C2081" t="s">
        <v>7274</v>
      </c>
      <c r="D2081" t="s">
        <v>20977</v>
      </c>
      <c r="E2081" t="str">
        <f>"5909900002973"</f>
        <v>0</v>
      </c>
      <c r="F2081" t="str">
        <f>"001670"</f>
        <v>0</v>
      </c>
      <c r="G2081" t="s">
        <v>18359</v>
      </c>
    </row>
    <row r="2082" spans="1:7">
      <c r="A2082">
        <v>2081</v>
      </c>
      <c r="B2082" t="str">
        <f>"001795"</f>
        <v>0</v>
      </c>
      <c r="C2082" t="s">
        <v>260</v>
      </c>
      <c r="D2082" t="s">
        <v>20978</v>
      </c>
      <c r="E2082" t="str">
        <f>"3939900147801"</f>
        <v>0</v>
      </c>
      <c r="F2082" t="str">
        <f>"001670"</f>
        <v>0</v>
      </c>
      <c r="G2082" t="s">
        <v>18359</v>
      </c>
    </row>
    <row r="2083" spans="1:7">
      <c r="A2083">
        <v>2082</v>
      </c>
      <c r="B2083" t="str">
        <f>"003787"</f>
        <v>0</v>
      </c>
      <c r="C2083" t="s">
        <v>2351</v>
      </c>
      <c r="D2083" t="s">
        <v>20979</v>
      </c>
      <c r="E2083" t="str">
        <f>"3900100177995"</f>
        <v>0</v>
      </c>
      <c r="F2083" t="str">
        <f>"001670"</f>
        <v>0</v>
      </c>
      <c r="G2083" t="s">
        <v>18359</v>
      </c>
    </row>
    <row r="2084" spans="1:7">
      <c r="A2084">
        <v>2083</v>
      </c>
      <c r="B2084" t="str">
        <f>"004217"</f>
        <v>0</v>
      </c>
      <c r="C2084" t="s">
        <v>939</v>
      </c>
      <c r="D2084" t="s">
        <v>17850</v>
      </c>
      <c r="E2084" t="str">
        <f>"3940100300339"</f>
        <v>0</v>
      </c>
      <c r="F2084" t="str">
        <f>"001670"</f>
        <v>0</v>
      </c>
      <c r="G2084" t="s">
        <v>18359</v>
      </c>
    </row>
    <row r="2085" spans="1:7">
      <c r="A2085">
        <v>2084</v>
      </c>
      <c r="B2085" t="str">
        <f>"004942"</f>
        <v>0</v>
      </c>
      <c r="C2085" t="s">
        <v>14664</v>
      </c>
      <c r="D2085" t="s">
        <v>20980</v>
      </c>
      <c r="E2085" t="str">
        <f>"3900900007385"</f>
        <v>0</v>
      </c>
      <c r="F2085" t="str">
        <f>"001670"</f>
        <v>0</v>
      </c>
      <c r="G2085" t="s">
        <v>18359</v>
      </c>
    </row>
    <row r="2086" spans="1:7">
      <c r="A2086">
        <v>2085</v>
      </c>
      <c r="B2086" t="str">
        <f>"004947"</f>
        <v>0</v>
      </c>
      <c r="C2086" t="s">
        <v>20981</v>
      </c>
      <c r="D2086" t="s">
        <v>20982</v>
      </c>
      <c r="E2086" t="str">
        <f>"3900200433110"</f>
        <v>0</v>
      </c>
      <c r="F2086" t="str">
        <f>"001670"</f>
        <v>0</v>
      </c>
      <c r="G2086" t="s">
        <v>18359</v>
      </c>
    </row>
    <row r="2087" spans="1:7">
      <c r="A2087">
        <v>2086</v>
      </c>
      <c r="B2087" t="str">
        <f>"005150"</f>
        <v>0</v>
      </c>
      <c r="C2087" t="s">
        <v>20983</v>
      </c>
      <c r="D2087" t="s">
        <v>14975</v>
      </c>
      <c r="E2087" t="str">
        <f>"3950400010484"</f>
        <v>0</v>
      </c>
      <c r="F2087" t="str">
        <f>"001670"</f>
        <v>0</v>
      </c>
      <c r="G2087" t="s">
        <v>18359</v>
      </c>
    </row>
    <row r="2088" spans="1:7">
      <c r="A2088">
        <v>2087</v>
      </c>
      <c r="B2088" t="str">
        <f>"005894"</f>
        <v>0</v>
      </c>
      <c r="C2088" t="s">
        <v>520</v>
      </c>
      <c r="D2088" t="s">
        <v>20984</v>
      </c>
      <c r="E2088" t="str">
        <f>"3900500023588"</f>
        <v>0</v>
      </c>
      <c r="F2088" t="str">
        <f>"001670"</f>
        <v>0</v>
      </c>
      <c r="G2088" t="s">
        <v>18359</v>
      </c>
    </row>
    <row r="2089" spans="1:7">
      <c r="A2089">
        <v>2088</v>
      </c>
      <c r="B2089" t="str">
        <f>"005903"</f>
        <v>0</v>
      </c>
      <c r="C2089" t="s">
        <v>20985</v>
      </c>
      <c r="D2089" t="s">
        <v>20986</v>
      </c>
      <c r="E2089" t="str">
        <f>"3900300371817"</f>
        <v>0</v>
      </c>
      <c r="F2089" t="str">
        <f>"001670"</f>
        <v>0</v>
      </c>
      <c r="G2089" t="s">
        <v>18359</v>
      </c>
    </row>
    <row r="2090" spans="1:7">
      <c r="A2090">
        <v>2089</v>
      </c>
      <c r="B2090" t="str">
        <f>"006737"</f>
        <v>0</v>
      </c>
      <c r="C2090" t="s">
        <v>3057</v>
      </c>
      <c r="D2090" t="s">
        <v>20987</v>
      </c>
      <c r="E2090" t="str">
        <f>"3101600790961"</f>
        <v>0</v>
      </c>
      <c r="F2090" t="str">
        <f>"001670"</f>
        <v>0</v>
      </c>
      <c r="G2090" t="s">
        <v>18359</v>
      </c>
    </row>
    <row r="2091" spans="1:7">
      <c r="A2091">
        <v>2090</v>
      </c>
      <c r="B2091" t="str">
        <f>"007328"</f>
        <v>0</v>
      </c>
      <c r="C2091" t="s">
        <v>20988</v>
      </c>
      <c r="D2091" t="s">
        <v>20989</v>
      </c>
      <c r="E2091" t="str">
        <f>"3909800804290"</f>
        <v>0</v>
      </c>
      <c r="F2091" t="str">
        <f>"001670"</f>
        <v>0</v>
      </c>
      <c r="G2091" t="s">
        <v>18359</v>
      </c>
    </row>
    <row r="2092" spans="1:7">
      <c r="A2092">
        <v>2091</v>
      </c>
      <c r="B2092" t="str">
        <f>"007471"</f>
        <v>0</v>
      </c>
      <c r="C2092" t="s">
        <v>20990</v>
      </c>
      <c r="D2092" t="s">
        <v>20991</v>
      </c>
      <c r="E2092" t="str">
        <f>"3909900234151"</f>
        <v>0</v>
      </c>
      <c r="F2092" t="str">
        <f>"001670"</f>
        <v>0</v>
      </c>
      <c r="G2092" t="s">
        <v>18359</v>
      </c>
    </row>
    <row r="2093" spans="1:7">
      <c r="A2093">
        <v>2092</v>
      </c>
      <c r="B2093" t="str">
        <f>"007981"</f>
        <v>0</v>
      </c>
      <c r="C2093" t="s">
        <v>2096</v>
      </c>
      <c r="D2093" t="s">
        <v>20992</v>
      </c>
      <c r="E2093" t="str">
        <f>"3949800045429"</f>
        <v>0</v>
      </c>
      <c r="F2093" t="str">
        <f>"001670"</f>
        <v>0</v>
      </c>
      <c r="G2093" t="s">
        <v>18359</v>
      </c>
    </row>
    <row r="2094" spans="1:7">
      <c r="A2094">
        <v>2093</v>
      </c>
      <c r="B2094" t="str">
        <f>"008015"</f>
        <v>0</v>
      </c>
      <c r="C2094" t="s">
        <v>4967</v>
      </c>
      <c r="D2094" t="s">
        <v>20993</v>
      </c>
      <c r="E2094" t="str">
        <f>"3930100308313"</f>
        <v>0</v>
      </c>
      <c r="F2094" t="str">
        <f>"001670"</f>
        <v>0</v>
      </c>
      <c r="G2094" t="s">
        <v>18359</v>
      </c>
    </row>
    <row r="2095" spans="1:7">
      <c r="A2095">
        <v>2094</v>
      </c>
      <c r="B2095" t="str">
        <f>"008159"</f>
        <v>0</v>
      </c>
      <c r="C2095" t="s">
        <v>1804</v>
      </c>
      <c r="D2095" t="s">
        <v>343</v>
      </c>
      <c r="E2095" t="str">
        <f>"3901100847851"</f>
        <v>0</v>
      </c>
      <c r="F2095" t="str">
        <f>"001670"</f>
        <v>0</v>
      </c>
      <c r="G2095" t="s">
        <v>18359</v>
      </c>
    </row>
    <row r="2096" spans="1:7">
      <c r="A2096">
        <v>2095</v>
      </c>
      <c r="B2096" t="str">
        <f>"008735"</f>
        <v>0</v>
      </c>
      <c r="C2096" t="s">
        <v>297</v>
      </c>
      <c r="D2096" t="s">
        <v>20994</v>
      </c>
      <c r="E2096" t="str">
        <f>"3960500108435"</f>
        <v>0</v>
      </c>
      <c r="F2096" t="str">
        <f>"001670"</f>
        <v>0</v>
      </c>
      <c r="G2096" t="s">
        <v>18359</v>
      </c>
    </row>
    <row r="2097" spans="1:7">
      <c r="A2097">
        <v>2096</v>
      </c>
      <c r="B2097" t="str">
        <f>"009157"</f>
        <v>0</v>
      </c>
      <c r="C2097" t="s">
        <v>20995</v>
      </c>
      <c r="D2097" t="s">
        <v>20996</v>
      </c>
      <c r="E2097" t="str">
        <f>"3960600104539"</f>
        <v>0</v>
      </c>
      <c r="F2097" t="str">
        <f>"001670"</f>
        <v>0</v>
      </c>
      <c r="G2097" t="s">
        <v>18359</v>
      </c>
    </row>
    <row r="2098" spans="1:7">
      <c r="A2098">
        <v>2097</v>
      </c>
      <c r="B2098" t="str">
        <f>"009862"</f>
        <v>0</v>
      </c>
      <c r="C2098" t="s">
        <v>5330</v>
      </c>
      <c r="D2098" t="s">
        <v>398</v>
      </c>
      <c r="E2098" t="str">
        <f>"3900900048383"</f>
        <v>0</v>
      </c>
      <c r="F2098" t="str">
        <f>"001670"</f>
        <v>0</v>
      </c>
      <c r="G2098" t="s">
        <v>18359</v>
      </c>
    </row>
    <row r="2099" spans="1:7">
      <c r="A2099">
        <v>2098</v>
      </c>
      <c r="B2099" t="str">
        <f>"010214"</f>
        <v>0</v>
      </c>
      <c r="C2099" t="s">
        <v>703</v>
      </c>
      <c r="D2099" t="s">
        <v>20997</v>
      </c>
      <c r="E2099" t="str">
        <f>"3909700108381"</f>
        <v>0</v>
      </c>
      <c r="F2099" t="str">
        <f>"001670"</f>
        <v>0</v>
      </c>
      <c r="G2099" t="s">
        <v>18359</v>
      </c>
    </row>
    <row r="2100" spans="1:7">
      <c r="A2100">
        <v>2099</v>
      </c>
      <c r="B2100" t="str">
        <f>"010420"</f>
        <v>0</v>
      </c>
      <c r="C2100" t="s">
        <v>778</v>
      </c>
      <c r="D2100" t="s">
        <v>12694</v>
      </c>
      <c r="E2100" t="str">
        <f>"3969900054080"</f>
        <v>0</v>
      </c>
      <c r="F2100" t="str">
        <f>"001670"</f>
        <v>0</v>
      </c>
      <c r="G2100" t="s">
        <v>18359</v>
      </c>
    </row>
    <row r="2101" spans="1:7">
      <c r="A2101">
        <v>2100</v>
      </c>
      <c r="B2101" t="str">
        <f>"012005"</f>
        <v>0</v>
      </c>
      <c r="C2101" t="s">
        <v>4967</v>
      </c>
      <c r="D2101" t="s">
        <v>20998</v>
      </c>
      <c r="E2101" t="str">
        <f>"3901100488304"</f>
        <v>0</v>
      </c>
      <c r="F2101" t="str">
        <f>"001670"</f>
        <v>0</v>
      </c>
      <c r="G2101" t="s">
        <v>18359</v>
      </c>
    </row>
    <row r="2102" spans="1:7">
      <c r="A2102">
        <v>2101</v>
      </c>
      <c r="B2102" t="str">
        <f>"012061"</f>
        <v>0</v>
      </c>
      <c r="C2102" t="s">
        <v>9966</v>
      </c>
      <c r="D2102" t="s">
        <v>20999</v>
      </c>
      <c r="E2102" t="str">
        <f>"3900400072480"</f>
        <v>0</v>
      </c>
      <c r="F2102" t="str">
        <f>"001670"</f>
        <v>0</v>
      </c>
      <c r="G2102" t="s">
        <v>18359</v>
      </c>
    </row>
    <row r="2103" spans="1:7">
      <c r="A2103">
        <v>2102</v>
      </c>
      <c r="B2103" t="str">
        <f>"012207"</f>
        <v>0</v>
      </c>
      <c r="C2103" t="s">
        <v>7565</v>
      </c>
      <c r="D2103" t="s">
        <v>21000</v>
      </c>
      <c r="E2103" t="str">
        <f>"3900900011242"</f>
        <v>0</v>
      </c>
      <c r="F2103" t="str">
        <f>"001670"</f>
        <v>0</v>
      </c>
      <c r="G2103" t="s">
        <v>18359</v>
      </c>
    </row>
    <row r="2104" spans="1:7">
      <c r="A2104">
        <v>2103</v>
      </c>
      <c r="B2104" t="str">
        <f>"012296"</f>
        <v>0</v>
      </c>
      <c r="C2104" t="s">
        <v>3799</v>
      </c>
      <c r="D2104" t="s">
        <v>14180</v>
      </c>
      <c r="E2104" t="str">
        <f>"3909700032830"</f>
        <v>0</v>
      </c>
      <c r="F2104" t="str">
        <f>"001670"</f>
        <v>0</v>
      </c>
      <c r="G2104" t="s">
        <v>18359</v>
      </c>
    </row>
    <row r="2105" spans="1:7">
      <c r="A2105">
        <v>2104</v>
      </c>
      <c r="B2105" t="str">
        <f>"012349"</f>
        <v>0</v>
      </c>
      <c r="C2105" t="s">
        <v>2607</v>
      </c>
      <c r="D2105" t="s">
        <v>14316</v>
      </c>
      <c r="E2105" t="str">
        <f>"3909900465462"</f>
        <v>0</v>
      </c>
      <c r="F2105" t="str">
        <f>"001670"</f>
        <v>0</v>
      </c>
      <c r="G2105" t="s">
        <v>18359</v>
      </c>
    </row>
    <row r="2106" spans="1:7">
      <c r="A2106">
        <v>2105</v>
      </c>
      <c r="B2106" t="str">
        <f>"012503"</f>
        <v>0</v>
      </c>
      <c r="C2106" t="s">
        <v>554</v>
      </c>
      <c r="D2106" t="s">
        <v>21001</v>
      </c>
      <c r="E2106" t="str">
        <f>"3901200034534"</f>
        <v>0</v>
      </c>
      <c r="F2106" t="str">
        <f>"001670"</f>
        <v>0</v>
      </c>
      <c r="G2106" t="s">
        <v>18359</v>
      </c>
    </row>
    <row r="2107" spans="1:7">
      <c r="A2107">
        <v>2106</v>
      </c>
      <c r="B2107" t="str">
        <f>"012520"</f>
        <v>0</v>
      </c>
      <c r="C2107" t="s">
        <v>19368</v>
      </c>
      <c r="D2107" t="s">
        <v>21002</v>
      </c>
      <c r="E2107" t="str">
        <f>"3909801122672"</f>
        <v>0</v>
      </c>
      <c r="F2107" t="str">
        <f>"001670"</f>
        <v>0</v>
      </c>
      <c r="G2107" t="s">
        <v>18359</v>
      </c>
    </row>
    <row r="2108" spans="1:7">
      <c r="A2108">
        <v>2107</v>
      </c>
      <c r="B2108" t="str">
        <f>"012858"</f>
        <v>0</v>
      </c>
      <c r="C2108" t="s">
        <v>21003</v>
      </c>
      <c r="D2108" t="s">
        <v>21004</v>
      </c>
      <c r="E2108" t="str">
        <f>"3900300454721"</f>
        <v>0</v>
      </c>
      <c r="F2108" t="str">
        <f>"001670"</f>
        <v>0</v>
      </c>
      <c r="G2108" t="s">
        <v>18359</v>
      </c>
    </row>
    <row r="2109" spans="1:7">
      <c r="A2109">
        <v>2108</v>
      </c>
      <c r="B2109" t="str">
        <f>"012897"</f>
        <v>0</v>
      </c>
      <c r="C2109" t="s">
        <v>6681</v>
      </c>
      <c r="D2109" t="s">
        <v>21005</v>
      </c>
      <c r="E2109" t="str">
        <f>"3900700453756"</f>
        <v>0</v>
      </c>
      <c r="F2109" t="str">
        <f>"001670"</f>
        <v>0</v>
      </c>
      <c r="G2109" t="s">
        <v>18359</v>
      </c>
    </row>
    <row r="2110" spans="1:7">
      <c r="A2110">
        <v>2109</v>
      </c>
      <c r="B2110" t="str">
        <f>"013712"</f>
        <v>0</v>
      </c>
      <c r="C2110" t="s">
        <v>554</v>
      </c>
      <c r="D2110" t="s">
        <v>14171</v>
      </c>
      <c r="E2110" t="str">
        <f>"3960700033251"</f>
        <v>0</v>
      </c>
      <c r="F2110" t="str">
        <f>"001670"</f>
        <v>0</v>
      </c>
      <c r="G2110" t="s">
        <v>18359</v>
      </c>
    </row>
    <row r="2111" spans="1:7">
      <c r="A2111">
        <v>2110</v>
      </c>
      <c r="B2111" t="str">
        <f>"014174"</f>
        <v>0</v>
      </c>
      <c r="C2111" t="s">
        <v>21006</v>
      </c>
      <c r="D2111" t="s">
        <v>21007</v>
      </c>
      <c r="E2111" t="str">
        <f>"3930600221403"</f>
        <v>0</v>
      </c>
      <c r="F2111" t="str">
        <f>"001670"</f>
        <v>0</v>
      </c>
      <c r="G2111" t="s">
        <v>18359</v>
      </c>
    </row>
    <row r="2112" spans="1:7">
      <c r="A2112">
        <v>2111</v>
      </c>
      <c r="B2112" t="str">
        <f>"015055"</f>
        <v>0</v>
      </c>
      <c r="C2112" t="s">
        <v>48</v>
      </c>
      <c r="D2112" t="s">
        <v>15453</v>
      </c>
      <c r="E2112" t="str">
        <f>"3900101066780"</f>
        <v>0</v>
      </c>
      <c r="F2112" t="str">
        <f>"001670"</f>
        <v>0</v>
      </c>
      <c r="G2112" t="s">
        <v>18359</v>
      </c>
    </row>
    <row r="2113" spans="1:7">
      <c r="A2113">
        <v>2112</v>
      </c>
      <c r="B2113" t="str">
        <f>"015071"</f>
        <v>0</v>
      </c>
      <c r="C2113" t="s">
        <v>4317</v>
      </c>
      <c r="D2113" t="s">
        <v>7309</v>
      </c>
      <c r="E2113" t="str">
        <f>"3900800022684"</f>
        <v>0</v>
      </c>
      <c r="F2113" t="str">
        <f>"001670"</f>
        <v>0</v>
      </c>
      <c r="G2113" t="s">
        <v>18359</v>
      </c>
    </row>
    <row r="2114" spans="1:7">
      <c r="A2114">
        <v>2113</v>
      </c>
      <c r="B2114" t="str">
        <f>"022620"</f>
        <v>0</v>
      </c>
      <c r="C2114" t="s">
        <v>4734</v>
      </c>
      <c r="D2114" t="s">
        <v>21008</v>
      </c>
      <c r="E2114" t="str">
        <f>"3901200102921"</f>
        <v>0</v>
      </c>
      <c r="F2114" t="str">
        <f>"001670"</f>
        <v>0</v>
      </c>
      <c r="G2114" t="s">
        <v>18359</v>
      </c>
    </row>
    <row r="2115" spans="1:7">
      <c r="A2115">
        <v>2114</v>
      </c>
      <c r="B2115" t="str">
        <f>"023227"</f>
        <v>0</v>
      </c>
      <c r="C2115" t="s">
        <v>21009</v>
      </c>
      <c r="D2115" t="s">
        <v>21010</v>
      </c>
      <c r="E2115" t="str">
        <f>"3909800753890"</f>
        <v>0</v>
      </c>
      <c r="F2115" t="str">
        <f>"001670"</f>
        <v>0</v>
      </c>
      <c r="G2115" t="s">
        <v>18359</v>
      </c>
    </row>
    <row r="2116" spans="1:7">
      <c r="A2116">
        <v>2115</v>
      </c>
      <c r="B2116" t="str">
        <f>"014397"</f>
        <v>0</v>
      </c>
      <c r="C2116" t="s">
        <v>2331</v>
      </c>
      <c r="D2116" t="s">
        <v>21011</v>
      </c>
      <c r="E2116" t="str">
        <f>"3900900241388"</f>
        <v>0</v>
      </c>
      <c r="F2116" t="str">
        <f>"001670"</f>
        <v>0</v>
      </c>
      <c r="G2116" t="s">
        <v>18359</v>
      </c>
    </row>
    <row r="2117" spans="1:7">
      <c r="A2117">
        <v>2116</v>
      </c>
      <c r="B2117" t="str">
        <f>"020596"</f>
        <v>0</v>
      </c>
      <c r="C2117" t="s">
        <v>21012</v>
      </c>
      <c r="D2117" t="s">
        <v>21013</v>
      </c>
      <c r="E2117" t="str">
        <f>"3411100243969"</f>
        <v>0</v>
      </c>
      <c r="F2117" t="str">
        <f>"001670"</f>
        <v>0</v>
      </c>
      <c r="G2117" t="s">
        <v>18359</v>
      </c>
    </row>
    <row r="2118" spans="1:7">
      <c r="A2118">
        <v>2117</v>
      </c>
      <c r="B2118" t="str">
        <f>"023589"</f>
        <v>0</v>
      </c>
      <c r="C2118" t="s">
        <v>19989</v>
      </c>
      <c r="D2118" t="s">
        <v>21014</v>
      </c>
      <c r="E2118" t="str">
        <f>"1160100385670"</f>
        <v>0</v>
      </c>
      <c r="F2118" t="str">
        <f>"001670"</f>
        <v>0</v>
      </c>
      <c r="G2118" t="s">
        <v>18359</v>
      </c>
    </row>
    <row r="2119" spans="1:7">
      <c r="A2119">
        <v>2118</v>
      </c>
      <c r="B2119" t="str">
        <f>"024127"</f>
        <v>0</v>
      </c>
      <c r="C2119" t="s">
        <v>955</v>
      </c>
      <c r="D2119" t="s">
        <v>21015</v>
      </c>
      <c r="E2119" t="str">
        <f>"3500900045442"</f>
        <v>0</v>
      </c>
      <c r="F2119" t="str">
        <f>"001670"</f>
        <v>0</v>
      </c>
      <c r="G2119" t="s">
        <v>18359</v>
      </c>
    </row>
    <row r="2120" spans="1:7">
      <c r="A2120">
        <v>2119</v>
      </c>
      <c r="B2120" t="str">
        <f>"021812"</f>
        <v>0</v>
      </c>
      <c r="C2120" t="s">
        <v>181</v>
      </c>
      <c r="D2120" t="s">
        <v>11247</v>
      </c>
      <c r="E2120" t="str">
        <f>"3930300313621"</f>
        <v>0</v>
      </c>
      <c r="F2120" t="str">
        <f>"001670"</f>
        <v>0</v>
      </c>
      <c r="G2120" t="s">
        <v>18359</v>
      </c>
    </row>
    <row r="2121" spans="1:7">
      <c r="A2121">
        <v>2120</v>
      </c>
      <c r="B2121" t="str">
        <f>"011244"</f>
        <v>0</v>
      </c>
      <c r="C2121" t="s">
        <v>326</v>
      </c>
      <c r="D2121" t="s">
        <v>15583</v>
      </c>
      <c r="E2121" t="str">
        <f>"3800800337627"</f>
        <v>0</v>
      </c>
      <c r="F2121" t="str">
        <f>"001670"</f>
        <v>0</v>
      </c>
      <c r="G2121" t="s">
        <v>18359</v>
      </c>
    </row>
    <row r="2122" spans="1:7">
      <c r="A2122">
        <v>2121</v>
      </c>
      <c r="B2122" t="str">
        <f>"017854"</f>
        <v>0</v>
      </c>
      <c r="C2122" t="s">
        <v>21016</v>
      </c>
      <c r="D2122" t="s">
        <v>21017</v>
      </c>
      <c r="E2122" t="str">
        <f>"3901100007527"</f>
        <v>0</v>
      </c>
      <c r="F2122" t="str">
        <f>"001670"</f>
        <v>0</v>
      </c>
      <c r="G2122" t="s">
        <v>18359</v>
      </c>
    </row>
    <row r="2123" spans="1:7">
      <c r="A2123">
        <v>2122</v>
      </c>
      <c r="B2123" t="str">
        <f>"022330"</f>
        <v>0</v>
      </c>
      <c r="C2123" t="s">
        <v>8680</v>
      </c>
      <c r="D2123" t="s">
        <v>21018</v>
      </c>
      <c r="E2123" t="str">
        <f>"5909900024519"</f>
        <v>0</v>
      </c>
      <c r="F2123" t="str">
        <f>"001670"</f>
        <v>0</v>
      </c>
      <c r="G2123" t="s">
        <v>18359</v>
      </c>
    </row>
    <row r="2124" spans="1:7">
      <c r="A2124">
        <v>2123</v>
      </c>
      <c r="B2124" t="str">
        <f>"023035"</f>
        <v>0</v>
      </c>
      <c r="C2124" t="s">
        <v>21019</v>
      </c>
      <c r="D2124" t="s">
        <v>21020</v>
      </c>
      <c r="E2124" t="str">
        <f>"1909900050584"</f>
        <v>0</v>
      </c>
      <c r="F2124" t="str">
        <f>"001670"</f>
        <v>0</v>
      </c>
      <c r="G2124" t="s">
        <v>18359</v>
      </c>
    </row>
    <row r="2125" spans="1:7">
      <c r="A2125">
        <v>2124</v>
      </c>
      <c r="B2125" t="str">
        <f>"023155"</f>
        <v>0</v>
      </c>
      <c r="C2125" t="s">
        <v>21021</v>
      </c>
      <c r="D2125" t="s">
        <v>21022</v>
      </c>
      <c r="E2125" t="str">
        <f>"1900100004369"</f>
        <v>0</v>
      </c>
      <c r="F2125" t="str">
        <f>"001670"</f>
        <v>0</v>
      </c>
      <c r="G2125" t="s">
        <v>18359</v>
      </c>
    </row>
    <row r="2126" spans="1:7">
      <c r="A2126">
        <v>2125</v>
      </c>
      <c r="B2126" t="str">
        <f>"023411"</f>
        <v>0</v>
      </c>
      <c r="C2126" t="s">
        <v>18218</v>
      </c>
      <c r="D2126" t="s">
        <v>21023</v>
      </c>
      <c r="E2126" t="str">
        <f>"3901100329559"</f>
        <v>0</v>
      </c>
      <c r="F2126" t="str">
        <f>"001670"</f>
        <v>0</v>
      </c>
      <c r="G2126" t="s">
        <v>18359</v>
      </c>
    </row>
    <row r="2127" spans="1:7">
      <c r="A2127">
        <v>2126</v>
      </c>
      <c r="B2127" t="str">
        <f>"023613"</f>
        <v>0</v>
      </c>
      <c r="C2127" t="s">
        <v>21024</v>
      </c>
      <c r="D2127" t="s">
        <v>21025</v>
      </c>
      <c r="E2127" t="str">
        <f>"1901200002881"</f>
        <v>0</v>
      </c>
      <c r="F2127" t="str">
        <f>"001670"</f>
        <v>0</v>
      </c>
      <c r="G2127" t="s">
        <v>18359</v>
      </c>
    </row>
    <row r="2128" spans="1:7">
      <c r="A2128">
        <v>2127</v>
      </c>
      <c r="B2128" t="str">
        <f>"024246"</f>
        <v>0</v>
      </c>
      <c r="C2128" t="s">
        <v>3101</v>
      </c>
      <c r="D2128" t="s">
        <v>808</v>
      </c>
      <c r="E2128" t="str">
        <f>"3909900606279"</f>
        <v>0</v>
      </c>
      <c r="F2128" t="str">
        <f>"001670"</f>
        <v>0</v>
      </c>
      <c r="G2128" t="s">
        <v>18359</v>
      </c>
    </row>
    <row r="2129" spans="1:7">
      <c r="A2129">
        <v>2128</v>
      </c>
      <c r="B2129" t="str">
        <f>"024537"</f>
        <v>0</v>
      </c>
      <c r="C2129" t="s">
        <v>21026</v>
      </c>
      <c r="D2129" t="s">
        <v>21027</v>
      </c>
      <c r="E2129" t="str">
        <f>"3909900802671"</f>
        <v>0</v>
      </c>
      <c r="F2129" t="str">
        <f>"001670"</f>
        <v>0</v>
      </c>
      <c r="G2129" t="s">
        <v>18359</v>
      </c>
    </row>
    <row r="2130" spans="1:7">
      <c r="A2130">
        <v>2129</v>
      </c>
      <c r="B2130" t="str">
        <f>"024989"</f>
        <v>0</v>
      </c>
      <c r="C2130" t="s">
        <v>21028</v>
      </c>
      <c r="D2130" t="s">
        <v>21029</v>
      </c>
      <c r="E2130" t="str">
        <f>"3909900453138"</f>
        <v>0</v>
      </c>
      <c r="F2130" t="str">
        <f>"001670"</f>
        <v>0</v>
      </c>
      <c r="G2130" t="s">
        <v>18359</v>
      </c>
    </row>
    <row r="2131" spans="1:7">
      <c r="A2131">
        <v>2130</v>
      </c>
      <c r="B2131" t="str">
        <f>"025332"</f>
        <v>0</v>
      </c>
      <c r="C2131" t="s">
        <v>9132</v>
      </c>
      <c r="D2131" t="s">
        <v>21030</v>
      </c>
      <c r="E2131" t="str">
        <f>"1909900135156"</f>
        <v>0</v>
      </c>
      <c r="F2131" t="str">
        <f>"001670"</f>
        <v>0</v>
      </c>
      <c r="G2131" t="s">
        <v>18359</v>
      </c>
    </row>
    <row r="2132" spans="1:7">
      <c r="A2132">
        <v>2131</v>
      </c>
      <c r="B2132" t="str">
        <f>"025600"</f>
        <v>0</v>
      </c>
      <c r="C2132" t="s">
        <v>21031</v>
      </c>
      <c r="D2132" t="s">
        <v>21032</v>
      </c>
      <c r="E2132" t="str">
        <f>"1900700005820"</f>
        <v>0</v>
      </c>
      <c r="F2132" t="str">
        <f>"001670"</f>
        <v>0</v>
      </c>
      <c r="G2132" t="s">
        <v>18359</v>
      </c>
    </row>
    <row r="2133" spans="1:7">
      <c r="A2133">
        <v>2132</v>
      </c>
      <c r="B2133" t="str">
        <f>"026220"</f>
        <v>0</v>
      </c>
      <c r="C2133" t="s">
        <v>21033</v>
      </c>
      <c r="D2133" t="s">
        <v>21034</v>
      </c>
      <c r="E2133" t="str">
        <f>"1901000077446"</f>
        <v>0</v>
      </c>
      <c r="F2133" t="str">
        <f>"001670"</f>
        <v>0</v>
      </c>
      <c r="G2133" t="s">
        <v>18359</v>
      </c>
    </row>
    <row r="2134" spans="1:7">
      <c r="A2134">
        <v>2133</v>
      </c>
      <c r="B2134" t="str">
        <f>"026221"</f>
        <v>0</v>
      </c>
      <c r="C2134" t="s">
        <v>2082</v>
      </c>
      <c r="D2134" t="s">
        <v>21035</v>
      </c>
      <c r="E2134" t="str">
        <f>"1910300041748"</f>
        <v>0</v>
      </c>
      <c r="F2134" t="str">
        <f>"001670"</f>
        <v>0</v>
      </c>
      <c r="G2134" t="s">
        <v>18359</v>
      </c>
    </row>
    <row r="2135" spans="1:7">
      <c r="A2135">
        <v>2134</v>
      </c>
      <c r="B2135" t="str">
        <f>"026223"</f>
        <v>0</v>
      </c>
      <c r="C2135" t="s">
        <v>21036</v>
      </c>
      <c r="D2135" t="s">
        <v>21037</v>
      </c>
      <c r="E2135" t="str">
        <f>"1101400299001"</f>
        <v>0</v>
      </c>
      <c r="F2135" t="str">
        <f>"001670"</f>
        <v>0</v>
      </c>
      <c r="G2135" t="s">
        <v>18359</v>
      </c>
    </row>
    <row r="2136" spans="1:7">
      <c r="A2136">
        <v>2135</v>
      </c>
      <c r="B2136" t="str">
        <f>"026244"</f>
        <v>0</v>
      </c>
      <c r="C2136" t="s">
        <v>2560</v>
      </c>
      <c r="D2136" t="s">
        <v>21038</v>
      </c>
      <c r="E2136" t="str">
        <f>"1909900295188"</f>
        <v>0</v>
      </c>
      <c r="F2136" t="str">
        <f>"001670"</f>
        <v>0</v>
      </c>
      <c r="G2136" t="s">
        <v>18359</v>
      </c>
    </row>
    <row r="2137" spans="1:7">
      <c r="A2137">
        <v>2136</v>
      </c>
      <c r="B2137" t="str">
        <f>"026337"</f>
        <v>0</v>
      </c>
      <c r="C2137" t="s">
        <v>12015</v>
      </c>
      <c r="D2137" t="s">
        <v>21039</v>
      </c>
      <c r="E2137" t="str">
        <f>"1909900333462"</f>
        <v>0</v>
      </c>
      <c r="F2137" t="str">
        <f>"001670"</f>
        <v>0</v>
      </c>
      <c r="G2137" t="s">
        <v>18359</v>
      </c>
    </row>
    <row r="2138" spans="1:7">
      <c r="A2138">
        <v>2137</v>
      </c>
      <c r="B2138" t="str">
        <f>"026341"</f>
        <v>0</v>
      </c>
      <c r="C2138" t="s">
        <v>15332</v>
      </c>
      <c r="D2138" t="s">
        <v>9025</v>
      </c>
      <c r="E2138" t="str">
        <f>"1901100110909"</f>
        <v>0</v>
      </c>
      <c r="F2138" t="str">
        <f>"001670"</f>
        <v>0</v>
      </c>
      <c r="G2138" t="s">
        <v>18359</v>
      </c>
    </row>
    <row r="2139" spans="1:7">
      <c r="A2139">
        <v>2138</v>
      </c>
      <c r="B2139" t="str">
        <f>"027213"</f>
        <v>0</v>
      </c>
      <c r="C2139" t="s">
        <v>417</v>
      </c>
      <c r="D2139" t="s">
        <v>21040</v>
      </c>
      <c r="E2139" t="str">
        <f>"3901100188670"</f>
        <v>0</v>
      </c>
      <c r="F2139" t="str">
        <f>"001670"</f>
        <v>0</v>
      </c>
      <c r="G2139" t="s">
        <v>18359</v>
      </c>
    </row>
    <row r="2140" spans="1:7">
      <c r="A2140">
        <v>2139</v>
      </c>
      <c r="B2140" t="str">
        <f>"021170"</f>
        <v>0</v>
      </c>
      <c r="C2140" t="s">
        <v>21041</v>
      </c>
      <c r="D2140" t="s">
        <v>14238</v>
      </c>
      <c r="E2140" t="str">
        <f>"3900400084461"</f>
        <v>0</v>
      </c>
      <c r="F2140" t="str">
        <f>"001670"</f>
        <v>0</v>
      </c>
      <c r="G2140" t="s">
        <v>18359</v>
      </c>
    </row>
    <row r="2141" spans="1:7">
      <c r="A2141">
        <v>2140</v>
      </c>
      <c r="B2141" t="str">
        <f>"022285"</f>
        <v>0</v>
      </c>
      <c r="C2141" t="s">
        <v>17065</v>
      </c>
      <c r="D2141" t="s">
        <v>21042</v>
      </c>
      <c r="E2141" t="str">
        <f>"3930100254981"</f>
        <v>0</v>
      </c>
      <c r="F2141" t="str">
        <f>"001670"</f>
        <v>0</v>
      </c>
      <c r="G2141" t="s">
        <v>18359</v>
      </c>
    </row>
    <row r="2142" spans="1:7">
      <c r="A2142">
        <v>2141</v>
      </c>
      <c r="B2142" t="str">
        <f>"023033"</f>
        <v>0</v>
      </c>
      <c r="C2142" t="s">
        <v>21043</v>
      </c>
      <c r="D2142" t="s">
        <v>21044</v>
      </c>
      <c r="E2142" t="str">
        <f>"3900400110811"</f>
        <v>0</v>
      </c>
      <c r="F2142" t="str">
        <f>"001670"</f>
        <v>0</v>
      </c>
      <c r="G2142" t="s">
        <v>18359</v>
      </c>
    </row>
    <row r="2143" spans="1:7">
      <c r="A2143">
        <v>2142</v>
      </c>
      <c r="B2143" t="str">
        <f>"023937"</f>
        <v>0</v>
      </c>
      <c r="C2143" t="s">
        <v>250</v>
      </c>
      <c r="D2143" t="s">
        <v>21013</v>
      </c>
      <c r="E2143" t="str">
        <f>"3900700428913"</f>
        <v>0</v>
      </c>
      <c r="F2143" t="str">
        <f>"001670"</f>
        <v>0</v>
      </c>
      <c r="G2143" t="s">
        <v>18359</v>
      </c>
    </row>
    <row r="2144" spans="1:7">
      <c r="A2144">
        <v>2143</v>
      </c>
      <c r="B2144" t="str">
        <f>"025766"</f>
        <v>0</v>
      </c>
      <c r="C2144" t="s">
        <v>21045</v>
      </c>
      <c r="D2144" t="s">
        <v>21046</v>
      </c>
      <c r="E2144" t="str">
        <f>"1909800490621"</f>
        <v>0</v>
      </c>
      <c r="F2144" t="str">
        <f>"001670"</f>
        <v>0</v>
      </c>
      <c r="G2144" t="s">
        <v>18359</v>
      </c>
    </row>
    <row r="2145" spans="1:7">
      <c r="A2145">
        <v>2144</v>
      </c>
      <c r="B2145" t="str">
        <f>"027283"</f>
        <v>0</v>
      </c>
      <c r="C2145" t="s">
        <v>1545</v>
      </c>
      <c r="D2145" t="s">
        <v>21047</v>
      </c>
      <c r="E2145" t="str">
        <f>"2849701006576"</f>
        <v>0</v>
      </c>
      <c r="F2145" t="str">
        <f>"001670"</f>
        <v>0</v>
      </c>
      <c r="G2145" t="s">
        <v>18359</v>
      </c>
    </row>
    <row r="2146" spans="1:7">
      <c r="A2146">
        <v>2145</v>
      </c>
      <c r="B2146" t="str">
        <f>"025152"</f>
        <v>0</v>
      </c>
      <c r="C2146" t="s">
        <v>21048</v>
      </c>
      <c r="D2146" t="s">
        <v>21049</v>
      </c>
      <c r="E2146" t="str">
        <f>"3919900039552"</f>
        <v>0</v>
      </c>
      <c r="F2146" t="str">
        <f>"001670"</f>
        <v>0</v>
      </c>
      <c r="G2146" t="s">
        <v>18359</v>
      </c>
    </row>
    <row r="2147" spans="1:7">
      <c r="A2147">
        <v>2146</v>
      </c>
      <c r="B2147" t="str">
        <f>"020885"</f>
        <v>0</v>
      </c>
      <c r="C2147" t="s">
        <v>21050</v>
      </c>
      <c r="D2147" t="s">
        <v>19491</v>
      </c>
      <c r="E2147" t="str">
        <f>"3841500015706"</f>
        <v>0</v>
      </c>
      <c r="F2147" t="str">
        <f>"001670"</f>
        <v>0</v>
      </c>
      <c r="G2147" t="s">
        <v>18359</v>
      </c>
    </row>
    <row r="2148" spans="1:7">
      <c r="A2148">
        <v>2147</v>
      </c>
      <c r="B2148" t="str">
        <f>"016306"</f>
        <v>0</v>
      </c>
      <c r="C2148" t="s">
        <v>13303</v>
      </c>
      <c r="D2148" t="s">
        <v>21051</v>
      </c>
      <c r="E2148" t="str">
        <f>"3909900461831"</f>
        <v>0</v>
      </c>
      <c r="F2148" t="str">
        <f>"001690"</f>
        <v>0</v>
      </c>
      <c r="G2148" t="s">
        <v>18359</v>
      </c>
    </row>
    <row r="2149" spans="1:7">
      <c r="A2149">
        <v>2148</v>
      </c>
      <c r="B2149" t="str">
        <f>"019325"</f>
        <v>0</v>
      </c>
      <c r="C2149" t="s">
        <v>239</v>
      </c>
      <c r="D2149" t="s">
        <v>21052</v>
      </c>
      <c r="E2149" t="str">
        <f>"3910500404948"</f>
        <v>0</v>
      </c>
      <c r="F2149" t="str">
        <f>"001690"</f>
        <v>0</v>
      </c>
      <c r="G2149" t="s">
        <v>18359</v>
      </c>
    </row>
    <row r="2150" spans="1:7">
      <c r="A2150">
        <v>2149</v>
      </c>
      <c r="B2150" t="str">
        <f>"021172"</f>
        <v>0</v>
      </c>
      <c r="C2150" t="s">
        <v>21053</v>
      </c>
      <c r="D2150" t="s">
        <v>21054</v>
      </c>
      <c r="E2150" t="str">
        <f>"3919900066843"</f>
        <v>0</v>
      </c>
      <c r="F2150" t="str">
        <f>"001690"</f>
        <v>0</v>
      </c>
      <c r="G2150" t="s">
        <v>18359</v>
      </c>
    </row>
    <row r="2151" spans="1:7">
      <c r="A2151">
        <v>2150</v>
      </c>
      <c r="B2151" t="str">
        <f>"022563"</f>
        <v>0</v>
      </c>
      <c r="C2151" t="s">
        <v>21055</v>
      </c>
      <c r="D2151" t="s">
        <v>21056</v>
      </c>
      <c r="E2151" t="str">
        <f>"1910100001921"</f>
        <v>0</v>
      </c>
      <c r="F2151" t="str">
        <f>"001690"</f>
        <v>0</v>
      </c>
      <c r="G2151" t="s">
        <v>18359</v>
      </c>
    </row>
    <row r="2152" spans="1:7">
      <c r="A2152">
        <v>2151</v>
      </c>
      <c r="B2152" t="str">
        <f>"022668"</f>
        <v>0</v>
      </c>
      <c r="C2152" t="s">
        <v>602</v>
      </c>
      <c r="D2152" t="s">
        <v>21057</v>
      </c>
      <c r="E2152" t="str">
        <f>"3919900042511"</f>
        <v>0</v>
      </c>
      <c r="F2152" t="str">
        <f>"001690"</f>
        <v>0</v>
      </c>
      <c r="G2152" t="s">
        <v>18359</v>
      </c>
    </row>
    <row r="2153" spans="1:7">
      <c r="A2153">
        <v>2152</v>
      </c>
      <c r="B2153" t="str">
        <f>"023455"</f>
        <v>0</v>
      </c>
      <c r="C2153" t="s">
        <v>21058</v>
      </c>
      <c r="D2153" t="s">
        <v>21059</v>
      </c>
      <c r="E2153" t="str">
        <f>"1919900003365"</f>
        <v>0</v>
      </c>
      <c r="F2153" t="str">
        <f>"001690"</f>
        <v>0</v>
      </c>
      <c r="G2153" t="s">
        <v>18359</v>
      </c>
    </row>
    <row r="2154" spans="1:7">
      <c r="A2154">
        <v>2153</v>
      </c>
      <c r="B2154" t="str">
        <f>"024417"</f>
        <v>0</v>
      </c>
      <c r="C2154" t="s">
        <v>21060</v>
      </c>
      <c r="D2154" t="s">
        <v>21061</v>
      </c>
      <c r="E2154" t="str">
        <f>"1910200041959"</f>
        <v>0</v>
      </c>
      <c r="F2154" t="str">
        <f>"001690"</f>
        <v>0</v>
      </c>
      <c r="G2154" t="s">
        <v>18359</v>
      </c>
    </row>
    <row r="2155" spans="1:7">
      <c r="A2155">
        <v>2154</v>
      </c>
      <c r="B2155" t="str">
        <f>"025661"</f>
        <v>0</v>
      </c>
      <c r="C2155" t="s">
        <v>21062</v>
      </c>
      <c r="D2155" t="s">
        <v>21063</v>
      </c>
      <c r="E2155" t="str">
        <f>"3810100646007"</f>
        <v>0</v>
      </c>
      <c r="F2155" t="str">
        <f>"001690"</f>
        <v>0</v>
      </c>
      <c r="G2155" t="s">
        <v>18359</v>
      </c>
    </row>
    <row r="2156" spans="1:7">
      <c r="A2156">
        <v>2155</v>
      </c>
      <c r="B2156" t="str">
        <f>"020692"</f>
        <v>0</v>
      </c>
      <c r="C2156" t="s">
        <v>21064</v>
      </c>
      <c r="D2156" t="s">
        <v>15245</v>
      </c>
      <c r="E2156" t="str">
        <f>"3840700156230"</f>
        <v>0</v>
      </c>
      <c r="F2156" t="str">
        <f>"001700"</f>
        <v>0</v>
      </c>
      <c r="G2156" t="s">
        <v>18359</v>
      </c>
    </row>
    <row r="2157" spans="1:7">
      <c r="A2157">
        <v>2156</v>
      </c>
      <c r="B2157" t="str">
        <f>"020781"</f>
        <v>0</v>
      </c>
      <c r="C2157" t="s">
        <v>104</v>
      </c>
      <c r="D2157" t="s">
        <v>21065</v>
      </c>
      <c r="E2157" t="str">
        <f>"3110300112754"</f>
        <v>0</v>
      </c>
      <c r="F2157" t="str">
        <f>"001700"</f>
        <v>0</v>
      </c>
      <c r="G2157" t="s">
        <v>18359</v>
      </c>
    </row>
    <row r="2158" spans="1:7">
      <c r="A2158">
        <v>2157</v>
      </c>
      <c r="B2158" t="str">
        <f>"021677"</f>
        <v>0</v>
      </c>
      <c r="C2158" t="s">
        <v>1585</v>
      </c>
      <c r="D2158" t="s">
        <v>21066</v>
      </c>
      <c r="E2158" t="str">
        <f>"1101400460333"</f>
        <v>0</v>
      </c>
      <c r="F2158" t="str">
        <f>"001700"</f>
        <v>0</v>
      </c>
      <c r="G2158" t="s">
        <v>18359</v>
      </c>
    </row>
    <row r="2159" spans="1:7">
      <c r="A2159">
        <v>2158</v>
      </c>
      <c r="B2159" t="str">
        <f>"024540"</f>
        <v>0</v>
      </c>
      <c r="C2159" t="s">
        <v>21067</v>
      </c>
      <c r="D2159" t="s">
        <v>21068</v>
      </c>
      <c r="E2159" t="str">
        <f>"5110100026451"</f>
        <v>0</v>
      </c>
      <c r="F2159" t="str">
        <f>"001700"</f>
        <v>0</v>
      </c>
      <c r="G2159" t="s">
        <v>18359</v>
      </c>
    </row>
    <row r="2160" spans="1:7">
      <c r="A2160">
        <v>2159</v>
      </c>
      <c r="B2160" t="str">
        <f>"025518"</f>
        <v>0</v>
      </c>
      <c r="C2160" t="s">
        <v>21069</v>
      </c>
      <c r="D2160" t="s">
        <v>21070</v>
      </c>
      <c r="E2160" t="str">
        <f>"1920100146198"</f>
        <v>0</v>
      </c>
      <c r="F2160" t="str">
        <f>"001700"</f>
        <v>0</v>
      </c>
      <c r="G2160" t="s">
        <v>18359</v>
      </c>
    </row>
    <row r="2161" spans="1:7">
      <c r="A2161">
        <v>2160</v>
      </c>
      <c r="B2161" t="str">
        <f>"023457"</f>
        <v>0</v>
      </c>
      <c r="C2161" t="s">
        <v>21071</v>
      </c>
      <c r="D2161" t="s">
        <v>21072</v>
      </c>
      <c r="E2161" t="str">
        <f>"1190900013602"</f>
        <v>0</v>
      </c>
      <c r="F2161" t="str">
        <f>"001700"</f>
        <v>0</v>
      </c>
      <c r="G2161" t="s">
        <v>18359</v>
      </c>
    </row>
    <row r="2162" spans="1:7">
      <c r="A2162">
        <v>2161</v>
      </c>
      <c r="B2162" t="str">
        <f>"023067"</f>
        <v>0</v>
      </c>
      <c r="C2162" t="s">
        <v>21073</v>
      </c>
      <c r="D2162" t="s">
        <v>21074</v>
      </c>
      <c r="E2162" t="str">
        <f>"3430200414306"</f>
        <v>0</v>
      </c>
      <c r="F2162" t="str">
        <f>"001700"</f>
        <v>0</v>
      </c>
      <c r="G2162" t="s">
        <v>18359</v>
      </c>
    </row>
    <row r="2163" spans="1:7">
      <c r="A2163">
        <v>2162</v>
      </c>
      <c r="B2163" t="str">
        <f>"021676"</f>
        <v>0</v>
      </c>
      <c r="C2163" t="s">
        <v>10532</v>
      </c>
      <c r="D2163" t="s">
        <v>21075</v>
      </c>
      <c r="E2163" t="str">
        <f>"3730500573881"</f>
        <v>0</v>
      </c>
      <c r="F2163" t="str">
        <f>"001700"</f>
        <v>0</v>
      </c>
      <c r="G2163" t="s">
        <v>18359</v>
      </c>
    </row>
    <row r="2164" spans="1:7">
      <c r="A2164">
        <v>2163</v>
      </c>
      <c r="B2164" t="str">
        <f>"025334"</f>
        <v>0</v>
      </c>
      <c r="C2164" t="s">
        <v>10419</v>
      </c>
      <c r="D2164" t="s">
        <v>21076</v>
      </c>
      <c r="E2164" t="str">
        <f>"3800700261360"</f>
        <v>0</v>
      </c>
      <c r="F2164" t="str">
        <f>"001700"</f>
        <v>0</v>
      </c>
      <c r="G2164" t="s">
        <v>18359</v>
      </c>
    </row>
    <row r="2165" spans="1:7">
      <c r="A2165">
        <v>2164</v>
      </c>
      <c r="B2165" t="str">
        <f>"027006"</f>
        <v>0</v>
      </c>
      <c r="C2165" t="s">
        <v>21077</v>
      </c>
      <c r="D2165" t="s">
        <v>21078</v>
      </c>
      <c r="E2165" t="str">
        <f>"1801700030711"</f>
        <v>0</v>
      </c>
      <c r="F2165" t="str">
        <f>"001700"</f>
        <v>0</v>
      </c>
      <c r="G2165" t="s">
        <v>18359</v>
      </c>
    </row>
    <row r="2166" spans="1:7">
      <c r="A2166">
        <v>2165</v>
      </c>
      <c r="B2166" t="str">
        <f>"024993"</f>
        <v>0</v>
      </c>
      <c r="C2166" t="s">
        <v>21079</v>
      </c>
      <c r="D2166" t="s">
        <v>21080</v>
      </c>
      <c r="E2166" t="str">
        <f>"3401400044309"</f>
        <v>0</v>
      </c>
      <c r="F2166" t="str">
        <f>"001710"</f>
        <v>0</v>
      </c>
      <c r="G2166" t="s">
        <v>18359</v>
      </c>
    </row>
    <row r="2167" spans="1:7">
      <c r="A2167">
        <v>2166</v>
      </c>
      <c r="B2167" t="str">
        <f>"025797"</f>
        <v>0</v>
      </c>
      <c r="C2167" t="s">
        <v>21081</v>
      </c>
      <c r="D2167" t="s">
        <v>9018</v>
      </c>
      <c r="E2167" t="str">
        <f>"1509900303770"</f>
        <v>0</v>
      </c>
      <c r="F2167" t="str">
        <f>"001710"</f>
        <v>0</v>
      </c>
      <c r="G2167" t="s">
        <v>18359</v>
      </c>
    </row>
    <row r="2168" spans="1:7">
      <c r="A2168">
        <v>2167</v>
      </c>
      <c r="B2168" t="str">
        <f>"015408"</f>
        <v>0</v>
      </c>
      <c r="C2168" t="s">
        <v>21082</v>
      </c>
      <c r="D2168" t="s">
        <v>21083</v>
      </c>
      <c r="E2168" t="str">
        <f>"3102001477302"</f>
        <v>0</v>
      </c>
      <c r="F2168" t="str">
        <f>"001710"</f>
        <v>0</v>
      </c>
      <c r="G2168" t="s">
        <v>18359</v>
      </c>
    </row>
    <row r="2169" spans="1:7">
      <c r="A2169">
        <v>2168</v>
      </c>
      <c r="B2169" t="str">
        <f>"009983"</f>
        <v>0</v>
      </c>
      <c r="C2169" t="s">
        <v>6596</v>
      </c>
      <c r="D2169" t="s">
        <v>21084</v>
      </c>
      <c r="E2169" t="str">
        <f>"3749800032981"</f>
        <v>0</v>
      </c>
      <c r="F2169" t="str">
        <f>"001720"</f>
        <v>0</v>
      </c>
      <c r="G2169" t="s">
        <v>18359</v>
      </c>
    </row>
    <row r="2170" spans="1:7">
      <c r="A2170">
        <v>2169</v>
      </c>
      <c r="B2170" t="str">
        <f>"022004"</f>
        <v>0</v>
      </c>
      <c r="C2170" t="s">
        <v>21085</v>
      </c>
      <c r="D2170" t="s">
        <v>21086</v>
      </c>
      <c r="E2170" t="str">
        <f>"4730600001721"</f>
        <v>0</v>
      </c>
      <c r="F2170" t="str">
        <f>"001720"</f>
        <v>0</v>
      </c>
      <c r="G2170" t="s">
        <v>18359</v>
      </c>
    </row>
    <row r="2171" spans="1:7">
      <c r="A2171">
        <v>2170</v>
      </c>
      <c r="B2171" t="str">
        <f>"023606"</f>
        <v>0</v>
      </c>
      <c r="C2171" t="s">
        <v>21087</v>
      </c>
      <c r="D2171" t="s">
        <v>21088</v>
      </c>
      <c r="E2171" t="str">
        <f>"1739990017940"</f>
        <v>0</v>
      </c>
      <c r="F2171" t="str">
        <f>"001720"</f>
        <v>0</v>
      </c>
      <c r="G2171" t="s">
        <v>18359</v>
      </c>
    </row>
    <row r="2172" spans="1:7">
      <c r="A2172">
        <v>2171</v>
      </c>
      <c r="B2172" t="str">
        <f>"024814"</f>
        <v>0</v>
      </c>
      <c r="C2172" t="s">
        <v>21089</v>
      </c>
      <c r="D2172" t="s">
        <v>21090</v>
      </c>
      <c r="E2172" t="str">
        <f>"3730400020864"</f>
        <v>0</v>
      </c>
      <c r="F2172" t="str">
        <f>"001720"</f>
        <v>0</v>
      </c>
      <c r="G2172" t="s">
        <v>18359</v>
      </c>
    </row>
    <row r="2173" spans="1:7">
      <c r="A2173">
        <v>2172</v>
      </c>
      <c r="B2173" t="str">
        <f>"016445"</f>
        <v>0</v>
      </c>
      <c r="C2173" t="s">
        <v>4271</v>
      </c>
      <c r="D2173" t="s">
        <v>21091</v>
      </c>
      <c r="E2173" t="str">
        <f>"3749900347348"</f>
        <v>0</v>
      </c>
      <c r="F2173" t="str">
        <f>"001720"</f>
        <v>0</v>
      </c>
      <c r="G2173" t="s">
        <v>18359</v>
      </c>
    </row>
    <row r="2174" spans="1:7">
      <c r="A2174">
        <v>2173</v>
      </c>
      <c r="B2174" t="str">
        <f>"017762"</f>
        <v>0</v>
      </c>
      <c r="C2174" t="s">
        <v>21092</v>
      </c>
      <c r="D2174" t="s">
        <v>21093</v>
      </c>
      <c r="E2174" t="str">
        <f>"3749900281576"</f>
        <v>0</v>
      </c>
      <c r="F2174" t="str">
        <f>"001720"</f>
        <v>0</v>
      </c>
      <c r="G2174" t="s">
        <v>18359</v>
      </c>
    </row>
    <row r="2175" spans="1:7">
      <c r="A2175">
        <v>2174</v>
      </c>
      <c r="B2175" t="str">
        <f>"018522"</f>
        <v>0</v>
      </c>
      <c r="C2175" t="s">
        <v>21094</v>
      </c>
      <c r="D2175" t="s">
        <v>21095</v>
      </c>
      <c r="E2175" t="str">
        <f>"3740100761206"</f>
        <v>0</v>
      </c>
      <c r="F2175" t="str">
        <f>"001720"</f>
        <v>0</v>
      </c>
      <c r="G2175" t="s">
        <v>18359</v>
      </c>
    </row>
    <row r="2176" spans="1:7">
      <c r="A2176">
        <v>2175</v>
      </c>
      <c r="B2176" t="str">
        <f>"025970"</f>
        <v>0</v>
      </c>
      <c r="C2176" t="s">
        <v>4488</v>
      </c>
      <c r="D2176" t="s">
        <v>21096</v>
      </c>
      <c r="E2176" t="str">
        <f>"1759900229268"</f>
        <v>0</v>
      </c>
      <c r="F2176" t="str">
        <f>"001720"</f>
        <v>0</v>
      </c>
      <c r="G2176" t="s">
        <v>18359</v>
      </c>
    </row>
    <row r="2177" spans="1:7">
      <c r="A2177">
        <v>2176</v>
      </c>
      <c r="B2177" t="str">
        <f>"024280"</f>
        <v>0</v>
      </c>
      <c r="C2177" t="s">
        <v>5070</v>
      </c>
      <c r="D2177" t="s">
        <v>21097</v>
      </c>
      <c r="E2177" t="str">
        <f>"1779900079975"</f>
        <v>0</v>
      </c>
      <c r="F2177" t="str">
        <f>"001720"</f>
        <v>0</v>
      </c>
      <c r="G2177" t="s">
        <v>18359</v>
      </c>
    </row>
    <row r="2178" spans="1:7">
      <c r="A2178">
        <v>2177</v>
      </c>
      <c r="B2178" t="str">
        <f>"016038"</f>
        <v>0</v>
      </c>
      <c r="C2178" t="s">
        <v>239</v>
      </c>
      <c r="D2178" t="s">
        <v>21098</v>
      </c>
      <c r="E2178" t="str">
        <f>"3102001062749"</f>
        <v>0</v>
      </c>
      <c r="F2178" t="str">
        <f>"001720"</f>
        <v>0</v>
      </c>
      <c r="G2178" t="s">
        <v>18359</v>
      </c>
    </row>
    <row r="2179" spans="1:7">
      <c r="A2179">
        <v>2178</v>
      </c>
      <c r="B2179" t="str">
        <f>"019212"</f>
        <v>0</v>
      </c>
      <c r="C2179" t="s">
        <v>21099</v>
      </c>
      <c r="D2179" t="s">
        <v>21100</v>
      </c>
      <c r="E2179" t="str">
        <f>"3130600187920"</f>
        <v>0</v>
      </c>
      <c r="F2179" t="str">
        <f>"001720"</f>
        <v>0</v>
      </c>
      <c r="G2179" t="s">
        <v>18359</v>
      </c>
    </row>
    <row r="2180" spans="1:7">
      <c r="A2180">
        <v>2179</v>
      </c>
      <c r="B2180" t="str">
        <f>"020752"</f>
        <v>0</v>
      </c>
      <c r="C2180" t="s">
        <v>21101</v>
      </c>
      <c r="D2180" t="s">
        <v>21102</v>
      </c>
      <c r="E2180" t="str">
        <f>"3100502846821"</f>
        <v>0</v>
      </c>
      <c r="F2180" t="str">
        <f>"001720"</f>
        <v>0</v>
      </c>
      <c r="G2180" t="s">
        <v>18359</v>
      </c>
    </row>
    <row r="2181" spans="1:7">
      <c r="A2181">
        <v>2180</v>
      </c>
      <c r="B2181" t="str">
        <f>"017918"</f>
        <v>0</v>
      </c>
      <c r="C2181" t="s">
        <v>2437</v>
      </c>
      <c r="D2181" t="s">
        <v>21103</v>
      </c>
      <c r="E2181" t="str">
        <f>"3102201338667"</f>
        <v>0</v>
      </c>
      <c r="F2181" t="str">
        <f>"001720"</f>
        <v>0</v>
      </c>
      <c r="G2181" t="s">
        <v>18359</v>
      </c>
    </row>
    <row r="2182" spans="1:7">
      <c r="A2182">
        <v>2181</v>
      </c>
      <c r="B2182" t="str">
        <f>"020987"</f>
        <v>0</v>
      </c>
      <c r="C2182" t="s">
        <v>21104</v>
      </c>
      <c r="D2182" t="s">
        <v>21105</v>
      </c>
      <c r="E2182" t="str">
        <f>"3940700307075"</f>
        <v>0</v>
      </c>
      <c r="F2182" t="str">
        <f>"001720"</f>
        <v>0</v>
      </c>
      <c r="G2182" t="s">
        <v>18359</v>
      </c>
    </row>
    <row r="2183" spans="1:7">
      <c r="A2183">
        <v>2182</v>
      </c>
      <c r="B2183" t="str">
        <f>"021427"</f>
        <v>0</v>
      </c>
      <c r="C2183" t="s">
        <v>21106</v>
      </c>
      <c r="D2183" t="s">
        <v>21107</v>
      </c>
      <c r="E2183" t="str">
        <f>"3430100028315"</f>
        <v>0</v>
      </c>
      <c r="F2183" t="str">
        <f>"001720"</f>
        <v>0</v>
      </c>
      <c r="G2183" t="s">
        <v>18359</v>
      </c>
    </row>
    <row r="2184" spans="1:7">
      <c r="A2184">
        <v>2183</v>
      </c>
      <c r="B2184" t="str">
        <f>"003286"</f>
        <v>0</v>
      </c>
      <c r="C2184" t="s">
        <v>3052</v>
      </c>
      <c r="D2184" t="s">
        <v>11624</v>
      </c>
      <c r="E2184" t="str">
        <f>"3769900314083"</f>
        <v>0</v>
      </c>
      <c r="F2184" t="str">
        <f>"001740"</f>
        <v>0</v>
      </c>
      <c r="G2184" t="s">
        <v>18359</v>
      </c>
    </row>
    <row r="2185" spans="1:7">
      <c r="A2185">
        <v>2184</v>
      </c>
      <c r="B2185" t="str">
        <f>"010064"</f>
        <v>0</v>
      </c>
      <c r="C2185" t="s">
        <v>1003</v>
      </c>
      <c r="D2185" t="s">
        <v>3794</v>
      </c>
      <c r="E2185" t="str">
        <f>"4251200002416"</f>
        <v>0</v>
      </c>
      <c r="F2185" t="str">
        <f>"001740"</f>
        <v>0</v>
      </c>
      <c r="G2185" t="s">
        <v>18359</v>
      </c>
    </row>
    <row r="2186" spans="1:7">
      <c r="A2186">
        <v>2185</v>
      </c>
      <c r="B2186" t="str">
        <f>"011892"</f>
        <v>0</v>
      </c>
      <c r="C2186" t="s">
        <v>2566</v>
      </c>
      <c r="D2186" t="s">
        <v>21108</v>
      </c>
      <c r="E2186" t="str">
        <f>"3920100958083"</f>
        <v>0</v>
      </c>
      <c r="F2186" t="str">
        <f>"001740"</f>
        <v>0</v>
      </c>
      <c r="G2186" t="s">
        <v>18359</v>
      </c>
    </row>
    <row r="2187" spans="1:7">
      <c r="A2187">
        <v>2186</v>
      </c>
      <c r="B2187" t="str">
        <f>"014515"</f>
        <v>0</v>
      </c>
      <c r="C2187" t="s">
        <v>4633</v>
      </c>
      <c r="D2187" t="s">
        <v>21109</v>
      </c>
      <c r="E2187" t="str">
        <f>"3240100356829"</f>
        <v>0</v>
      </c>
      <c r="F2187" t="str">
        <f>"001740"</f>
        <v>0</v>
      </c>
      <c r="G2187" t="s">
        <v>18359</v>
      </c>
    </row>
    <row r="2188" spans="1:7">
      <c r="A2188">
        <v>2187</v>
      </c>
      <c r="B2188" t="str">
        <f>"017966"</f>
        <v>0</v>
      </c>
      <c r="C2188" t="s">
        <v>21110</v>
      </c>
      <c r="D2188" t="s">
        <v>21111</v>
      </c>
      <c r="E2188" t="str">
        <f>"4259900002777"</f>
        <v>0</v>
      </c>
      <c r="F2188" t="str">
        <f>"001740"</f>
        <v>0</v>
      </c>
      <c r="G2188" t="s">
        <v>18359</v>
      </c>
    </row>
    <row r="2189" spans="1:7">
      <c r="A2189">
        <v>2188</v>
      </c>
      <c r="B2189" t="str">
        <f>"019267"</f>
        <v>0</v>
      </c>
      <c r="C2189" t="s">
        <v>21112</v>
      </c>
      <c r="D2189" t="s">
        <v>21113</v>
      </c>
      <c r="E2189" t="str">
        <f>"3510300215592"</f>
        <v>0</v>
      </c>
      <c r="F2189" t="str">
        <f>"001740"</f>
        <v>0</v>
      </c>
      <c r="G2189" t="s">
        <v>18359</v>
      </c>
    </row>
    <row r="2190" spans="1:7">
      <c r="A2190">
        <v>2189</v>
      </c>
      <c r="B2190" t="str">
        <f>"020439"</f>
        <v>0</v>
      </c>
      <c r="C2190" t="s">
        <v>10044</v>
      </c>
      <c r="D2190" t="s">
        <v>14730</v>
      </c>
      <c r="E2190" t="str">
        <f>"3250600032836"</f>
        <v>0</v>
      </c>
      <c r="F2190" t="str">
        <f>"001740"</f>
        <v>0</v>
      </c>
      <c r="G2190" t="s">
        <v>18359</v>
      </c>
    </row>
    <row r="2191" spans="1:7">
      <c r="A2191">
        <v>2190</v>
      </c>
      <c r="B2191" t="str">
        <f>"020693"</f>
        <v>0</v>
      </c>
      <c r="C2191" t="s">
        <v>21114</v>
      </c>
      <c r="D2191" t="s">
        <v>21115</v>
      </c>
      <c r="E2191" t="str">
        <f>"3251100437374"</f>
        <v>0</v>
      </c>
      <c r="F2191" t="str">
        <f>"001740"</f>
        <v>0</v>
      </c>
      <c r="G2191" t="s">
        <v>18359</v>
      </c>
    </row>
    <row r="2192" spans="1:7">
      <c r="A2192">
        <v>2191</v>
      </c>
      <c r="B2192" t="str">
        <f>"020792"</f>
        <v>0</v>
      </c>
      <c r="C2192" t="s">
        <v>44</v>
      </c>
      <c r="D2192" t="s">
        <v>21116</v>
      </c>
      <c r="E2192" t="str">
        <f>"3250401112643"</f>
        <v>0</v>
      </c>
      <c r="F2192" t="str">
        <f>"001740"</f>
        <v>0</v>
      </c>
      <c r="G2192" t="s">
        <v>18359</v>
      </c>
    </row>
    <row r="2193" spans="1:7">
      <c r="A2193">
        <v>2192</v>
      </c>
      <c r="B2193" t="str">
        <f>"021362"</f>
        <v>0</v>
      </c>
      <c r="C2193" t="s">
        <v>21117</v>
      </c>
      <c r="D2193" t="s">
        <v>21118</v>
      </c>
      <c r="E2193" t="str">
        <f>"5250400032529"</f>
        <v>0</v>
      </c>
      <c r="F2193" t="str">
        <f>"001740"</f>
        <v>0</v>
      </c>
      <c r="G2193" t="s">
        <v>18359</v>
      </c>
    </row>
    <row r="2194" spans="1:7">
      <c r="A2194">
        <v>2193</v>
      </c>
      <c r="B2194" t="str">
        <f>"022533"</f>
        <v>0</v>
      </c>
      <c r="C2194" t="s">
        <v>21119</v>
      </c>
      <c r="D2194" t="s">
        <v>21120</v>
      </c>
      <c r="E2194" t="str">
        <f>"1251100016402"</f>
        <v>0</v>
      </c>
      <c r="F2194" t="str">
        <f>"001740"</f>
        <v>0</v>
      </c>
      <c r="G2194" t="s">
        <v>18359</v>
      </c>
    </row>
    <row r="2195" spans="1:7">
      <c r="A2195">
        <v>2194</v>
      </c>
      <c r="B2195" t="str">
        <f>"022760"</f>
        <v>0</v>
      </c>
      <c r="C2195" t="s">
        <v>21121</v>
      </c>
      <c r="D2195" t="s">
        <v>21122</v>
      </c>
      <c r="E2195" t="str">
        <f>"3259700006924"</f>
        <v>0</v>
      </c>
      <c r="F2195" t="str">
        <f>"001740"</f>
        <v>0</v>
      </c>
      <c r="G2195" t="s">
        <v>18359</v>
      </c>
    </row>
    <row r="2196" spans="1:7">
      <c r="A2196">
        <v>2195</v>
      </c>
      <c r="B2196" t="str">
        <f>"022813"</f>
        <v>0</v>
      </c>
      <c r="C2196" t="s">
        <v>21123</v>
      </c>
      <c r="D2196" t="s">
        <v>21124</v>
      </c>
      <c r="E2196" t="str">
        <f>"2270900000851"</f>
        <v>0</v>
      </c>
      <c r="F2196" t="str">
        <f>"001740"</f>
        <v>0</v>
      </c>
      <c r="G2196" t="s">
        <v>18359</v>
      </c>
    </row>
    <row r="2197" spans="1:7">
      <c r="A2197">
        <v>2196</v>
      </c>
      <c r="B2197" t="str">
        <f>"026121"</f>
        <v>0</v>
      </c>
      <c r="C2197" t="s">
        <v>20895</v>
      </c>
      <c r="D2197" t="s">
        <v>21125</v>
      </c>
      <c r="E2197" t="str">
        <f>"1250400236539"</f>
        <v>0</v>
      </c>
      <c r="F2197" t="str">
        <f>"001740"</f>
        <v>0</v>
      </c>
      <c r="G2197" t="s">
        <v>18359</v>
      </c>
    </row>
    <row r="2198" spans="1:7">
      <c r="A2198">
        <v>2197</v>
      </c>
      <c r="B2198" t="str">
        <f>"026814"</f>
        <v>0</v>
      </c>
      <c r="C2198" t="s">
        <v>7622</v>
      </c>
      <c r="D2198" t="s">
        <v>21126</v>
      </c>
      <c r="E2198" t="str">
        <f>"3320600663037"</f>
        <v>0</v>
      </c>
      <c r="F2198" t="str">
        <f>"001740"</f>
        <v>0</v>
      </c>
      <c r="G2198" t="s">
        <v>18359</v>
      </c>
    </row>
    <row r="2199" spans="1:7">
      <c r="A2199">
        <v>2198</v>
      </c>
      <c r="B2199" t="str">
        <f>"026815"</f>
        <v>0</v>
      </c>
      <c r="C2199" t="s">
        <v>10461</v>
      </c>
      <c r="D2199" t="s">
        <v>21127</v>
      </c>
      <c r="E2199" t="str">
        <f>"1320100115760"</f>
        <v>0</v>
      </c>
      <c r="F2199" t="str">
        <f>"001740"</f>
        <v>0</v>
      </c>
      <c r="G2199" t="s">
        <v>18359</v>
      </c>
    </row>
    <row r="2200" spans="1:7">
      <c r="A2200">
        <v>2199</v>
      </c>
      <c r="B2200" t="str">
        <f>"000352"</f>
        <v>0</v>
      </c>
      <c r="C2200" t="s">
        <v>21128</v>
      </c>
      <c r="D2200" t="s">
        <v>21129</v>
      </c>
      <c r="E2200" t="str">
        <f>"3190900140911"</f>
        <v>0</v>
      </c>
      <c r="F2200" t="str">
        <f>"001750"</f>
        <v>0</v>
      </c>
      <c r="G2200" t="s">
        <v>18359</v>
      </c>
    </row>
    <row r="2201" spans="1:7">
      <c r="A2201">
        <v>2200</v>
      </c>
      <c r="B2201" t="str">
        <f>"003697"</f>
        <v>0</v>
      </c>
      <c r="C2201" t="s">
        <v>878</v>
      </c>
      <c r="D2201" t="s">
        <v>21130</v>
      </c>
      <c r="E2201" t="str">
        <f>"3199900039673"</f>
        <v>0</v>
      </c>
      <c r="F2201" t="str">
        <f>"001750"</f>
        <v>0</v>
      </c>
      <c r="G2201" t="s">
        <v>18359</v>
      </c>
    </row>
    <row r="2202" spans="1:7">
      <c r="A2202">
        <v>2201</v>
      </c>
      <c r="B2202" t="str">
        <f>"004560"</f>
        <v>0</v>
      </c>
      <c r="C2202" t="s">
        <v>21131</v>
      </c>
      <c r="D2202" t="s">
        <v>21132</v>
      </c>
      <c r="E2202" t="str">
        <f>"3199900415519"</f>
        <v>0</v>
      </c>
      <c r="F2202" t="str">
        <f>"001750"</f>
        <v>0</v>
      </c>
      <c r="G2202" t="s">
        <v>18359</v>
      </c>
    </row>
    <row r="2203" spans="1:7">
      <c r="A2203">
        <v>2202</v>
      </c>
      <c r="B2203" t="str">
        <f>"004991"</f>
        <v>0</v>
      </c>
      <c r="C2203" t="s">
        <v>21133</v>
      </c>
      <c r="D2203" t="s">
        <v>14822</v>
      </c>
      <c r="E2203" t="str">
        <f>"3200700211121"</f>
        <v>0</v>
      </c>
      <c r="F2203" t="str">
        <f>"001750"</f>
        <v>0</v>
      </c>
      <c r="G2203" t="s">
        <v>18359</v>
      </c>
    </row>
    <row r="2204" spans="1:7">
      <c r="A2204">
        <v>2203</v>
      </c>
      <c r="B2204" t="str">
        <f>"005706"</f>
        <v>0</v>
      </c>
      <c r="C2204" t="s">
        <v>10139</v>
      </c>
      <c r="D2204" t="s">
        <v>21134</v>
      </c>
      <c r="E2204" t="str">
        <f>"3199800104325"</f>
        <v>0</v>
      </c>
      <c r="F2204" t="str">
        <f>"001750"</f>
        <v>0</v>
      </c>
      <c r="G2204" t="s">
        <v>18359</v>
      </c>
    </row>
    <row r="2205" spans="1:7">
      <c r="A2205">
        <v>2204</v>
      </c>
      <c r="B2205" t="str">
        <f>"010479"</f>
        <v>0</v>
      </c>
      <c r="C2205" t="s">
        <v>130</v>
      </c>
      <c r="D2205" t="s">
        <v>21135</v>
      </c>
      <c r="E2205" t="str">
        <f>"3730200413439"</f>
        <v>0</v>
      </c>
      <c r="F2205" t="str">
        <f>"001750"</f>
        <v>0</v>
      </c>
      <c r="G2205" t="s">
        <v>18359</v>
      </c>
    </row>
    <row r="2206" spans="1:7">
      <c r="A2206">
        <v>2205</v>
      </c>
      <c r="B2206" t="str">
        <f>"026278"</f>
        <v>0</v>
      </c>
      <c r="C2206" t="s">
        <v>21136</v>
      </c>
      <c r="D2206" t="s">
        <v>21137</v>
      </c>
      <c r="E2206" t="str">
        <f>"3440300995572"</f>
        <v>0</v>
      </c>
      <c r="F2206" t="str">
        <f>"001750"</f>
        <v>0</v>
      </c>
      <c r="G2206" t="s">
        <v>18359</v>
      </c>
    </row>
    <row r="2207" spans="1:7">
      <c r="A2207">
        <v>2206</v>
      </c>
      <c r="B2207" t="str">
        <f>"024546"</f>
        <v>0</v>
      </c>
      <c r="C2207" t="s">
        <v>4943</v>
      </c>
      <c r="D2207" t="s">
        <v>21138</v>
      </c>
      <c r="E2207" t="str">
        <f>"1710600095420"</f>
        <v>0</v>
      </c>
      <c r="F2207" t="str">
        <f>"001750"</f>
        <v>0</v>
      </c>
      <c r="G2207" t="s">
        <v>18359</v>
      </c>
    </row>
    <row r="2208" spans="1:7">
      <c r="A2208">
        <v>2207</v>
      </c>
      <c r="B2208" t="str">
        <f>"011109"</f>
        <v>0</v>
      </c>
      <c r="C2208" t="s">
        <v>789</v>
      </c>
      <c r="D2208" t="s">
        <v>21139</v>
      </c>
      <c r="E2208" t="str">
        <f>"3411300262444"</f>
        <v>0</v>
      </c>
      <c r="F2208" t="str">
        <f>"001750"</f>
        <v>0</v>
      </c>
      <c r="G2208" t="s">
        <v>18359</v>
      </c>
    </row>
    <row r="2209" spans="1:7">
      <c r="A2209">
        <v>2208</v>
      </c>
      <c r="B2209" t="str">
        <f>"016314"</f>
        <v>0</v>
      </c>
      <c r="C2209" t="s">
        <v>20046</v>
      </c>
      <c r="D2209" t="s">
        <v>14897</v>
      </c>
      <c r="E2209" t="str">
        <f>"3100600591551"</f>
        <v>0</v>
      </c>
      <c r="F2209" t="str">
        <f>"001750"</f>
        <v>0</v>
      </c>
      <c r="G2209" t="s">
        <v>18359</v>
      </c>
    </row>
    <row r="2210" spans="1:7">
      <c r="A2210">
        <v>2209</v>
      </c>
      <c r="B2210" t="str">
        <f>"018459"</f>
        <v>0</v>
      </c>
      <c r="C2210" t="s">
        <v>21140</v>
      </c>
      <c r="D2210" t="s">
        <v>21141</v>
      </c>
      <c r="E2210" t="str">
        <f>"3199800031816"</f>
        <v>0</v>
      </c>
      <c r="F2210" t="str">
        <f>"001750"</f>
        <v>0</v>
      </c>
      <c r="G2210" t="s">
        <v>18359</v>
      </c>
    </row>
    <row r="2211" spans="1:7">
      <c r="A2211">
        <v>2210</v>
      </c>
      <c r="B2211" t="str">
        <f>"026563"</f>
        <v>0</v>
      </c>
      <c r="C2211" t="s">
        <v>21142</v>
      </c>
      <c r="D2211" t="s">
        <v>21143</v>
      </c>
      <c r="E2211" t="str">
        <f>"1509901254756"</f>
        <v>0</v>
      </c>
      <c r="F2211" t="str">
        <f>"001750"</f>
        <v>0</v>
      </c>
      <c r="G2211" t="s">
        <v>18359</v>
      </c>
    </row>
    <row r="2212" spans="1:7">
      <c r="A2212">
        <v>2211</v>
      </c>
      <c r="B2212" t="str">
        <f>"020671"</f>
        <v>0</v>
      </c>
      <c r="C2212" t="s">
        <v>21144</v>
      </c>
      <c r="D2212" t="s">
        <v>21145</v>
      </c>
      <c r="E2212" t="str">
        <f>"3199900111561"</f>
        <v>0</v>
      </c>
      <c r="F2212" t="str">
        <f>"001750"</f>
        <v>0</v>
      </c>
      <c r="G2212" t="s">
        <v>18359</v>
      </c>
    </row>
    <row r="2213" spans="1:7">
      <c r="A2213">
        <v>2212</v>
      </c>
      <c r="B2213" t="str">
        <f>"025155"</f>
        <v>0</v>
      </c>
      <c r="C2213" t="s">
        <v>17165</v>
      </c>
      <c r="D2213" t="s">
        <v>21146</v>
      </c>
      <c r="E2213" t="str">
        <f>"1430900045315"</f>
        <v>0</v>
      </c>
      <c r="F2213" t="str">
        <f>"001750"</f>
        <v>0</v>
      </c>
      <c r="G2213" t="s">
        <v>18359</v>
      </c>
    </row>
    <row r="2214" spans="1:7">
      <c r="A2214">
        <v>2213</v>
      </c>
      <c r="B2214" t="str">
        <f>"022922"</f>
        <v>0</v>
      </c>
      <c r="C2214" t="s">
        <v>7448</v>
      </c>
      <c r="D2214" t="s">
        <v>21147</v>
      </c>
      <c r="E2214" t="str">
        <f>"3850200024288"</f>
        <v>0</v>
      </c>
      <c r="F2214" t="str">
        <f>"001750"</f>
        <v>0</v>
      </c>
      <c r="G2214" t="s">
        <v>18359</v>
      </c>
    </row>
    <row r="2215" spans="1:7">
      <c r="A2215">
        <v>2214</v>
      </c>
      <c r="B2215" t="str">
        <f>"026233"</f>
        <v>0</v>
      </c>
      <c r="C2215" t="s">
        <v>21148</v>
      </c>
      <c r="D2215" t="s">
        <v>21149</v>
      </c>
      <c r="E2215" t="str">
        <f>"1939900142632"</f>
        <v>0</v>
      </c>
      <c r="F2215" t="str">
        <f>"001750"</f>
        <v>0</v>
      </c>
      <c r="G2215" t="s">
        <v>18359</v>
      </c>
    </row>
    <row r="2216" spans="1:7">
      <c r="A2216">
        <v>2215</v>
      </c>
      <c r="B2216" t="str">
        <f>"000542"</f>
        <v>0</v>
      </c>
      <c r="C2216" t="s">
        <v>21150</v>
      </c>
      <c r="D2216" t="s">
        <v>15636</v>
      </c>
      <c r="E2216" t="str">
        <f>"3170400087034"</f>
        <v>0</v>
      </c>
      <c r="F2216" t="str">
        <f>"001770"</f>
        <v>0</v>
      </c>
      <c r="G2216" t="s">
        <v>18359</v>
      </c>
    </row>
    <row r="2217" spans="1:7">
      <c r="A2217">
        <v>2216</v>
      </c>
      <c r="B2217" t="str">
        <f>"002602"</f>
        <v>0</v>
      </c>
      <c r="C2217" t="s">
        <v>118</v>
      </c>
      <c r="D2217" t="s">
        <v>21151</v>
      </c>
      <c r="E2217" t="str">
        <f>"3179900170028"</f>
        <v>0</v>
      </c>
      <c r="F2217" t="str">
        <f>"001770"</f>
        <v>0</v>
      </c>
      <c r="G2217" t="s">
        <v>18359</v>
      </c>
    </row>
    <row r="2218" spans="1:7">
      <c r="A2218">
        <v>2217</v>
      </c>
      <c r="B2218" t="str">
        <f>"003662"</f>
        <v>0</v>
      </c>
      <c r="C2218" t="s">
        <v>21152</v>
      </c>
      <c r="D2218" t="s">
        <v>1861</v>
      </c>
      <c r="E2218" t="str">
        <f>"3170600065531"</f>
        <v>0</v>
      </c>
      <c r="F2218" t="str">
        <f>"001770"</f>
        <v>0</v>
      </c>
      <c r="G2218" t="s">
        <v>18359</v>
      </c>
    </row>
    <row r="2219" spans="1:7">
      <c r="A2219">
        <v>2218</v>
      </c>
      <c r="B2219" t="str">
        <f>"008096"</f>
        <v>0</v>
      </c>
      <c r="C2219" t="s">
        <v>12094</v>
      </c>
      <c r="D2219" t="s">
        <v>21153</v>
      </c>
      <c r="E2219" t="str">
        <f>"5170400019540"</f>
        <v>0</v>
      </c>
      <c r="F2219" t="str">
        <f>"001770"</f>
        <v>0</v>
      </c>
      <c r="G2219" t="s">
        <v>18359</v>
      </c>
    </row>
    <row r="2220" spans="1:7">
      <c r="A2220">
        <v>2219</v>
      </c>
      <c r="B2220" t="str">
        <f>"009844"</f>
        <v>0</v>
      </c>
      <c r="C2220" t="s">
        <v>21154</v>
      </c>
      <c r="D2220" t="s">
        <v>5967</v>
      </c>
      <c r="E2220" t="str">
        <f>"3650600350753"</f>
        <v>0</v>
      </c>
      <c r="F2220" t="str">
        <f>"001770"</f>
        <v>0</v>
      </c>
      <c r="G2220" t="s">
        <v>18359</v>
      </c>
    </row>
    <row r="2221" spans="1:7">
      <c r="A2221">
        <v>2220</v>
      </c>
      <c r="B2221" t="str">
        <f>"010692"</f>
        <v>0</v>
      </c>
      <c r="C2221" t="s">
        <v>21155</v>
      </c>
      <c r="D2221" t="s">
        <v>21156</v>
      </c>
      <c r="E2221" t="str">
        <f>"3170400084248"</f>
        <v>0</v>
      </c>
      <c r="F2221" t="str">
        <f>"001770"</f>
        <v>0</v>
      </c>
      <c r="G2221" t="s">
        <v>18359</v>
      </c>
    </row>
    <row r="2222" spans="1:7">
      <c r="A2222">
        <v>2221</v>
      </c>
      <c r="B2222" t="str">
        <f>"011602"</f>
        <v>0</v>
      </c>
      <c r="C2222" t="s">
        <v>21157</v>
      </c>
      <c r="D2222" t="s">
        <v>21158</v>
      </c>
      <c r="E2222" t="str">
        <f>"3160101017654"</f>
        <v>0</v>
      </c>
      <c r="F2222" t="str">
        <f>"001770"</f>
        <v>0</v>
      </c>
      <c r="G2222" t="s">
        <v>18359</v>
      </c>
    </row>
    <row r="2223" spans="1:7">
      <c r="A2223">
        <v>2222</v>
      </c>
      <c r="B2223" t="str">
        <f>"012091"</f>
        <v>0</v>
      </c>
      <c r="C2223" t="s">
        <v>576</v>
      </c>
      <c r="D2223" t="s">
        <v>21159</v>
      </c>
      <c r="E2223" t="str">
        <f>"3170600130782"</f>
        <v>0</v>
      </c>
      <c r="F2223" t="str">
        <f>"001770"</f>
        <v>0</v>
      </c>
      <c r="G2223" t="s">
        <v>18359</v>
      </c>
    </row>
    <row r="2224" spans="1:7">
      <c r="A2224">
        <v>2223</v>
      </c>
      <c r="B2224" t="str">
        <f>"012550"</f>
        <v>0</v>
      </c>
      <c r="C2224" t="s">
        <v>837</v>
      </c>
      <c r="D2224" t="s">
        <v>3368</v>
      </c>
      <c r="E2224" t="str">
        <f>"3140100111151"</f>
        <v>0</v>
      </c>
      <c r="F2224" t="str">
        <f>"001770"</f>
        <v>0</v>
      </c>
      <c r="G2224" t="s">
        <v>18359</v>
      </c>
    </row>
    <row r="2225" spans="1:7">
      <c r="A2225">
        <v>2224</v>
      </c>
      <c r="B2225" t="str">
        <f>"017074"</f>
        <v>0</v>
      </c>
      <c r="C2225" t="s">
        <v>2417</v>
      </c>
      <c r="D2225" t="s">
        <v>21160</v>
      </c>
      <c r="E2225" t="str">
        <f>"3170600218710"</f>
        <v>0</v>
      </c>
      <c r="F2225" t="str">
        <f>"001770"</f>
        <v>0</v>
      </c>
      <c r="G2225" t="s">
        <v>18359</v>
      </c>
    </row>
    <row r="2226" spans="1:7">
      <c r="A2226">
        <v>2225</v>
      </c>
      <c r="B2226" t="str">
        <f>"020005"</f>
        <v>0</v>
      </c>
      <c r="C2226" t="s">
        <v>21161</v>
      </c>
      <c r="D2226" t="s">
        <v>14968</v>
      </c>
      <c r="E2226" t="str">
        <f>"3170200204771"</f>
        <v>0</v>
      </c>
      <c r="F2226" t="str">
        <f>"001770"</f>
        <v>0</v>
      </c>
      <c r="G2226" t="s">
        <v>18359</v>
      </c>
    </row>
    <row r="2227" spans="1:7">
      <c r="A2227">
        <v>2226</v>
      </c>
      <c r="B2227" t="str">
        <f>"003684"</f>
        <v>0</v>
      </c>
      <c r="C2227" t="s">
        <v>21162</v>
      </c>
      <c r="D2227" t="s">
        <v>21163</v>
      </c>
      <c r="E2227" t="str">
        <f>"3180100089317"</f>
        <v>0</v>
      </c>
      <c r="F2227" t="str">
        <f>"001770"</f>
        <v>0</v>
      </c>
      <c r="G2227" t="s">
        <v>18359</v>
      </c>
    </row>
    <row r="2228" spans="1:7">
      <c r="A2228">
        <v>2227</v>
      </c>
      <c r="B2228" t="str">
        <f>"019040"</f>
        <v>0</v>
      </c>
      <c r="C2228" t="s">
        <v>56</v>
      </c>
      <c r="D2228" t="s">
        <v>21164</v>
      </c>
      <c r="E2228" t="str">
        <f>"3170200307774"</f>
        <v>0</v>
      </c>
      <c r="F2228" t="str">
        <f>"001770"</f>
        <v>0</v>
      </c>
      <c r="G2228" t="s">
        <v>18359</v>
      </c>
    </row>
    <row r="2229" spans="1:7">
      <c r="A2229">
        <v>2228</v>
      </c>
      <c r="B2229" t="str">
        <f>"015846"</f>
        <v>0</v>
      </c>
      <c r="C2229" t="s">
        <v>19697</v>
      </c>
      <c r="D2229" t="s">
        <v>11391</v>
      </c>
      <c r="E2229" t="str">
        <f>"3170300245193"</f>
        <v>0</v>
      </c>
      <c r="F2229" t="str">
        <f>"001770"</f>
        <v>0</v>
      </c>
      <c r="G2229" t="s">
        <v>18359</v>
      </c>
    </row>
    <row r="2230" spans="1:7">
      <c r="A2230">
        <v>2229</v>
      </c>
      <c r="B2230" t="str">
        <f>"019055"</f>
        <v>0</v>
      </c>
      <c r="C2230" t="s">
        <v>18926</v>
      </c>
      <c r="D2230" t="s">
        <v>14970</v>
      </c>
      <c r="E2230" t="str">
        <f>"3170300045941"</f>
        <v>0</v>
      </c>
      <c r="F2230" t="str">
        <f>"001770"</f>
        <v>0</v>
      </c>
      <c r="G2230" t="s">
        <v>18359</v>
      </c>
    </row>
    <row r="2231" spans="1:7">
      <c r="A2231">
        <v>2230</v>
      </c>
      <c r="B2231" t="str">
        <f>"022362"</f>
        <v>0</v>
      </c>
      <c r="C2231" t="s">
        <v>2657</v>
      </c>
      <c r="D2231" t="s">
        <v>21165</v>
      </c>
      <c r="E2231" t="str">
        <f>"3170600178106"</f>
        <v>0</v>
      </c>
      <c r="F2231" t="str">
        <f>"001770"</f>
        <v>0</v>
      </c>
      <c r="G2231" t="s">
        <v>18359</v>
      </c>
    </row>
    <row r="2232" spans="1:7">
      <c r="A2232">
        <v>2231</v>
      </c>
      <c r="B2232" t="str">
        <f>"025949"</f>
        <v>0</v>
      </c>
      <c r="C2232" t="s">
        <v>21166</v>
      </c>
      <c r="D2232" t="s">
        <v>21167</v>
      </c>
      <c r="E2232" t="str">
        <f>"1170600098581"</f>
        <v>0</v>
      </c>
      <c r="F2232" t="str">
        <f>"001770"</f>
        <v>0</v>
      </c>
      <c r="G2232" t="s">
        <v>18359</v>
      </c>
    </row>
    <row r="2233" spans="1:7">
      <c r="A2233">
        <v>2232</v>
      </c>
      <c r="B2233" t="str">
        <f>"023129"</f>
        <v>0</v>
      </c>
      <c r="C2233" t="s">
        <v>21168</v>
      </c>
      <c r="D2233" t="s">
        <v>8614</v>
      </c>
      <c r="E2233" t="str">
        <f>"1450200019222"</f>
        <v>0</v>
      </c>
      <c r="F2233" t="str">
        <f>"001770"</f>
        <v>0</v>
      </c>
      <c r="G2233" t="s">
        <v>18359</v>
      </c>
    </row>
    <row r="2234" spans="1:7">
      <c r="A2234">
        <v>2233</v>
      </c>
      <c r="B2234" t="str">
        <f>"003492"</f>
        <v>0</v>
      </c>
      <c r="C2234" t="s">
        <v>4305</v>
      </c>
      <c r="D2234" t="s">
        <v>21169</v>
      </c>
      <c r="E2234" t="str">
        <f>"3150400135721"</f>
        <v>0</v>
      </c>
      <c r="F2234" t="str">
        <f>"001780"</f>
        <v>0</v>
      </c>
      <c r="G2234" t="s">
        <v>18359</v>
      </c>
    </row>
    <row r="2235" spans="1:7">
      <c r="A2235">
        <v>2234</v>
      </c>
      <c r="B2235" t="str">
        <f>"004669"</f>
        <v>0</v>
      </c>
      <c r="C2235" t="s">
        <v>21170</v>
      </c>
      <c r="D2235" t="s">
        <v>3033</v>
      </c>
      <c r="E2235" t="str">
        <f>"3640400100753"</f>
        <v>0</v>
      </c>
      <c r="F2235" t="str">
        <f>"001780"</f>
        <v>0</v>
      </c>
      <c r="G2235" t="s">
        <v>18359</v>
      </c>
    </row>
    <row r="2236" spans="1:7">
      <c r="A2236">
        <v>2235</v>
      </c>
      <c r="B2236" t="str">
        <f>"009101"</f>
        <v>0</v>
      </c>
      <c r="C2236" t="s">
        <v>670</v>
      </c>
      <c r="D2236" t="s">
        <v>21171</v>
      </c>
      <c r="E2236" t="str">
        <f>"3600300220439"</f>
        <v>0</v>
      </c>
      <c r="F2236" t="str">
        <f>"001780"</f>
        <v>0</v>
      </c>
      <c r="G2236" t="s">
        <v>18359</v>
      </c>
    </row>
    <row r="2237" spans="1:7">
      <c r="A2237">
        <v>2236</v>
      </c>
      <c r="B2237" t="str">
        <f>"023469"</f>
        <v>0</v>
      </c>
      <c r="C2237" t="s">
        <v>21172</v>
      </c>
      <c r="D2237" t="s">
        <v>21173</v>
      </c>
      <c r="E2237" t="str">
        <f>"3640900354606"</f>
        <v>0</v>
      </c>
      <c r="F2237" t="str">
        <f>"001780"</f>
        <v>0</v>
      </c>
      <c r="G2237" t="s">
        <v>18359</v>
      </c>
    </row>
    <row r="2238" spans="1:7">
      <c r="A2238">
        <v>2237</v>
      </c>
      <c r="B2238" t="str">
        <f>"026424"</f>
        <v>0</v>
      </c>
      <c r="C2238" t="s">
        <v>21174</v>
      </c>
      <c r="D2238" t="s">
        <v>17111</v>
      </c>
      <c r="E2238" t="str">
        <f>"1509900945038"</f>
        <v>0</v>
      </c>
      <c r="F2238" t="str">
        <f>"001780"</f>
        <v>0</v>
      </c>
      <c r="G2238" t="s">
        <v>18359</v>
      </c>
    </row>
    <row r="2239" spans="1:7">
      <c r="A2239">
        <v>2238</v>
      </c>
      <c r="B2239" t="str">
        <f>"026595"</f>
        <v>0</v>
      </c>
      <c r="C2239" t="s">
        <v>21175</v>
      </c>
      <c r="D2239" t="s">
        <v>21176</v>
      </c>
      <c r="E2239" t="str">
        <f>"1500400001067"</f>
        <v>0</v>
      </c>
      <c r="F2239" t="str">
        <f>"001780"</f>
        <v>0</v>
      </c>
      <c r="G2239" t="s">
        <v>18359</v>
      </c>
    </row>
    <row r="2240" spans="1:7">
      <c r="A2240">
        <v>2239</v>
      </c>
      <c r="B2240" t="str">
        <f>"027229"</f>
        <v>0</v>
      </c>
      <c r="C2240" t="s">
        <v>4039</v>
      </c>
      <c r="D2240" t="s">
        <v>21177</v>
      </c>
      <c r="E2240" t="str">
        <f>"3500200413783"</f>
        <v>0</v>
      </c>
      <c r="F2240" t="str">
        <f>"001780"</f>
        <v>0</v>
      </c>
      <c r="G2240" t="s">
        <v>18359</v>
      </c>
    </row>
    <row r="2241" spans="1:7">
      <c r="A2241">
        <v>2240</v>
      </c>
      <c r="B2241" t="str">
        <f>"026423"</f>
        <v>0</v>
      </c>
      <c r="C2241" t="s">
        <v>8043</v>
      </c>
      <c r="D2241" t="s">
        <v>21178</v>
      </c>
      <c r="E2241" t="str">
        <f>"3510600337723"</f>
        <v>0</v>
      </c>
      <c r="F2241" t="str">
        <f>"001780"</f>
        <v>0</v>
      </c>
      <c r="G2241" t="s">
        <v>18359</v>
      </c>
    </row>
    <row r="2242" spans="1:7">
      <c r="A2242">
        <v>2241</v>
      </c>
      <c r="B2242" t="str">
        <f>"013580"</f>
        <v>0</v>
      </c>
      <c r="C2242" t="s">
        <v>16166</v>
      </c>
      <c r="D2242" t="s">
        <v>21179</v>
      </c>
      <c r="E2242" t="str">
        <f>"3550900322942"</f>
        <v>0</v>
      </c>
      <c r="F2242" t="str">
        <f>"001780"</f>
        <v>0</v>
      </c>
      <c r="G2242" t="s">
        <v>18359</v>
      </c>
    </row>
    <row r="2243" spans="1:7">
      <c r="A2243">
        <v>2242</v>
      </c>
      <c r="B2243" t="str">
        <f>"027008"</f>
        <v>0</v>
      </c>
      <c r="C2243" t="s">
        <v>21180</v>
      </c>
      <c r="D2243" t="s">
        <v>21181</v>
      </c>
      <c r="E2243" t="str">
        <f>"1529900229634"</f>
        <v>0</v>
      </c>
      <c r="F2243" t="str">
        <f>"001780"</f>
        <v>0</v>
      </c>
      <c r="G2243" t="s">
        <v>18359</v>
      </c>
    </row>
    <row r="2244" spans="1:7">
      <c r="A2244">
        <v>2243</v>
      </c>
      <c r="B2244" t="str">
        <f>"017219"</f>
        <v>0</v>
      </c>
      <c r="C2244" t="s">
        <v>5745</v>
      </c>
      <c r="D2244" t="s">
        <v>21182</v>
      </c>
      <c r="E2244" t="str">
        <f>"3659900701894"</f>
        <v>0</v>
      </c>
      <c r="F2244" t="str">
        <f>"001780"</f>
        <v>0</v>
      </c>
      <c r="G2244" t="s">
        <v>18359</v>
      </c>
    </row>
    <row r="2245" spans="1:7">
      <c r="A2245">
        <v>2244</v>
      </c>
      <c r="B2245" t="str">
        <f>"026924"</f>
        <v>0</v>
      </c>
      <c r="C2245" t="s">
        <v>21183</v>
      </c>
      <c r="D2245" t="s">
        <v>21184</v>
      </c>
      <c r="E2245" t="str">
        <f>"1560100083491"</f>
        <v>0</v>
      </c>
      <c r="F2245" t="str">
        <f>"001780"</f>
        <v>0</v>
      </c>
      <c r="G2245" t="s">
        <v>18359</v>
      </c>
    </row>
    <row r="2246" spans="1:7">
      <c r="A2246">
        <v>2245</v>
      </c>
      <c r="B2246" t="str">
        <f>"023884"</f>
        <v>0</v>
      </c>
      <c r="C2246" t="s">
        <v>8012</v>
      </c>
      <c r="D2246" t="s">
        <v>21185</v>
      </c>
      <c r="E2246" t="str">
        <f>"1620700037023"</f>
        <v>0</v>
      </c>
      <c r="F2246" t="str">
        <f>"001780"</f>
        <v>0</v>
      </c>
      <c r="G2246" t="s">
        <v>18359</v>
      </c>
    </row>
    <row r="2247" spans="1:7">
      <c r="A2247">
        <v>2246</v>
      </c>
      <c r="B2247" t="str">
        <f>"009917"</f>
        <v>0</v>
      </c>
      <c r="C2247" t="s">
        <v>4081</v>
      </c>
      <c r="D2247" t="s">
        <v>21186</v>
      </c>
      <c r="E2247" t="str">
        <f>"3640900134487"</f>
        <v>0</v>
      </c>
      <c r="F2247" t="str">
        <f>"001780"</f>
        <v>0</v>
      </c>
      <c r="G2247" t="s">
        <v>18359</v>
      </c>
    </row>
    <row r="2248" spans="1:7">
      <c r="A2248">
        <v>2247</v>
      </c>
      <c r="B2248" t="str">
        <f>"010812"</f>
        <v>0</v>
      </c>
      <c r="C2248" t="s">
        <v>21187</v>
      </c>
      <c r="D2248" t="s">
        <v>21188</v>
      </c>
      <c r="E2248" t="str">
        <f>"3440400551099"</f>
        <v>0</v>
      </c>
      <c r="F2248" t="str">
        <f>"001780"</f>
        <v>0</v>
      </c>
      <c r="G2248" t="s">
        <v>18359</v>
      </c>
    </row>
    <row r="2249" spans="1:7">
      <c r="A2249">
        <v>2248</v>
      </c>
      <c r="B2249" t="str">
        <f>"012083"</f>
        <v>0</v>
      </c>
      <c r="C2249" t="s">
        <v>3825</v>
      </c>
      <c r="D2249" t="s">
        <v>2284</v>
      </c>
      <c r="E2249" t="str">
        <f>"3640900189419"</f>
        <v>0</v>
      </c>
      <c r="F2249" t="str">
        <f>"001780"</f>
        <v>0</v>
      </c>
      <c r="G2249" t="s">
        <v>18359</v>
      </c>
    </row>
    <row r="2250" spans="1:7">
      <c r="A2250">
        <v>2249</v>
      </c>
      <c r="B2250" t="str">
        <f>"016129"</f>
        <v>0</v>
      </c>
      <c r="C2250" t="s">
        <v>235</v>
      </c>
      <c r="D2250" t="s">
        <v>21189</v>
      </c>
      <c r="E2250" t="str">
        <f>"3640700143920"</f>
        <v>0</v>
      </c>
      <c r="F2250" t="str">
        <f>"001780"</f>
        <v>0</v>
      </c>
      <c r="G2250" t="s">
        <v>18359</v>
      </c>
    </row>
    <row r="2251" spans="1:7">
      <c r="A2251">
        <v>2250</v>
      </c>
      <c r="B2251" t="str">
        <f>"016714"</f>
        <v>0</v>
      </c>
      <c r="C2251" t="s">
        <v>21190</v>
      </c>
      <c r="D2251" t="s">
        <v>21191</v>
      </c>
      <c r="E2251" t="str">
        <f>"3640200271104"</f>
        <v>0</v>
      </c>
      <c r="F2251" t="str">
        <f>"001780"</f>
        <v>0</v>
      </c>
      <c r="G2251" t="s">
        <v>18359</v>
      </c>
    </row>
    <row r="2252" spans="1:7">
      <c r="A2252">
        <v>2251</v>
      </c>
      <c r="B2252" t="str">
        <f>"016715"</f>
        <v>0</v>
      </c>
      <c r="C2252" t="s">
        <v>802</v>
      </c>
      <c r="D2252" t="s">
        <v>21192</v>
      </c>
      <c r="E2252" t="str">
        <f>"3640400289384"</f>
        <v>0</v>
      </c>
      <c r="F2252" t="str">
        <f>"001780"</f>
        <v>0</v>
      </c>
      <c r="G2252" t="s">
        <v>18359</v>
      </c>
    </row>
    <row r="2253" spans="1:7">
      <c r="A2253">
        <v>2252</v>
      </c>
      <c r="B2253" t="str">
        <f>"017041"</f>
        <v>0</v>
      </c>
      <c r="C2253" t="s">
        <v>21193</v>
      </c>
      <c r="D2253" t="s">
        <v>21194</v>
      </c>
      <c r="E2253" t="str">
        <f>"3510101268122"</f>
        <v>0</v>
      </c>
      <c r="F2253" t="str">
        <f>"001780"</f>
        <v>0</v>
      </c>
      <c r="G2253" t="s">
        <v>18359</v>
      </c>
    </row>
    <row r="2254" spans="1:7">
      <c r="A2254">
        <v>2253</v>
      </c>
      <c r="B2254" t="str">
        <f>"018898"</f>
        <v>0</v>
      </c>
      <c r="C2254" t="s">
        <v>106</v>
      </c>
      <c r="D2254" t="s">
        <v>21195</v>
      </c>
      <c r="E2254" t="str">
        <f>"3649800179363"</f>
        <v>0</v>
      </c>
      <c r="F2254" t="str">
        <f>"001780"</f>
        <v>0</v>
      </c>
      <c r="G2254" t="s">
        <v>18359</v>
      </c>
    </row>
    <row r="2255" spans="1:7">
      <c r="A2255">
        <v>2254</v>
      </c>
      <c r="B2255" t="str">
        <f>"020043"</f>
        <v>0</v>
      </c>
      <c r="C2255" t="s">
        <v>21196</v>
      </c>
      <c r="D2255" t="s">
        <v>21197</v>
      </c>
      <c r="E2255" t="str">
        <f>"3640200012958"</f>
        <v>0</v>
      </c>
      <c r="F2255" t="str">
        <f>"001780"</f>
        <v>0</v>
      </c>
      <c r="G2255" t="s">
        <v>18359</v>
      </c>
    </row>
    <row r="2256" spans="1:7">
      <c r="A2256">
        <v>2255</v>
      </c>
      <c r="B2256" t="str">
        <f>"021139"</f>
        <v>0</v>
      </c>
      <c r="C2256" t="s">
        <v>13275</v>
      </c>
      <c r="D2256" t="s">
        <v>21198</v>
      </c>
      <c r="E2256" t="str">
        <f>"3640400110937"</f>
        <v>0</v>
      </c>
      <c r="F2256" t="str">
        <f>"001780"</f>
        <v>0</v>
      </c>
      <c r="G2256" t="s">
        <v>18359</v>
      </c>
    </row>
    <row r="2257" spans="1:7">
      <c r="A2257">
        <v>2256</v>
      </c>
      <c r="B2257" t="str">
        <f>"021628"</f>
        <v>0</v>
      </c>
      <c r="C2257" t="s">
        <v>21199</v>
      </c>
      <c r="D2257" t="s">
        <v>21200</v>
      </c>
      <c r="E2257" t="str">
        <f>"3100902167077"</f>
        <v>0</v>
      </c>
      <c r="F2257" t="str">
        <f>"001780"</f>
        <v>0</v>
      </c>
      <c r="G2257" t="s">
        <v>18359</v>
      </c>
    </row>
    <row r="2258" spans="1:7">
      <c r="A2258">
        <v>2257</v>
      </c>
      <c r="B2258" t="str">
        <f>"022123"</f>
        <v>0</v>
      </c>
      <c r="C2258" t="s">
        <v>19714</v>
      </c>
      <c r="D2258" t="s">
        <v>21201</v>
      </c>
      <c r="E2258" t="str">
        <f>"3640700423639"</f>
        <v>0</v>
      </c>
      <c r="F2258" t="str">
        <f>"001780"</f>
        <v>0</v>
      </c>
      <c r="G2258" t="s">
        <v>18359</v>
      </c>
    </row>
    <row r="2259" spans="1:7">
      <c r="A2259">
        <v>2258</v>
      </c>
      <c r="B2259" t="str">
        <f>"022209"</f>
        <v>0</v>
      </c>
      <c r="C2259" t="s">
        <v>18244</v>
      </c>
      <c r="D2259" t="s">
        <v>21202</v>
      </c>
      <c r="E2259" t="str">
        <f>"3640600482943"</f>
        <v>0</v>
      </c>
      <c r="F2259" t="str">
        <f>"001780"</f>
        <v>0</v>
      </c>
      <c r="G2259" t="s">
        <v>18359</v>
      </c>
    </row>
    <row r="2260" spans="1:7">
      <c r="A2260">
        <v>2259</v>
      </c>
      <c r="B2260" t="str">
        <f>"022585"</f>
        <v>0</v>
      </c>
      <c r="C2260" t="s">
        <v>21203</v>
      </c>
      <c r="D2260" t="s">
        <v>21204</v>
      </c>
      <c r="E2260" t="str">
        <f>"5640700005159"</f>
        <v>0</v>
      </c>
      <c r="F2260" t="str">
        <f>"001780"</f>
        <v>0</v>
      </c>
      <c r="G2260" t="s">
        <v>18359</v>
      </c>
    </row>
    <row r="2261" spans="1:7">
      <c r="A2261">
        <v>2260</v>
      </c>
      <c r="B2261" t="str">
        <f>"024284"</f>
        <v>0</v>
      </c>
      <c r="C2261" t="s">
        <v>21205</v>
      </c>
      <c r="D2261" t="s">
        <v>21206</v>
      </c>
      <c r="E2261" t="str">
        <f>"1640600023080"</f>
        <v>0</v>
      </c>
      <c r="F2261" t="str">
        <f>"001780"</f>
        <v>0</v>
      </c>
      <c r="G2261" t="s">
        <v>18359</v>
      </c>
    </row>
    <row r="2262" spans="1:7">
      <c r="A2262">
        <v>2261</v>
      </c>
      <c r="B2262" t="str">
        <f>"025013"</f>
        <v>0</v>
      </c>
      <c r="C2262" t="s">
        <v>11955</v>
      </c>
      <c r="D2262" t="s">
        <v>21207</v>
      </c>
      <c r="E2262" t="str">
        <f>"3640500258596"</f>
        <v>0</v>
      </c>
      <c r="F2262" t="str">
        <f>"001780"</f>
        <v>0</v>
      </c>
      <c r="G2262" t="s">
        <v>18359</v>
      </c>
    </row>
    <row r="2263" spans="1:7">
      <c r="A2263">
        <v>2262</v>
      </c>
      <c r="B2263" t="str">
        <f>"025343"</f>
        <v>0</v>
      </c>
      <c r="C2263" t="s">
        <v>18773</v>
      </c>
      <c r="D2263" t="s">
        <v>21208</v>
      </c>
      <c r="E2263" t="str">
        <f>"3510100647804"</f>
        <v>0</v>
      </c>
      <c r="F2263" t="str">
        <f>"001780"</f>
        <v>0</v>
      </c>
      <c r="G2263" t="s">
        <v>18359</v>
      </c>
    </row>
    <row r="2264" spans="1:7">
      <c r="A2264">
        <v>2263</v>
      </c>
      <c r="B2264" t="str">
        <f>"026237"</f>
        <v>0</v>
      </c>
      <c r="C2264" t="s">
        <v>21209</v>
      </c>
      <c r="D2264" t="s">
        <v>21210</v>
      </c>
      <c r="E2264" t="str">
        <f>"1640600199170"</f>
        <v>0</v>
      </c>
      <c r="F2264" t="str">
        <f>"001780"</f>
        <v>0</v>
      </c>
      <c r="G2264" t="s">
        <v>18359</v>
      </c>
    </row>
    <row r="2265" spans="1:7">
      <c r="A2265">
        <v>2264</v>
      </c>
      <c r="B2265" t="str">
        <f>"026457"</f>
        <v>0</v>
      </c>
      <c r="C2265" t="s">
        <v>21211</v>
      </c>
      <c r="D2265" t="s">
        <v>21212</v>
      </c>
      <c r="E2265" t="str">
        <f>"1640100139704"</f>
        <v>0</v>
      </c>
      <c r="F2265" t="str">
        <f>"001780"</f>
        <v>0</v>
      </c>
      <c r="G2265" t="s">
        <v>18359</v>
      </c>
    </row>
    <row r="2266" spans="1:7">
      <c r="A2266">
        <v>2265</v>
      </c>
      <c r="B2266" t="str">
        <f>"003482"</f>
        <v>0</v>
      </c>
      <c r="C2266" t="s">
        <v>368</v>
      </c>
      <c r="D2266" t="s">
        <v>14242</v>
      </c>
      <c r="E2266" t="str">
        <f>"3729900229213"</f>
        <v>0</v>
      </c>
      <c r="F2266" t="str">
        <f>"001800"</f>
        <v>0</v>
      </c>
      <c r="G2266" t="s">
        <v>18359</v>
      </c>
    </row>
    <row r="2267" spans="1:7">
      <c r="A2267">
        <v>2266</v>
      </c>
      <c r="B2267" t="str">
        <f>"005223"</f>
        <v>0</v>
      </c>
      <c r="C2267" t="s">
        <v>21213</v>
      </c>
      <c r="D2267" t="s">
        <v>21214</v>
      </c>
      <c r="E2267" t="str">
        <f>"3730200007139"</f>
        <v>0</v>
      </c>
      <c r="F2267" t="str">
        <f>"001800"</f>
        <v>0</v>
      </c>
      <c r="G2267" t="s">
        <v>18359</v>
      </c>
    </row>
    <row r="2268" spans="1:7">
      <c r="A2268">
        <v>2267</v>
      </c>
      <c r="B2268" t="str">
        <f>"005502"</f>
        <v>0</v>
      </c>
      <c r="C2268" t="s">
        <v>21215</v>
      </c>
      <c r="D2268" t="s">
        <v>21216</v>
      </c>
      <c r="E2268" t="str">
        <f>"3720200756859"</f>
        <v>0</v>
      </c>
      <c r="F2268" t="str">
        <f>"001800"</f>
        <v>0</v>
      </c>
      <c r="G2268" t="s">
        <v>18359</v>
      </c>
    </row>
    <row r="2269" spans="1:7">
      <c r="A2269">
        <v>2268</v>
      </c>
      <c r="B2269" t="str">
        <f>"005504"</f>
        <v>0</v>
      </c>
      <c r="C2269" t="s">
        <v>21217</v>
      </c>
      <c r="D2269" t="s">
        <v>21218</v>
      </c>
      <c r="E2269" t="str">
        <f>"3100603008465"</f>
        <v>0</v>
      </c>
      <c r="F2269" t="str">
        <f>"001800"</f>
        <v>0</v>
      </c>
      <c r="G2269" t="s">
        <v>18359</v>
      </c>
    </row>
    <row r="2270" spans="1:7">
      <c r="A2270">
        <v>2269</v>
      </c>
      <c r="B2270" t="str">
        <f>"005509"</f>
        <v>0</v>
      </c>
      <c r="C2270" t="s">
        <v>1260</v>
      </c>
      <c r="D2270" t="s">
        <v>17838</v>
      </c>
      <c r="E2270" t="str">
        <f>"3770400565305"</f>
        <v>0</v>
      </c>
      <c r="F2270" t="str">
        <f>"001800"</f>
        <v>0</v>
      </c>
      <c r="G2270" t="s">
        <v>18359</v>
      </c>
    </row>
    <row r="2271" spans="1:7">
      <c r="A2271">
        <v>2270</v>
      </c>
      <c r="B2271" t="str">
        <f>"006131"</f>
        <v>0</v>
      </c>
      <c r="C2271" t="s">
        <v>5247</v>
      </c>
      <c r="D2271" t="s">
        <v>21219</v>
      </c>
      <c r="E2271" t="str">
        <f>"3720500472317"</f>
        <v>0</v>
      </c>
      <c r="F2271" t="str">
        <f>"001800"</f>
        <v>0</v>
      </c>
      <c r="G2271" t="s">
        <v>18359</v>
      </c>
    </row>
    <row r="2272" spans="1:7">
      <c r="A2272">
        <v>2271</v>
      </c>
      <c r="B2272" t="str">
        <f>"007650"</f>
        <v>0</v>
      </c>
      <c r="C2272" t="s">
        <v>4055</v>
      </c>
      <c r="D2272" t="s">
        <v>21220</v>
      </c>
      <c r="E2272" t="str">
        <f>"3720700079295"</f>
        <v>0</v>
      </c>
      <c r="F2272" t="str">
        <f>"001800"</f>
        <v>0</v>
      </c>
      <c r="G2272" t="s">
        <v>18359</v>
      </c>
    </row>
    <row r="2273" spans="1:7">
      <c r="A2273">
        <v>2272</v>
      </c>
      <c r="B2273" t="str">
        <f>"011629"</f>
        <v>0</v>
      </c>
      <c r="C2273" t="s">
        <v>4317</v>
      </c>
      <c r="D2273" t="s">
        <v>10080</v>
      </c>
      <c r="E2273" t="str">
        <f>"3900900016317"</f>
        <v>0</v>
      </c>
      <c r="F2273" t="str">
        <f>"001800"</f>
        <v>0</v>
      </c>
      <c r="G2273" t="s">
        <v>18359</v>
      </c>
    </row>
    <row r="2274" spans="1:7">
      <c r="A2274">
        <v>2273</v>
      </c>
      <c r="B2274" t="str">
        <f>"018360"</f>
        <v>0</v>
      </c>
      <c r="C2274" t="s">
        <v>514</v>
      </c>
      <c r="D2274" t="s">
        <v>21221</v>
      </c>
      <c r="E2274" t="str">
        <f>"3720800096817"</f>
        <v>0</v>
      </c>
      <c r="F2274" t="str">
        <f>"001800"</f>
        <v>0</v>
      </c>
      <c r="G2274" t="s">
        <v>18359</v>
      </c>
    </row>
    <row r="2275" spans="1:7">
      <c r="A2275">
        <v>2274</v>
      </c>
      <c r="B2275" t="str">
        <f>"017557"</f>
        <v>0</v>
      </c>
      <c r="C2275" t="s">
        <v>447</v>
      </c>
      <c r="D2275" t="s">
        <v>9565</v>
      </c>
      <c r="E2275" t="str">
        <f>"3140700236272"</f>
        <v>0</v>
      </c>
      <c r="F2275" t="str">
        <f>"001800"</f>
        <v>0</v>
      </c>
      <c r="G2275" t="s">
        <v>18359</v>
      </c>
    </row>
    <row r="2276" spans="1:7">
      <c r="A2276">
        <v>2275</v>
      </c>
      <c r="B2276" t="str">
        <f>"017179"</f>
        <v>0</v>
      </c>
      <c r="C2276" t="s">
        <v>21222</v>
      </c>
      <c r="D2276" t="s">
        <v>21223</v>
      </c>
      <c r="E2276" t="str">
        <f>"3720200398103"</f>
        <v>0</v>
      </c>
      <c r="F2276" t="str">
        <f>"001800"</f>
        <v>0</v>
      </c>
      <c r="G2276" t="s">
        <v>18359</v>
      </c>
    </row>
    <row r="2277" spans="1:7">
      <c r="A2277">
        <v>2276</v>
      </c>
      <c r="B2277" t="str">
        <f>"026239"</f>
        <v>0</v>
      </c>
      <c r="C2277" t="s">
        <v>21224</v>
      </c>
      <c r="D2277" t="s">
        <v>19319</v>
      </c>
      <c r="E2277" t="str">
        <f>"1170600119405"</f>
        <v>0</v>
      </c>
      <c r="F2277" t="str">
        <f>"001800"</f>
        <v>0</v>
      </c>
      <c r="G2277" t="s">
        <v>18359</v>
      </c>
    </row>
    <row r="2278" spans="1:7">
      <c r="A2278">
        <v>2277</v>
      </c>
      <c r="B2278" t="str">
        <f>"019558"</f>
        <v>0</v>
      </c>
      <c r="C2278" t="s">
        <v>21225</v>
      </c>
      <c r="D2278" t="s">
        <v>19766</v>
      </c>
      <c r="E2278" t="str">
        <f>"3800400367413"</f>
        <v>0</v>
      </c>
      <c r="F2278" t="str">
        <f>"001800"</f>
        <v>0</v>
      </c>
      <c r="G2278" t="s">
        <v>18359</v>
      </c>
    </row>
    <row r="2279" spans="1:7">
      <c r="A2279">
        <v>2278</v>
      </c>
      <c r="B2279" t="str">
        <f>"009907"</f>
        <v>0</v>
      </c>
      <c r="C2279" t="s">
        <v>655</v>
      </c>
      <c r="D2279" t="s">
        <v>21226</v>
      </c>
      <c r="E2279" t="str">
        <f>"3760500099209"</f>
        <v>0</v>
      </c>
      <c r="F2279" t="str">
        <f>"001800"</f>
        <v>0</v>
      </c>
      <c r="G2279" t="s">
        <v>18359</v>
      </c>
    </row>
    <row r="2280" spans="1:7">
      <c r="A2280">
        <v>2279</v>
      </c>
      <c r="B2280" t="str">
        <f>"011074"</f>
        <v>0</v>
      </c>
      <c r="C2280" t="s">
        <v>17405</v>
      </c>
      <c r="D2280" t="s">
        <v>21227</v>
      </c>
      <c r="E2280" t="str">
        <f>"3160101165343"</f>
        <v>0</v>
      </c>
      <c r="F2280" t="str">
        <f>"001800"</f>
        <v>0</v>
      </c>
      <c r="G2280" t="s">
        <v>18359</v>
      </c>
    </row>
    <row r="2281" spans="1:7">
      <c r="A2281">
        <v>2280</v>
      </c>
      <c r="B2281" t="str">
        <f>"011697"</f>
        <v>0</v>
      </c>
      <c r="C2281" t="s">
        <v>4481</v>
      </c>
      <c r="D2281" t="s">
        <v>12694</v>
      </c>
      <c r="E2281" t="str">
        <f>"3720200398731"</f>
        <v>0</v>
      </c>
      <c r="F2281" t="str">
        <f>"001800"</f>
        <v>0</v>
      </c>
      <c r="G2281" t="s">
        <v>18359</v>
      </c>
    </row>
    <row r="2282" spans="1:7">
      <c r="A2282">
        <v>2281</v>
      </c>
      <c r="B2282" t="str">
        <f>"012857"</f>
        <v>0</v>
      </c>
      <c r="C2282" t="s">
        <v>3040</v>
      </c>
      <c r="D2282" t="s">
        <v>21228</v>
      </c>
      <c r="E2282" t="str">
        <f>"3660500336066"</f>
        <v>0</v>
      </c>
      <c r="F2282" t="str">
        <f>"001800"</f>
        <v>0</v>
      </c>
      <c r="G2282" t="s">
        <v>18359</v>
      </c>
    </row>
    <row r="2283" spans="1:7">
      <c r="A2283">
        <v>2282</v>
      </c>
      <c r="B2283" t="str">
        <f>"017639"</f>
        <v>0</v>
      </c>
      <c r="C2283" t="s">
        <v>21229</v>
      </c>
      <c r="D2283" t="s">
        <v>21230</v>
      </c>
      <c r="E2283" t="str">
        <f>"3720900726880"</f>
        <v>0</v>
      </c>
      <c r="F2283" t="str">
        <f>"001800"</f>
        <v>0</v>
      </c>
      <c r="G2283" t="s">
        <v>18359</v>
      </c>
    </row>
    <row r="2284" spans="1:7">
      <c r="A2284">
        <v>2283</v>
      </c>
      <c r="B2284" t="str">
        <f>"019631"</f>
        <v>0</v>
      </c>
      <c r="C2284" t="s">
        <v>16805</v>
      </c>
      <c r="D2284" t="s">
        <v>21231</v>
      </c>
      <c r="E2284" t="str">
        <f>"3841000028698"</f>
        <v>0</v>
      </c>
      <c r="F2284" t="str">
        <f>"001800"</f>
        <v>0</v>
      </c>
      <c r="G2284" t="s">
        <v>18359</v>
      </c>
    </row>
    <row r="2285" spans="1:7">
      <c r="A2285">
        <v>2284</v>
      </c>
      <c r="B2285" t="str">
        <f>"020069"</f>
        <v>0</v>
      </c>
      <c r="C2285" t="s">
        <v>3837</v>
      </c>
      <c r="D2285" t="s">
        <v>21232</v>
      </c>
      <c r="E2285" t="str">
        <f>"3720200625312"</f>
        <v>0</v>
      </c>
      <c r="F2285" t="str">
        <f>"001800"</f>
        <v>0</v>
      </c>
      <c r="G2285" t="s">
        <v>18359</v>
      </c>
    </row>
    <row r="2286" spans="1:7">
      <c r="A2286">
        <v>2285</v>
      </c>
      <c r="B2286" t="str">
        <f>"020094"</f>
        <v>0</v>
      </c>
      <c r="C2286" t="s">
        <v>10467</v>
      </c>
      <c r="D2286" t="s">
        <v>21233</v>
      </c>
      <c r="E2286" t="str">
        <f>"3830100084262"</f>
        <v>0</v>
      </c>
      <c r="F2286" t="str">
        <f>"001800"</f>
        <v>0</v>
      </c>
      <c r="G2286" t="s">
        <v>18359</v>
      </c>
    </row>
    <row r="2287" spans="1:7">
      <c r="A2287">
        <v>2286</v>
      </c>
      <c r="B2287" t="str">
        <f>"020402"</f>
        <v>0</v>
      </c>
      <c r="C2287" t="s">
        <v>21234</v>
      </c>
      <c r="D2287" t="s">
        <v>21235</v>
      </c>
      <c r="E2287" t="str">
        <f>"3180600090080"</f>
        <v>0</v>
      </c>
      <c r="F2287" t="str">
        <f>"001800"</f>
        <v>0</v>
      </c>
      <c r="G2287" t="s">
        <v>18359</v>
      </c>
    </row>
    <row r="2288" spans="1:7">
      <c r="A2288">
        <v>2287</v>
      </c>
      <c r="B2288" t="str">
        <f>"020771"</f>
        <v>0</v>
      </c>
      <c r="C2288" t="s">
        <v>279</v>
      </c>
      <c r="D2288" t="s">
        <v>716</v>
      </c>
      <c r="E2288" t="str">
        <f>"3720800353500"</f>
        <v>0</v>
      </c>
      <c r="F2288" t="str">
        <f>"001800"</f>
        <v>0</v>
      </c>
      <c r="G2288" t="s">
        <v>18359</v>
      </c>
    </row>
    <row r="2289" spans="1:7">
      <c r="A2289">
        <v>2288</v>
      </c>
      <c r="B2289" t="str">
        <f>"020805"</f>
        <v>0</v>
      </c>
      <c r="C2289" t="s">
        <v>21236</v>
      </c>
      <c r="D2289" t="s">
        <v>21237</v>
      </c>
      <c r="E2289" t="str">
        <f>"3180500653198"</f>
        <v>0</v>
      </c>
      <c r="F2289" t="str">
        <f>"001800"</f>
        <v>0</v>
      </c>
      <c r="G2289" t="s">
        <v>18359</v>
      </c>
    </row>
    <row r="2290" spans="1:7">
      <c r="A2290">
        <v>2289</v>
      </c>
      <c r="B2290" t="str">
        <f>"020808"</f>
        <v>0</v>
      </c>
      <c r="C2290" t="s">
        <v>21238</v>
      </c>
      <c r="D2290" t="s">
        <v>21239</v>
      </c>
      <c r="E2290" t="str">
        <f>"3720800342451"</f>
        <v>0</v>
      </c>
      <c r="F2290" t="str">
        <f>"001800"</f>
        <v>0</v>
      </c>
      <c r="G2290" t="s">
        <v>18359</v>
      </c>
    </row>
    <row r="2291" spans="1:7">
      <c r="A2291">
        <v>2290</v>
      </c>
      <c r="B2291" t="str">
        <f>"022587"</f>
        <v>0</v>
      </c>
      <c r="C2291" t="s">
        <v>21240</v>
      </c>
      <c r="D2291" t="s">
        <v>21241</v>
      </c>
      <c r="E2291" t="str">
        <f>"3720400604025"</f>
        <v>0</v>
      </c>
      <c r="F2291" t="str">
        <f>"001800"</f>
        <v>0</v>
      </c>
      <c r="G2291" t="s">
        <v>18359</v>
      </c>
    </row>
    <row r="2292" spans="1:7">
      <c r="A2292">
        <v>2291</v>
      </c>
      <c r="B2292" t="str">
        <f>"022907"</f>
        <v>0</v>
      </c>
      <c r="C2292" t="s">
        <v>21242</v>
      </c>
      <c r="D2292" t="s">
        <v>21243</v>
      </c>
      <c r="E2292" t="str">
        <f>"1720700034741"</f>
        <v>0</v>
      </c>
      <c r="F2292" t="str">
        <f>"001800"</f>
        <v>0</v>
      </c>
      <c r="G2292" t="s">
        <v>18359</v>
      </c>
    </row>
    <row r="2293" spans="1:7">
      <c r="A2293">
        <v>2292</v>
      </c>
      <c r="B2293" t="str">
        <f>"023714"</f>
        <v>0</v>
      </c>
      <c r="C2293" t="s">
        <v>21244</v>
      </c>
      <c r="D2293" t="s">
        <v>21245</v>
      </c>
      <c r="E2293" t="str">
        <f>"1729900029692"</f>
        <v>0</v>
      </c>
      <c r="F2293" t="str">
        <f>"001800"</f>
        <v>0</v>
      </c>
      <c r="G2293" t="s">
        <v>18359</v>
      </c>
    </row>
    <row r="2294" spans="1:7">
      <c r="A2294">
        <v>2293</v>
      </c>
      <c r="B2294" t="str">
        <f>"023774"</f>
        <v>0</v>
      </c>
      <c r="C2294" t="s">
        <v>21246</v>
      </c>
      <c r="D2294" t="s">
        <v>19752</v>
      </c>
      <c r="E2294" t="str">
        <f>"1720800014181"</f>
        <v>0</v>
      </c>
      <c r="F2294" t="str">
        <f>"001800"</f>
        <v>0</v>
      </c>
      <c r="G2294" t="s">
        <v>18359</v>
      </c>
    </row>
    <row r="2295" spans="1:7">
      <c r="A2295">
        <v>2294</v>
      </c>
      <c r="B2295" t="str">
        <f>"024547"</f>
        <v>0</v>
      </c>
      <c r="C2295" t="s">
        <v>21247</v>
      </c>
      <c r="D2295" t="s">
        <v>21248</v>
      </c>
      <c r="E2295" t="str">
        <f>"1720100001396"</f>
        <v>0</v>
      </c>
      <c r="F2295" t="str">
        <f>"001800"</f>
        <v>0</v>
      </c>
      <c r="G2295" t="s">
        <v>18359</v>
      </c>
    </row>
    <row r="2296" spans="1:7">
      <c r="A2296">
        <v>2295</v>
      </c>
      <c r="B2296" t="str">
        <f>"024685"</f>
        <v>0</v>
      </c>
      <c r="C2296" t="s">
        <v>21249</v>
      </c>
      <c r="D2296" t="s">
        <v>21250</v>
      </c>
      <c r="E2296" t="str">
        <f>"5720600005342"</f>
        <v>0</v>
      </c>
      <c r="F2296" t="str">
        <f>"001800"</f>
        <v>0</v>
      </c>
      <c r="G2296" t="s">
        <v>18359</v>
      </c>
    </row>
    <row r="2297" spans="1:7">
      <c r="A2297">
        <v>2296</v>
      </c>
      <c r="B2297" t="str">
        <f>"024730"</f>
        <v>0</v>
      </c>
      <c r="C2297" t="s">
        <v>8019</v>
      </c>
      <c r="D2297" t="s">
        <v>21251</v>
      </c>
      <c r="E2297" t="str">
        <f>"1729900024399"</f>
        <v>0</v>
      </c>
      <c r="F2297" t="str">
        <f>"001800"</f>
        <v>0</v>
      </c>
      <c r="G2297" t="s">
        <v>18359</v>
      </c>
    </row>
    <row r="2298" spans="1:7">
      <c r="A2298">
        <v>2297</v>
      </c>
      <c r="B2298" t="str">
        <f>"025169"</f>
        <v>0</v>
      </c>
      <c r="C2298" t="s">
        <v>9219</v>
      </c>
      <c r="D2298" t="s">
        <v>21252</v>
      </c>
      <c r="E2298" t="str">
        <f>"1720900133441"</f>
        <v>0</v>
      </c>
      <c r="F2298" t="str">
        <f>"001800"</f>
        <v>0</v>
      </c>
      <c r="G2298" t="s">
        <v>18359</v>
      </c>
    </row>
    <row r="2299" spans="1:7">
      <c r="A2299">
        <v>2298</v>
      </c>
      <c r="B2299" t="str">
        <f>"025240"</f>
        <v>0</v>
      </c>
      <c r="C2299" t="s">
        <v>21253</v>
      </c>
      <c r="D2299" t="s">
        <v>21254</v>
      </c>
      <c r="E2299" t="str">
        <f>"3720100126055"</f>
        <v>0</v>
      </c>
      <c r="F2299" t="str">
        <f>"001800"</f>
        <v>0</v>
      </c>
      <c r="G2299" t="s">
        <v>18359</v>
      </c>
    </row>
    <row r="2300" spans="1:7">
      <c r="A2300">
        <v>2299</v>
      </c>
      <c r="B2300" t="str">
        <f>"025668"</f>
        <v>0</v>
      </c>
      <c r="C2300" t="s">
        <v>2575</v>
      </c>
      <c r="D2300" t="s">
        <v>21255</v>
      </c>
      <c r="E2300" t="str">
        <f>"1179900179932"</f>
        <v>0</v>
      </c>
      <c r="F2300" t="str">
        <f>"001800"</f>
        <v>0</v>
      </c>
      <c r="G2300" t="s">
        <v>18359</v>
      </c>
    </row>
    <row r="2301" spans="1:7">
      <c r="A2301">
        <v>2300</v>
      </c>
      <c r="B2301" t="str">
        <f>"025683"</f>
        <v>0</v>
      </c>
      <c r="C2301" t="s">
        <v>21256</v>
      </c>
      <c r="D2301" t="s">
        <v>9545</v>
      </c>
      <c r="E2301" t="str">
        <f>"1730200146850"</f>
        <v>0</v>
      </c>
      <c r="F2301" t="str">
        <f>"001800"</f>
        <v>0</v>
      </c>
      <c r="G2301" t="s">
        <v>18359</v>
      </c>
    </row>
    <row r="2302" spans="1:7">
      <c r="A2302">
        <v>2301</v>
      </c>
      <c r="B2302" t="str">
        <f>"027408"</f>
        <v>0</v>
      </c>
      <c r="C2302" t="s">
        <v>12458</v>
      </c>
      <c r="D2302" t="s">
        <v>21257</v>
      </c>
      <c r="E2302" t="str">
        <f>"1729900087978"</f>
        <v>0</v>
      </c>
      <c r="F2302" t="str">
        <f>"001800"</f>
        <v>0</v>
      </c>
      <c r="G2302" t="s">
        <v>18359</v>
      </c>
    </row>
    <row r="2303" spans="1:7">
      <c r="A2303">
        <v>2302</v>
      </c>
      <c r="B2303" t="str">
        <f>"027411"</f>
        <v>0</v>
      </c>
      <c r="C2303" t="s">
        <v>17362</v>
      </c>
      <c r="D2303" t="s">
        <v>21258</v>
      </c>
      <c r="E2303" t="str">
        <f>"3720700546772"</f>
        <v>0</v>
      </c>
      <c r="F2303" t="str">
        <f>"001800"</f>
        <v>0</v>
      </c>
      <c r="G2303" t="s">
        <v>18359</v>
      </c>
    </row>
    <row r="2304" spans="1:7">
      <c r="A2304">
        <v>2303</v>
      </c>
      <c r="B2304" t="str">
        <f>"024151"</f>
        <v>0</v>
      </c>
      <c r="C2304" t="s">
        <v>7370</v>
      </c>
      <c r="D2304" t="s">
        <v>21259</v>
      </c>
      <c r="E2304" t="str">
        <f>"1670500143318"</f>
        <v>0</v>
      </c>
      <c r="F2304" t="str">
        <f>"001800"</f>
        <v>0</v>
      </c>
      <c r="G2304" t="s">
        <v>18359</v>
      </c>
    </row>
    <row r="2305" spans="1:7">
      <c r="A2305">
        <v>2304</v>
      </c>
      <c r="B2305" t="str">
        <f>"015622"</f>
        <v>0</v>
      </c>
      <c r="C2305" t="s">
        <v>5712</v>
      </c>
      <c r="D2305" t="s">
        <v>3738</v>
      </c>
      <c r="E2305" t="str">
        <f>"3770600172455"</f>
        <v>0</v>
      </c>
      <c r="F2305" t="str">
        <f>"001800"</f>
        <v>0</v>
      </c>
      <c r="G2305" t="s">
        <v>18359</v>
      </c>
    </row>
    <row r="2306" spans="1:7">
      <c r="A2306">
        <v>2305</v>
      </c>
      <c r="B2306" t="str">
        <f>"016321"</f>
        <v>0</v>
      </c>
      <c r="C2306" t="s">
        <v>4629</v>
      </c>
      <c r="D2306" t="s">
        <v>21260</v>
      </c>
      <c r="E2306" t="str">
        <f>"3720700849473"</f>
        <v>0</v>
      </c>
      <c r="F2306" t="str">
        <f>"001800"</f>
        <v>0</v>
      </c>
      <c r="G2306" t="s">
        <v>18359</v>
      </c>
    </row>
    <row r="2307" spans="1:7">
      <c r="A2307">
        <v>2306</v>
      </c>
      <c r="B2307" t="str">
        <f>"017691"</f>
        <v>0</v>
      </c>
      <c r="C2307" t="s">
        <v>2014</v>
      </c>
      <c r="D2307" t="s">
        <v>2790</v>
      </c>
      <c r="E2307" t="str">
        <f>"3720800171258"</f>
        <v>0</v>
      </c>
      <c r="F2307" t="str">
        <f>"001800"</f>
        <v>0</v>
      </c>
      <c r="G2307" t="s">
        <v>18359</v>
      </c>
    </row>
    <row r="2308" spans="1:7">
      <c r="A2308">
        <v>2307</v>
      </c>
      <c r="B2308" t="str">
        <f>"022670"</f>
        <v>0</v>
      </c>
      <c r="C2308" t="s">
        <v>21261</v>
      </c>
      <c r="D2308" t="s">
        <v>21262</v>
      </c>
      <c r="E2308" t="str">
        <f>"3720900412133"</f>
        <v>0</v>
      </c>
      <c r="F2308" t="str">
        <f>"001800"</f>
        <v>0</v>
      </c>
      <c r="G2308" t="s">
        <v>18359</v>
      </c>
    </row>
    <row r="2309" spans="1:7">
      <c r="A2309">
        <v>2308</v>
      </c>
      <c r="B2309" t="str">
        <f>"010793"</f>
        <v>0</v>
      </c>
      <c r="C2309" t="s">
        <v>442</v>
      </c>
      <c r="D2309" t="s">
        <v>21263</v>
      </c>
      <c r="E2309" t="str">
        <f>"3730200824552"</f>
        <v>0</v>
      </c>
      <c r="F2309" t="str">
        <f>"001800"</f>
        <v>0</v>
      </c>
      <c r="G2309" t="s">
        <v>18359</v>
      </c>
    </row>
    <row r="2310" spans="1:7">
      <c r="A2310">
        <v>2309</v>
      </c>
      <c r="B2310" t="str">
        <f>"021301"</f>
        <v>0</v>
      </c>
      <c r="C2310" t="s">
        <v>21264</v>
      </c>
      <c r="D2310" t="s">
        <v>21265</v>
      </c>
      <c r="E2310" t="str">
        <f>"3710900162153"</f>
        <v>0</v>
      </c>
      <c r="F2310" t="str">
        <f>"001800"</f>
        <v>0</v>
      </c>
      <c r="G2310" t="s">
        <v>18359</v>
      </c>
    </row>
    <row r="2311" spans="1:7">
      <c r="A2311">
        <v>2310</v>
      </c>
      <c r="B2311" t="str">
        <f>"021289"</f>
        <v>0</v>
      </c>
      <c r="C2311" t="s">
        <v>1021</v>
      </c>
      <c r="D2311" t="s">
        <v>13039</v>
      </c>
      <c r="E2311" t="str">
        <f>"3660100470865"</f>
        <v>0</v>
      </c>
      <c r="F2311" t="str">
        <f>"001800"</f>
        <v>0</v>
      </c>
      <c r="G2311" t="s">
        <v>18359</v>
      </c>
    </row>
    <row r="2312" spans="1:7">
      <c r="A2312">
        <v>2311</v>
      </c>
      <c r="B2312" t="str">
        <f>"025467"</f>
        <v>0</v>
      </c>
      <c r="C2312" t="s">
        <v>21266</v>
      </c>
      <c r="D2312" t="s">
        <v>21267</v>
      </c>
      <c r="E2312" t="str">
        <f>"3759900127305"</f>
        <v>0</v>
      </c>
      <c r="F2312" t="str">
        <f>"001800"</f>
        <v>0</v>
      </c>
      <c r="G2312" t="s">
        <v>18359</v>
      </c>
    </row>
    <row r="2313" spans="1:7">
      <c r="A2313">
        <v>2312</v>
      </c>
      <c r="B2313" t="str">
        <f>"000204"</f>
        <v>0</v>
      </c>
      <c r="C2313" t="s">
        <v>21268</v>
      </c>
      <c r="D2313" t="s">
        <v>21269</v>
      </c>
      <c r="E2313" t="str">
        <f>"3101701923045"</f>
        <v>0</v>
      </c>
      <c r="F2313" t="str">
        <f>"001820"</f>
        <v>0</v>
      </c>
      <c r="G2313" t="s">
        <v>18359</v>
      </c>
    </row>
    <row r="2314" spans="1:7">
      <c r="A2314">
        <v>2313</v>
      </c>
      <c r="B2314" t="str">
        <f>"000409"</f>
        <v>0</v>
      </c>
      <c r="C2314" t="s">
        <v>4928</v>
      </c>
      <c r="D2314" t="s">
        <v>21270</v>
      </c>
      <c r="E2314" t="str">
        <f>"3670700049621"</f>
        <v>0</v>
      </c>
      <c r="F2314" t="str">
        <f>"001820"</f>
        <v>0</v>
      </c>
      <c r="G2314" t="s">
        <v>18359</v>
      </c>
    </row>
    <row r="2315" spans="1:7">
      <c r="A2315">
        <v>2314</v>
      </c>
      <c r="B2315" t="str">
        <f>"000732"</f>
        <v>0</v>
      </c>
      <c r="C2315" t="s">
        <v>2607</v>
      </c>
      <c r="D2315" t="s">
        <v>21271</v>
      </c>
      <c r="E2315" t="str">
        <f>"3840600174201"</f>
        <v>0</v>
      </c>
      <c r="F2315" t="str">
        <f>"001820"</f>
        <v>0</v>
      </c>
      <c r="G2315" t="s">
        <v>18359</v>
      </c>
    </row>
    <row r="2316" spans="1:7">
      <c r="A2316">
        <v>2315</v>
      </c>
      <c r="B2316" t="str">
        <f>"001202"</f>
        <v>0</v>
      </c>
      <c r="C2316" t="s">
        <v>520</v>
      </c>
      <c r="D2316" t="s">
        <v>21272</v>
      </c>
      <c r="E2316" t="str">
        <f>"3840300195874"</f>
        <v>0</v>
      </c>
      <c r="F2316" t="str">
        <f>"001820"</f>
        <v>0</v>
      </c>
      <c r="G2316" t="s">
        <v>18359</v>
      </c>
    </row>
    <row r="2317" spans="1:7">
      <c r="A2317">
        <v>2316</v>
      </c>
      <c r="B2317" t="str">
        <f>"002156"</f>
        <v>0</v>
      </c>
      <c r="C2317" t="s">
        <v>9737</v>
      </c>
      <c r="D2317" t="s">
        <v>21273</v>
      </c>
      <c r="E2317" t="str">
        <f>"3849900096433"</f>
        <v>0</v>
      </c>
      <c r="F2317" t="str">
        <f>"001820"</f>
        <v>0</v>
      </c>
      <c r="G2317" t="s">
        <v>18359</v>
      </c>
    </row>
    <row r="2318" spans="1:7">
      <c r="A2318">
        <v>2317</v>
      </c>
      <c r="B2318" t="str">
        <f>"002483"</f>
        <v>0</v>
      </c>
      <c r="C2318" t="s">
        <v>445</v>
      </c>
      <c r="D2318" t="s">
        <v>21274</v>
      </c>
      <c r="E2318" t="str">
        <f>"3841700638006"</f>
        <v>0</v>
      </c>
      <c r="F2318" t="str">
        <f>"001820"</f>
        <v>0</v>
      </c>
      <c r="G2318" t="s">
        <v>18359</v>
      </c>
    </row>
    <row r="2319" spans="1:7">
      <c r="A2319">
        <v>2318</v>
      </c>
      <c r="B2319" t="str">
        <f>"002791"</f>
        <v>0</v>
      </c>
      <c r="C2319" t="s">
        <v>5960</v>
      </c>
      <c r="D2319" t="s">
        <v>21275</v>
      </c>
      <c r="E2319" t="str">
        <f>"3841100067296"</f>
        <v>0</v>
      </c>
      <c r="F2319" t="str">
        <f>"001820"</f>
        <v>0</v>
      </c>
      <c r="G2319" t="s">
        <v>18359</v>
      </c>
    </row>
    <row r="2320" spans="1:7">
      <c r="A2320">
        <v>2319</v>
      </c>
      <c r="B2320" t="str">
        <f>"004142"</f>
        <v>0</v>
      </c>
      <c r="C2320" t="s">
        <v>4026</v>
      </c>
      <c r="D2320" t="s">
        <v>21276</v>
      </c>
      <c r="E2320" t="str">
        <f>"3840500012773"</f>
        <v>0</v>
      </c>
      <c r="F2320" t="str">
        <f>"001820"</f>
        <v>0</v>
      </c>
      <c r="G2320" t="s">
        <v>18359</v>
      </c>
    </row>
    <row r="2321" spans="1:7">
      <c r="A2321">
        <v>2320</v>
      </c>
      <c r="B2321" t="str">
        <f>"004468"</f>
        <v>0</v>
      </c>
      <c r="C2321" t="s">
        <v>21277</v>
      </c>
      <c r="D2321" t="s">
        <v>21278</v>
      </c>
      <c r="E2321" t="str">
        <f>"3841100059412"</f>
        <v>0</v>
      </c>
      <c r="F2321" t="str">
        <f>"001820"</f>
        <v>0</v>
      </c>
      <c r="G2321" t="s">
        <v>18359</v>
      </c>
    </row>
    <row r="2322" spans="1:7">
      <c r="A2322">
        <v>2321</v>
      </c>
      <c r="B2322" t="str">
        <f>"004949"</f>
        <v>0</v>
      </c>
      <c r="C2322" t="s">
        <v>3655</v>
      </c>
      <c r="D2322" t="s">
        <v>21279</v>
      </c>
      <c r="E2322" t="str">
        <f>"3841700669611"</f>
        <v>0</v>
      </c>
      <c r="F2322" t="str">
        <f>"001820"</f>
        <v>0</v>
      </c>
      <c r="G2322" t="s">
        <v>18359</v>
      </c>
    </row>
    <row r="2323" spans="1:7">
      <c r="A2323">
        <v>2322</v>
      </c>
      <c r="B2323" t="str">
        <f>"004993"</f>
        <v>0</v>
      </c>
      <c r="C2323" t="s">
        <v>1944</v>
      </c>
      <c r="D2323" t="s">
        <v>2906</v>
      </c>
      <c r="E2323" t="str">
        <f>"5840290005683"</f>
        <v>0</v>
      </c>
      <c r="F2323" t="str">
        <f>"001820"</f>
        <v>0</v>
      </c>
      <c r="G2323" t="s">
        <v>18359</v>
      </c>
    </row>
    <row r="2324" spans="1:7">
      <c r="A2324">
        <v>2323</v>
      </c>
      <c r="B2324" t="str">
        <f>"007059"</f>
        <v>0</v>
      </c>
      <c r="C2324" t="s">
        <v>21280</v>
      </c>
      <c r="D2324" t="s">
        <v>21281</v>
      </c>
      <c r="E2324" t="str">
        <f>"3841200371442"</f>
        <v>0</v>
      </c>
      <c r="F2324" t="str">
        <f>"001820"</f>
        <v>0</v>
      </c>
      <c r="G2324" t="s">
        <v>18359</v>
      </c>
    </row>
    <row r="2325" spans="1:7">
      <c r="A2325">
        <v>2324</v>
      </c>
      <c r="B2325" t="str">
        <f>"009563"</f>
        <v>0</v>
      </c>
      <c r="C2325" t="s">
        <v>703</v>
      </c>
      <c r="D2325" t="s">
        <v>21282</v>
      </c>
      <c r="E2325" t="str">
        <f>"4849900001759"</f>
        <v>0</v>
      </c>
      <c r="F2325" t="str">
        <f>"001820"</f>
        <v>0</v>
      </c>
      <c r="G2325" t="s">
        <v>18359</v>
      </c>
    </row>
    <row r="2326" spans="1:7">
      <c r="A2326">
        <v>2325</v>
      </c>
      <c r="B2326" t="str">
        <f>"015921"</f>
        <v>0</v>
      </c>
      <c r="C2326" t="s">
        <v>3620</v>
      </c>
      <c r="D2326" t="s">
        <v>21283</v>
      </c>
      <c r="E2326" t="str">
        <f>"3949900218937"</f>
        <v>0</v>
      </c>
      <c r="F2326" t="str">
        <f>"001820"</f>
        <v>0</v>
      </c>
      <c r="G2326" t="s">
        <v>18359</v>
      </c>
    </row>
    <row r="2327" spans="1:7">
      <c r="A2327">
        <v>2326</v>
      </c>
      <c r="B2327" t="str">
        <f>"019523"</f>
        <v>0</v>
      </c>
      <c r="C2327" t="s">
        <v>21284</v>
      </c>
      <c r="D2327" t="s">
        <v>204</v>
      </c>
      <c r="E2327" t="str">
        <f>"3840600081017"</f>
        <v>0</v>
      </c>
      <c r="F2327" t="str">
        <f>"001820"</f>
        <v>0</v>
      </c>
      <c r="G2327" t="s">
        <v>18359</v>
      </c>
    </row>
    <row r="2328" spans="1:7">
      <c r="A2328">
        <v>2327</v>
      </c>
      <c r="B2328" t="str">
        <f>"006949"</f>
        <v>0</v>
      </c>
      <c r="C2328" t="s">
        <v>21285</v>
      </c>
      <c r="D2328" t="s">
        <v>6623</v>
      </c>
      <c r="E2328" t="str">
        <f>"3841700564011"</f>
        <v>0</v>
      </c>
      <c r="F2328" t="str">
        <f>"001820"</f>
        <v>0</v>
      </c>
      <c r="G2328" t="s">
        <v>18359</v>
      </c>
    </row>
    <row r="2329" spans="1:7">
      <c r="A2329">
        <v>2328</v>
      </c>
      <c r="B2329" t="str">
        <f>"014303"</f>
        <v>0</v>
      </c>
      <c r="C2329" t="s">
        <v>21286</v>
      </c>
      <c r="D2329" t="s">
        <v>15606</v>
      </c>
      <c r="E2329" t="str">
        <f>"3850100068917"</f>
        <v>0</v>
      </c>
      <c r="F2329" t="str">
        <f>"001820"</f>
        <v>0</v>
      </c>
      <c r="G2329" t="s">
        <v>18359</v>
      </c>
    </row>
    <row r="2330" spans="1:7">
      <c r="A2330">
        <v>2329</v>
      </c>
      <c r="B2330" t="str">
        <f>"015397"</f>
        <v>0</v>
      </c>
      <c r="C2330" t="s">
        <v>5390</v>
      </c>
      <c r="D2330" t="s">
        <v>5273</v>
      </c>
      <c r="E2330" t="str">
        <f>"3841000059887"</f>
        <v>0</v>
      </c>
      <c r="F2330" t="str">
        <f>"001820"</f>
        <v>0</v>
      </c>
      <c r="G2330" t="s">
        <v>18359</v>
      </c>
    </row>
    <row r="2331" spans="1:7">
      <c r="A2331">
        <v>2330</v>
      </c>
      <c r="B2331" t="str">
        <f>"027233"</f>
        <v>0</v>
      </c>
      <c r="C2331" t="s">
        <v>21287</v>
      </c>
      <c r="D2331" t="s">
        <v>21288</v>
      </c>
      <c r="E2331" t="str">
        <f>"1801600092960"</f>
        <v>0</v>
      </c>
      <c r="F2331" t="str">
        <f>"001820"</f>
        <v>0</v>
      </c>
      <c r="G2331" t="s">
        <v>18359</v>
      </c>
    </row>
    <row r="2332" spans="1:7">
      <c r="A2332">
        <v>2331</v>
      </c>
      <c r="B2332" t="str">
        <f>"018924"</f>
        <v>0</v>
      </c>
      <c r="C2332" t="s">
        <v>16924</v>
      </c>
      <c r="D2332" t="s">
        <v>21289</v>
      </c>
      <c r="E2332" t="str">
        <f>"3801301087201"</f>
        <v>0</v>
      </c>
      <c r="F2332" t="str">
        <f>"001820"</f>
        <v>0</v>
      </c>
      <c r="G2332" t="s">
        <v>18359</v>
      </c>
    </row>
    <row r="2333" spans="1:7">
      <c r="A2333">
        <v>2332</v>
      </c>
      <c r="B2333" t="str">
        <f>"020349"</f>
        <v>0</v>
      </c>
      <c r="C2333" t="s">
        <v>21290</v>
      </c>
      <c r="D2333" t="s">
        <v>1457</v>
      </c>
      <c r="E2333" t="str">
        <f>"3930100746507"</f>
        <v>0</v>
      </c>
      <c r="F2333" t="str">
        <f>"001820"</f>
        <v>0</v>
      </c>
      <c r="G2333" t="s">
        <v>18359</v>
      </c>
    </row>
    <row r="2334" spans="1:7">
      <c r="A2334">
        <v>2333</v>
      </c>
      <c r="B2334" t="str">
        <f>"021324"</f>
        <v>0</v>
      </c>
      <c r="C2334" t="s">
        <v>4783</v>
      </c>
      <c r="D2334" t="s">
        <v>1915</v>
      </c>
      <c r="E2334" t="str">
        <f>"3810400243463"</f>
        <v>0</v>
      </c>
      <c r="F2334" t="str">
        <f>"001820"</f>
        <v>0</v>
      </c>
      <c r="G2334" t="s">
        <v>18359</v>
      </c>
    </row>
    <row r="2335" spans="1:7">
      <c r="A2335">
        <v>2334</v>
      </c>
      <c r="B2335" t="str">
        <f>"022848"</f>
        <v>0</v>
      </c>
      <c r="C2335" t="s">
        <v>21291</v>
      </c>
      <c r="D2335" t="s">
        <v>21292</v>
      </c>
      <c r="E2335" t="str">
        <f>"3840200675149"</f>
        <v>0</v>
      </c>
      <c r="F2335" t="str">
        <f>"001820"</f>
        <v>0</v>
      </c>
      <c r="G2335" t="s">
        <v>18359</v>
      </c>
    </row>
    <row r="2336" spans="1:7">
      <c r="A2336">
        <v>2335</v>
      </c>
      <c r="B2336" t="str">
        <f>"023049"</f>
        <v>0</v>
      </c>
      <c r="C2336" t="s">
        <v>21293</v>
      </c>
      <c r="D2336" t="s">
        <v>21294</v>
      </c>
      <c r="E2336" t="str">
        <f>"3841700042723"</f>
        <v>0</v>
      </c>
      <c r="F2336" t="str">
        <f>"001820"</f>
        <v>0</v>
      </c>
      <c r="G2336" t="s">
        <v>18359</v>
      </c>
    </row>
    <row r="2337" spans="1:7">
      <c r="A2337">
        <v>2336</v>
      </c>
      <c r="B2337" t="str">
        <f>"023156"</f>
        <v>0</v>
      </c>
      <c r="C2337" t="s">
        <v>21295</v>
      </c>
      <c r="D2337" t="s">
        <v>21296</v>
      </c>
      <c r="E2337" t="str">
        <f>"3849800006122"</f>
        <v>0</v>
      </c>
      <c r="F2337" t="str">
        <f>"001820"</f>
        <v>0</v>
      </c>
      <c r="G2337" t="s">
        <v>18359</v>
      </c>
    </row>
    <row r="2338" spans="1:7">
      <c r="A2338">
        <v>2337</v>
      </c>
      <c r="B2338" t="str">
        <f>"023475"</f>
        <v>0</v>
      </c>
      <c r="C2338" t="s">
        <v>21297</v>
      </c>
      <c r="D2338" t="s">
        <v>10703</v>
      </c>
      <c r="E2338" t="str">
        <f>"3841100152218"</f>
        <v>0</v>
      </c>
      <c r="F2338" t="str">
        <f>"001820"</f>
        <v>0</v>
      </c>
      <c r="G2338" t="s">
        <v>18359</v>
      </c>
    </row>
    <row r="2339" spans="1:7">
      <c r="A2339">
        <v>2338</v>
      </c>
      <c r="B2339" t="str">
        <f>"023476"</f>
        <v>0</v>
      </c>
      <c r="C2339" t="s">
        <v>21298</v>
      </c>
      <c r="D2339" t="s">
        <v>21299</v>
      </c>
      <c r="E2339" t="str">
        <f>"3840600316359"</f>
        <v>0</v>
      </c>
      <c r="F2339" t="str">
        <f>"001820"</f>
        <v>0</v>
      </c>
      <c r="G2339" t="s">
        <v>18359</v>
      </c>
    </row>
    <row r="2340" spans="1:7">
      <c r="A2340">
        <v>2339</v>
      </c>
      <c r="B2340" t="str">
        <f>"023681"</f>
        <v>0</v>
      </c>
      <c r="C2340" t="s">
        <v>21300</v>
      </c>
      <c r="D2340" t="s">
        <v>21301</v>
      </c>
      <c r="E2340" t="str">
        <f>"3849900046665"</f>
        <v>0</v>
      </c>
      <c r="F2340" t="str">
        <f>"001820"</f>
        <v>0</v>
      </c>
      <c r="G2340" t="s">
        <v>18359</v>
      </c>
    </row>
    <row r="2341" spans="1:7">
      <c r="A2341">
        <v>2340</v>
      </c>
      <c r="B2341" t="str">
        <f>"023886"</f>
        <v>0</v>
      </c>
      <c r="C2341" t="s">
        <v>178</v>
      </c>
      <c r="D2341" t="s">
        <v>21302</v>
      </c>
      <c r="E2341" t="str">
        <f>"1401700014808"</f>
        <v>0</v>
      </c>
      <c r="F2341" t="str">
        <f>"001820"</f>
        <v>0</v>
      </c>
      <c r="G2341" t="s">
        <v>18359</v>
      </c>
    </row>
    <row r="2342" spans="1:7">
      <c r="A2342">
        <v>2341</v>
      </c>
      <c r="B2342" t="str">
        <f>"023887"</f>
        <v>0</v>
      </c>
      <c r="C2342" t="s">
        <v>21303</v>
      </c>
      <c r="D2342" t="s">
        <v>21304</v>
      </c>
      <c r="E2342" t="str">
        <f>"1909800219676"</f>
        <v>0</v>
      </c>
      <c r="F2342" t="str">
        <f>"001820"</f>
        <v>0</v>
      </c>
      <c r="G2342" t="s">
        <v>18359</v>
      </c>
    </row>
    <row r="2343" spans="1:7">
      <c r="A2343">
        <v>2342</v>
      </c>
      <c r="B2343" t="str">
        <f>"024551"</f>
        <v>0</v>
      </c>
      <c r="C2343" t="s">
        <v>21305</v>
      </c>
      <c r="D2343" t="s">
        <v>21306</v>
      </c>
      <c r="E2343" t="str">
        <f>"3940400223542"</f>
        <v>0</v>
      </c>
      <c r="F2343" t="str">
        <f>"001820"</f>
        <v>0</v>
      </c>
      <c r="G2343" t="s">
        <v>18359</v>
      </c>
    </row>
    <row r="2344" spans="1:7">
      <c r="A2344">
        <v>2343</v>
      </c>
      <c r="B2344" t="str">
        <f>"025006"</f>
        <v>0</v>
      </c>
      <c r="C2344" t="s">
        <v>21307</v>
      </c>
      <c r="D2344" t="s">
        <v>21308</v>
      </c>
      <c r="E2344" t="str">
        <f>"1102001227431"</f>
        <v>0</v>
      </c>
      <c r="F2344" t="str">
        <f>"001820"</f>
        <v>0</v>
      </c>
      <c r="G2344" t="s">
        <v>18359</v>
      </c>
    </row>
    <row r="2345" spans="1:7">
      <c r="A2345">
        <v>2344</v>
      </c>
      <c r="B2345" t="str">
        <f>"025669"</f>
        <v>0</v>
      </c>
      <c r="C2345" t="s">
        <v>4727</v>
      </c>
      <c r="D2345" t="s">
        <v>12033</v>
      </c>
      <c r="E2345" t="str">
        <f>"3841200119794"</f>
        <v>0</v>
      </c>
      <c r="F2345" t="str">
        <f>"001820"</f>
        <v>0</v>
      </c>
      <c r="G2345" t="s">
        <v>18359</v>
      </c>
    </row>
    <row r="2346" spans="1:7">
      <c r="A2346">
        <v>2345</v>
      </c>
      <c r="B2346" t="str">
        <f>"025675"</f>
        <v>0</v>
      </c>
      <c r="C2346" t="s">
        <v>21309</v>
      </c>
      <c r="D2346" t="s">
        <v>21310</v>
      </c>
      <c r="E2346" t="str">
        <f>"1840100294287"</f>
        <v>0</v>
      </c>
      <c r="F2346" t="str">
        <f>"001820"</f>
        <v>0</v>
      </c>
      <c r="G2346" t="s">
        <v>18359</v>
      </c>
    </row>
    <row r="2347" spans="1:7">
      <c r="A2347">
        <v>2346</v>
      </c>
      <c r="B2347" t="str">
        <f>"025736"</f>
        <v>0</v>
      </c>
      <c r="C2347" t="s">
        <v>21311</v>
      </c>
      <c r="D2347" t="s">
        <v>21312</v>
      </c>
      <c r="E2347" t="str">
        <f>"1849900107323"</f>
        <v>0</v>
      </c>
      <c r="F2347" t="str">
        <f>"001820"</f>
        <v>0</v>
      </c>
      <c r="G2347" t="s">
        <v>18359</v>
      </c>
    </row>
    <row r="2348" spans="1:7">
      <c r="A2348">
        <v>2347</v>
      </c>
      <c r="B2348" t="str">
        <f>"025861"</f>
        <v>0</v>
      </c>
      <c r="C2348" t="s">
        <v>15870</v>
      </c>
      <c r="D2348" t="s">
        <v>21313</v>
      </c>
      <c r="E2348" t="str">
        <f>"1840100436502"</f>
        <v>0</v>
      </c>
      <c r="F2348" t="str">
        <f>"001820"</f>
        <v>0</v>
      </c>
      <c r="G2348" t="s">
        <v>18359</v>
      </c>
    </row>
    <row r="2349" spans="1:7">
      <c r="A2349">
        <v>2348</v>
      </c>
      <c r="B2349" t="str">
        <f>"026315"</f>
        <v>0</v>
      </c>
      <c r="C2349" t="s">
        <v>21314</v>
      </c>
      <c r="D2349" t="s">
        <v>21315</v>
      </c>
      <c r="E2349" t="str">
        <f>"1849900103379"</f>
        <v>0</v>
      </c>
      <c r="F2349" t="str">
        <f>"001820"</f>
        <v>0</v>
      </c>
      <c r="G2349" t="s">
        <v>18359</v>
      </c>
    </row>
    <row r="2350" spans="1:7">
      <c r="A2350">
        <v>2349</v>
      </c>
      <c r="B2350" t="str">
        <f>"026431"</f>
        <v>0</v>
      </c>
      <c r="C2350" t="s">
        <v>2733</v>
      </c>
      <c r="D2350" t="s">
        <v>21316</v>
      </c>
      <c r="E2350" t="str">
        <f>"3920100677882"</f>
        <v>0</v>
      </c>
      <c r="F2350" t="str">
        <f>"001820"</f>
        <v>0</v>
      </c>
      <c r="G2350" t="s">
        <v>18359</v>
      </c>
    </row>
    <row r="2351" spans="1:7">
      <c r="A2351">
        <v>2350</v>
      </c>
      <c r="B2351" t="str">
        <f>"026487"</f>
        <v>0</v>
      </c>
      <c r="C2351" t="s">
        <v>21317</v>
      </c>
      <c r="D2351" t="s">
        <v>21318</v>
      </c>
      <c r="E2351" t="str">
        <f>"1840100222863"</f>
        <v>0</v>
      </c>
      <c r="F2351" t="str">
        <f>"001820"</f>
        <v>0</v>
      </c>
      <c r="G2351" t="s">
        <v>18359</v>
      </c>
    </row>
    <row r="2352" spans="1:7">
      <c r="A2352">
        <v>2351</v>
      </c>
      <c r="B2352" t="str">
        <f>"027415"</f>
        <v>0</v>
      </c>
      <c r="C2352" t="s">
        <v>21319</v>
      </c>
      <c r="D2352" t="s">
        <v>21320</v>
      </c>
      <c r="E2352" t="str">
        <f>"1840600076491"</f>
        <v>0</v>
      </c>
      <c r="F2352" t="str">
        <f>"001820"</f>
        <v>0</v>
      </c>
      <c r="G2352" t="s">
        <v>18359</v>
      </c>
    </row>
    <row r="2353" spans="1:7">
      <c r="A2353">
        <v>2352</v>
      </c>
      <c r="B2353" t="str">
        <f>"027419"</f>
        <v>0</v>
      </c>
      <c r="C2353" t="s">
        <v>21321</v>
      </c>
      <c r="D2353" t="s">
        <v>4735</v>
      </c>
      <c r="E2353" t="str">
        <f>"1841500032221"</f>
        <v>0</v>
      </c>
      <c r="F2353" t="str">
        <f>"001820"</f>
        <v>0</v>
      </c>
      <c r="G2353" t="s">
        <v>18359</v>
      </c>
    </row>
    <row r="2354" spans="1:7">
      <c r="A2354">
        <v>2353</v>
      </c>
      <c r="B2354" t="str">
        <f>"027421"</f>
        <v>0</v>
      </c>
      <c r="C2354" t="s">
        <v>21322</v>
      </c>
      <c r="D2354" t="s">
        <v>15408</v>
      </c>
      <c r="E2354" t="str">
        <f>"3841300100254"</f>
        <v>0</v>
      </c>
      <c r="F2354" t="str">
        <f>"001820"</f>
        <v>0</v>
      </c>
      <c r="G2354" t="s">
        <v>18359</v>
      </c>
    </row>
    <row r="2355" spans="1:7">
      <c r="A2355">
        <v>2354</v>
      </c>
      <c r="B2355" t="str">
        <f>"027465"</f>
        <v>0</v>
      </c>
      <c r="C2355" t="s">
        <v>21323</v>
      </c>
      <c r="D2355" t="s">
        <v>21324</v>
      </c>
      <c r="E2355" t="str">
        <f>"1309900143375"</f>
        <v>0</v>
      </c>
      <c r="F2355" t="str">
        <f>"001820"</f>
        <v>0</v>
      </c>
      <c r="G2355" t="s">
        <v>18359</v>
      </c>
    </row>
    <row r="2356" spans="1:7">
      <c r="A2356">
        <v>2355</v>
      </c>
      <c r="B2356" t="str">
        <f>"017425"</f>
        <v>0</v>
      </c>
      <c r="C2356" t="s">
        <v>14080</v>
      </c>
      <c r="D2356" t="s">
        <v>21325</v>
      </c>
      <c r="E2356" t="str">
        <f>"3860800014755"</f>
        <v>0</v>
      </c>
      <c r="F2356" t="str">
        <f>"001820"</f>
        <v>0</v>
      </c>
      <c r="G2356" t="s">
        <v>18359</v>
      </c>
    </row>
    <row r="2357" spans="1:7">
      <c r="A2357">
        <v>2356</v>
      </c>
      <c r="B2357" t="str">
        <f>"025309"</f>
        <v>0</v>
      </c>
      <c r="C2357" t="s">
        <v>4752</v>
      </c>
      <c r="D2357" t="s">
        <v>21326</v>
      </c>
      <c r="E2357" t="str">
        <f>"1840100322477"</f>
        <v>0</v>
      </c>
      <c r="F2357" t="str">
        <f>"001820"</f>
        <v>0</v>
      </c>
      <c r="G2357" t="s">
        <v>18359</v>
      </c>
    </row>
    <row r="2358" spans="1:7">
      <c r="A2358">
        <v>2357</v>
      </c>
      <c r="B2358" t="str">
        <f>"014977"</f>
        <v>0</v>
      </c>
      <c r="C2358" t="s">
        <v>4249</v>
      </c>
      <c r="D2358" t="s">
        <v>1838</v>
      </c>
      <c r="E2358" t="str">
        <f>"3800100519072"</f>
        <v>0</v>
      </c>
      <c r="F2358" t="str">
        <f>"001820"</f>
        <v>0</v>
      </c>
      <c r="G2358" t="s">
        <v>18359</v>
      </c>
    </row>
    <row r="2359" spans="1:7">
      <c r="A2359">
        <v>2358</v>
      </c>
      <c r="B2359" t="str">
        <f>"027413"</f>
        <v>0</v>
      </c>
      <c r="C2359" t="s">
        <v>21327</v>
      </c>
      <c r="D2359" t="s">
        <v>21328</v>
      </c>
      <c r="E2359" t="str">
        <f>"1909800190031"</f>
        <v>0</v>
      </c>
      <c r="F2359" t="str">
        <f>"001820"</f>
        <v>0</v>
      </c>
      <c r="G2359" t="s">
        <v>18359</v>
      </c>
    </row>
    <row r="2360" spans="1:7">
      <c r="A2360">
        <v>2359</v>
      </c>
      <c r="B2360" t="str">
        <f>"027420"</f>
        <v>0</v>
      </c>
      <c r="C2360" t="s">
        <v>4128</v>
      </c>
      <c r="D2360" t="s">
        <v>21329</v>
      </c>
      <c r="E2360" t="str">
        <f>"3920400532464"</f>
        <v>0</v>
      </c>
      <c r="F2360" t="str">
        <f>"001820"</f>
        <v>0</v>
      </c>
      <c r="G2360" t="s">
        <v>18359</v>
      </c>
    </row>
    <row r="2361" spans="1:7">
      <c r="A2361">
        <v>2360</v>
      </c>
      <c r="B2361" t="str">
        <f>"026246"</f>
        <v>0</v>
      </c>
      <c r="C2361" t="s">
        <v>15183</v>
      </c>
      <c r="D2361" t="s">
        <v>5262</v>
      </c>
      <c r="E2361" t="str">
        <f>"1929900021193"</f>
        <v>0</v>
      </c>
      <c r="F2361" t="str">
        <f>"001820"</f>
        <v>0</v>
      </c>
      <c r="G2361" t="s">
        <v>18359</v>
      </c>
    </row>
    <row r="2362" spans="1:7">
      <c r="A2362">
        <v>2361</v>
      </c>
      <c r="B2362" t="str">
        <f>"025670"</f>
        <v>0</v>
      </c>
      <c r="C2362" t="s">
        <v>6088</v>
      </c>
      <c r="D2362" t="s">
        <v>21330</v>
      </c>
      <c r="E2362" t="str">
        <f>"3930100208211"</f>
        <v>0</v>
      </c>
      <c r="F2362" t="str">
        <f>"001820"</f>
        <v>0</v>
      </c>
      <c r="G2362" t="s">
        <v>18359</v>
      </c>
    </row>
    <row r="2363" spans="1:7">
      <c r="A2363">
        <v>2362</v>
      </c>
      <c r="B2363" t="str">
        <f>"021614"</f>
        <v>0</v>
      </c>
      <c r="C2363" t="s">
        <v>21331</v>
      </c>
      <c r="D2363" t="s">
        <v>1457</v>
      </c>
      <c r="E2363" t="str">
        <f>"3950100198101"</f>
        <v>0</v>
      </c>
      <c r="F2363" t="str">
        <f>"001820"</f>
        <v>0</v>
      </c>
      <c r="G2363" t="s">
        <v>18359</v>
      </c>
    </row>
    <row r="2364" spans="1:7">
      <c r="A2364">
        <v>2363</v>
      </c>
      <c r="B2364" t="str">
        <f>"010879"</f>
        <v>0</v>
      </c>
      <c r="C2364" t="s">
        <v>21332</v>
      </c>
      <c r="D2364" t="s">
        <v>21333</v>
      </c>
      <c r="E2364" t="str">
        <f>"3840300010742"</f>
        <v>0</v>
      </c>
      <c r="F2364" t="str">
        <f>"001820"</f>
        <v>0</v>
      </c>
      <c r="G2364" t="s">
        <v>18359</v>
      </c>
    </row>
    <row r="2365" spans="1:7">
      <c r="A2365">
        <v>2364</v>
      </c>
      <c r="B2365" t="str">
        <f>"016748"</f>
        <v>0</v>
      </c>
      <c r="C2365" t="s">
        <v>260</v>
      </c>
      <c r="D2365" t="s">
        <v>21334</v>
      </c>
      <c r="E2365" t="str">
        <f>"3841000084822"</f>
        <v>0</v>
      </c>
      <c r="F2365" t="str">
        <f>"001820"</f>
        <v>0</v>
      </c>
      <c r="G2365" t="s">
        <v>18359</v>
      </c>
    </row>
    <row r="2366" spans="1:7">
      <c r="A2366">
        <v>2365</v>
      </c>
      <c r="B2366" t="str">
        <f>"019220"</f>
        <v>0</v>
      </c>
      <c r="C2366" t="s">
        <v>229</v>
      </c>
      <c r="D2366" t="s">
        <v>21335</v>
      </c>
      <c r="E2366" t="str">
        <f>"3840100538395"</f>
        <v>0</v>
      </c>
      <c r="F2366" t="str">
        <f>"001820"</f>
        <v>0</v>
      </c>
      <c r="G2366" t="s">
        <v>18359</v>
      </c>
    </row>
    <row r="2367" spans="1:7">
      <c r="A2367">
        <v>2366</v>
      </c>
      <c r="B2367" t="str">
        <f>"019270"</f>
        <v>0</v>
      </c>
      <c r="C2367" t="s">
        <v>21336</v>
      </c>
      <c r="D2367" t="s">
        <v>222</v>
      </c>
      <c r="E2367" t="str">
        <f>"3800101379576"</f>
        <v>0</v>
      </c>
      <c r="F2367" t="str">
        <f>"001820"</f>
        <v>0</v>
      </c>
      <c r="G2367" t="s">
        <v>18359</v>
      </c>
    </row>
    <row r="2368" spans="1:7">
      <c r="A2368">
        <v>2367</v>
      </c>
      <c r="B2368" t="str">
        <f>"020945"</f>
        <v>0</v>
      </c>
      <c r="C2368" t="s">
        <v>887</v>
      </c>
      <c r="D2368" t="s">
        <v>7689</v>
      </c>
      <c r="E2368" t="str">
        <f>"3801200733603"</f>
        <v>0</v>
      </c>
      <c r="F2368" t="str">
        <f>"001820"</f>
        <v>0</v>
      </c>
      <c r="G2368" t="s">
        <v>18359</v>
      </c>
    </row>
    <row r="2369" spans="1:7">
      <c r="A2369">
        <v>2368</v>
      </c>
      <c r="B2369" t="str">
        <f>"026659"</f>
        <v>0</v>
      </c>
      <c r="C2369" t="s">
        <v>6321</v>
      </c>
      <c r="D2369" t="s">
        <v>21337</v>
      </c>
      <c r="E2369" t="str">
        <f>"3800400754158"</f>
        <v>0</v>
      </c>
      <c r="F2369" t="str">
        <f>"001820"</f>
        <v>0</v>
      </c>
      <c r="G2369" t="s">
        <v>18359</v>
      </c>
    </row>
    <row r="2370" spans="1:7">
      <c r="A2370">
        <v>2369</v>
      </c>
      <c r="B2370" t="str">
        <f>"001080"</f>
        <v>0</v>
      </c>
      <c r="C2370" t="s">
        <v>21338</v>
      </c>
      <c r="D2370" t="s">
        <v>21339</v>
      </c>
      <c r="E2370" t="str">
        <f>"3329900316004"</f>
        <v>0</v>
      </c>
      <c r="F2370" t="str">
        <f>"001850"</f>
        <v>0</v>
      </c>
      <c r="G2370" t="s">
        <v>18359</v>
      </c>
    </row>
    <row r="2371" spans="1:7">
      <c r="A2371">
        <v>2370</v>
      </c>
      <c r="B2371" t="str">
        <f>"001649"</f>
        <v>0</v>
      </c>
      <c r="C2371" t="s">
        <v>21340</v>
      </c>
      <c r="D2371" t="s">
        <v>21341</v>
      </c>
      <c r="E2371" t="str">
        <f>"3320100506021"</f>
        <v>0</v>
      </c>
      <c r="F2371" t="str">
        <f>"001850"</f>
        <v>0</v>
      </c>
      <c r="G2371" t="s">
        <v>18359</v>
      </c>
    </row>
    <row r="2372" spans="1:7">
      <c r="A2372">
        <v>2371</v>
      </c>
      <c r="B2372" t="str">
        <f>"002600"</f>
        <v>0</v>
      </c>
      <c r="C2372" t="s">
        <v>3419</v>
      </c>
      <c r="D2372" t="s">
        <v>21342</v>
      </c>
      <c r="E2372" t="str">
        <f>"3329900106735"</f>
        <v>0</v>
      </c>
      <c r="F2372" t="str">
        <f>"001850"</f>
        <v>0</v>
      </c>
      <c r="G2372" t="s">
        <v>18359</v>
      </c>
    </row>
    <row r="2373" spans="1:7">
      <c r="A2373">
        <v>2372</v>
      </c>
      <c r="B2373" t="str">
        <f>"002805"</f>
        <v>0</v>
      </c>
      <c r="C2373" t="s">
        <v>352</v>
      </c>
      <c r="D2373" t="s">
        <v>17849</v>
      </c>
      <c r="E2373" t="str">
        <f>"3320300478480"</f>
        <v>0</v>
      </c>
      <c r="F2373" t="str">
        <f>"001850"</f>
        <v>0</v>
      </c>
      <c r="G2373" t="s">
        <v>18359</v>
      </c>
    </row>
    <row r="2374" spans="1:7">
      <c r="A2374">
        <v>2373</v>
      </c>
      <c r="B2374" t="str">
        <f>"002910"</f>
        <v>0</v>
      </c>
      <c r="C2374" t="s">
        <v>16888</v>
      </c>
      <c r="D2374" t="s">
        <v>21343</v>
      </c>
      <c r="E2374" t="str">
        <f>"3320300057549"</f>
        <v>0</v>
      </c>
      <c r="F2374" t="str">
        <f>"001850"</f>
        <v>0</v>
      </c>
      <c r="G2374" t="s">
        <v>18359</v>
      </c>
    </row>
    <row r="2375" spans="1:7">
      <c r="A2375">
        <v>2374</v>
      </c>
      <c r="B2375" t="str">
        <f>"003010"</f>
        <v>0</v>
      </c>
      <c r="C2375" t="s">
        <v>21344</v>
      </c>
      <c r="D2375" t="s">
        <v>20522</v>
      </c>
      <c r="E2375" t="str">
        <f>"3320101811596"</f>
        <v>0</v>
      </c>
      <c r="F2375" t="str">
        <f>"001850"</f>
        <v>0</v>
      </c>
      <c r="G2375" t="s">
        <v>18359</v>
      </c>
    </row>
    <row r="2376" spans="1:7">
      <c r="A2376">
        <v>2375</v>
      </c>
      <c r="B2376" t="str">
        <f>"003198"</f>
        <v>0</v>
      </c>
      <c r="C2376" t="s">
        <v>19587</v>
      </c>
      <c r="D2376" t="s">
        <v>21345</v>
      </c>
      <c r="E2376" t="str">
        <f>"4320100001815"</f>
        <v>0</v>
      </c>
      <c r="F2376" t="str">
        <f>"001850"</f>
        <v>0</v>
      </c>
      <c r="G2376" t="s">
        <v>18359</v>
      </c>
    </row>
    <row r="2377" spans="1:7">
      <c r="A2377">
        <v>2376</v>
      </c>
      <c r="B2377" t="str">
        <f>"005236"</f>
        <v>0</v>
      </c>
      <c r="C2377" t="s">
        <v>21346</v>
      </c>
      <c r="D2377" t="s">
        <v>21347</v>
      </c>
      <c r="E2377" t="str">
        <f>"3320101086450"</f>
        <v>0</v>
      </c>
      <c r="F2377" t="str">
        <f>"001850"</f>
        <v>0</v>
      </c>
      <c r="G2377" t="s">
        <v>18359</v>
      </c>
    </row>
    <row r="2378" spans="1:7">
      <c r="A2378">
        <v>2377</v>
      </c>
      <c r="B2378" t="str">
        <f>"006212"</f>
        <v>0</v>
      </c>
      <c r="C2378" t="s">
        <v>7249</v>
      </c>
      <c r="D2378" t="s">
        <v>21348</v>
      </c>
      <c r="E2378" t="str">
        <f>"3321300222575"</f>
        <v>0</v>
      </c>
      <c r="F2378" t="str">
        <f>"001850"</f>
        <v>0</v>
      </c>
      <c r="G2378" t="s">
        <v>18359</v>
      </c>
    </row>
    <row r="2379" spans="1:7">
      <c r="A2379">
        <v>2378</v>
      </c>
      <c r="B2379" t="str">
        <f>"009094"</f>
        <v>0</v>
      </c>
      <c r="C2379" t="s">
        <v>1021</v>
      </c>
      <c r="D2379" t="s">
        <v>21349</v>
      </c>
      <c r="E2379" t="str">
        <f>"3300101292823"</f>
        <v>0</v>
      </c>
      <c r="F2379" t="str">
        <f>"001850"</f>
        <v>0</v>
      </c>
      <c r="G2379" t="s">
        <v>18359</v>
      </c>
    </row>
    <row r="2380" spans="1:7">
      <c r="A2380">
        <v>2379</v>
      </c>
      <c r="B2380" t="str">
        <f>"009766"</f>
        <v>0</v>
      </c>
      <c r="C2380" t="s">
        <v>2437</v>
      </c>
      <c r="D2380" t="s">
        <v>21350</v>
      </c>
      <c r="E2380" t="str">
        <f>"3320300267314"</f>
        <v>0</v>
      </c>
      <c r="F2380" t="str">
        <f>"001850"</f>
        <v>0</v>
      </c>
      <c r="G2380" t="s">
        <v>18359</v>
      </c>
    </row>
    <row r="2381" spans="1:7">
      <c r="A2381">
        <v>2380</v>
      </c>
      <c r="B2381" t="str">
        <f>"014262"</f>
        <v>0</v>
      </c>
      <c r="C2381" t="s">
        <v>4920</v>
      </c>
      <c r="D2381" t="s">
        <v>15612</v>
      </c>
      <c r="E2381" t="str">
        <f>"3321000025545"</f>
        <v>0</v>
      </c>
      <c r="F2381" t="str">
        <f>"001850"</f>
        <v>0</v>
      </c>
      <c r="G2381" t="s">
        <v>18359</v>
      </c>
    </row>
    <row r="2382" spans="1:7">
      <c r="A2382">
        <v>2381</v>
      </c>
      <c r="B2382" t="str">
        <f>"021957"</f>
        <v>0</v>
      </c>
      <c r="C2382" t="s">
        <v>4081</v>
      </c>
      <c r="D2382" t="s">
        <v>21351</v>
      </c>
      <c r="E2382" t="str">
        <f>"3320100051032"</f>
        <v>0</v>
      </c>
      <c r="F2382" t="str">
        <f>"001850"</f>
        <v>0</v>
      </c>
      <c r="G2382" t="s">
        <v>18359</v>
      </c>
    </row>
    <row r="2383" spans="1:7">
      <c r="A2383">
        <v>2382</v>
      </c>
      <c r="B2383" t="str">
        <f>"012822"</f>
        <v>0</v>
      </c>
      <c r="C2383" t="s">
        <v>5919</v>
      </c>
      <c r="D2383" t="s">
        <v>21352</v>
      </c>
      <c r="E2383" t="str">
        <f>"3100202634128"</f>
        <v>0</v>
      </c>
      <c r="F2383" t="str">
        <f>"001850"</f>
        <v>0</v>
      </c>
      <c r="G2383" t="s">
        <v>18359</v>
      </c>
    </row>
    <row r="2384" spans="1:7">
      <c r="A2384">
        <v>2383</v>
      </c>
      <c r="B2384" t="str">
        <f>"020534"</f>
        <v>0</v>
      </c>
      <c r="C2384" t="s">
        <v>21353</v>
      </c>
      <c r="D2384" t="s">
        <v>21354</v>
      </c>
      <c r="E2384" t="str">
        <f>"3320900604702"</f>
        <v>0</v>
      </c>
      <c r="F2384" t="str">
        <f>"001850"</f>
        <v>0</v>
      </c>
      <c r="G2384" t="s">
        <v>18359</v>
      </c>
    </row>
    <row r="2385" spans="1:7">
      <c r="A2385">
        <v>2384</v>
      </c>
      <c r="B2385" t="str">
        <f>"022304"</f>
        <v>0</v>
      </c>
      <c r="C2385" t="s">
        <v>7975</v>
      </c>
      <c r="D2385" t="s">
        <v>21355</v>
      </c>
      <c r="E2385" t="str">
        <f>"3310701258740"</f>
        <v>0</v>
      </c>
      <c r="F2385" t="str">
        <f>"001850"</f>
        <v>0</v>
      </c>
      <c r="G2385" t="s">
        <v>18359</v>
      </c>
    </row>
    <row r="2386" spans="1:7">
      <c r="A2386">
        <v>2385</v>
      </c>
      <c r="B2386" t="str">
        <f>"016976"</f>
        <v>0</v>
      </c>
      <c r="C2386" t="s">
        <v>21356</v>
      </c>
      <c r="D2386" t="s">
        <v>877</v>
      </c>
      <c r="E2386" t="str">
        <f>"3340300003571"</f>
        <v>0</v>
      </c>
      <c r="F2386" t="str">
        <f>"001850"</f>
        <v>0</v>
      </c>
      <c r="G2386" t="s">
        <v>18359</v>
      </c>
    </row>
    <row r="2387" spans="1:7">
      <c r="A2387">
        <v>2386</v>
      </c>
      <c r="B2387" t="str">
        <f>"021492"</f>
        <v>0</v>
      </c>
      <c r="C2387" t="s">
        <v>9680</v>
      </c>
      <c r="D2387" t="s">
        <v>21357</v>
      </c>
      <c r="E2387" t="str">
        <f>"3301800014181"</f>
        <v>0</v>
      </c>
      <c r="F2387" t="str">
        <f>"001850"</f>
        <v>0</v>
      </c>
      <c r="G2387" t="s">
        <v>18359</v>
      </c>
    </row>
    <row r="2388" spans="1:7">
      <c r="A2388">
        <v>2387</v>
      </c>
      <c r="B2388" t="str">
        <f>"024159"</f>
        <v>0</v>
      </c>
      <c r="C2388" t="s">
        <v>21358</v>
      </c>
      <c r="D2388" t="s">
        <v>21359</v>
      </c>
      <c r="E2388" t="str">
        <f>"5310700078507"</f>
        <v>0</v>
      </c>
      <c r="F2388" t="str">
        <f>"001850"</f>
        <v>0</v>
      </c>
      <c r="G2388" t="s">
        <v>18359</v>
      </c>
    </row>
    <row r="2389" spans="1:7">
      <c r="A2389">
        <v>2388</v>
      </c>
      <c r="B2389" t="str">
        <f>"024161"</f>
        <v>0</v>
      </c>
      <c r="C2389" t="s">
        <v>6417</v>
      </c>
      <c r="D2389" t="s">
        <v>21360</v>
      </c>
      <c r="E2389" t="str">
        <f>"1311000119721"</f>
        <v>0</v>
      </c>
      <c r="F2389" t="str">
        <f>"001850"</f>
        <v>0</v>
      </c>
      <c r="G2389" t="s">
        <v>18359</v>
      </c>
    </row>
    <row r="2390" spans="1:7">
      <c r="A2390">
        <v>2389</v>
      </c>
      <c r="B2390" t="str">
        <f>"024162"</f>
        <v>0</v>
      </c>
      <c r="C2390" t="s">
        <v>21361</v>
      </c>
      <c r="D2390" t="s">
        <v>21362</v>
      </c>
      <c r="E2390" t="str">
        <f>"1311000010126"</f>
        <v>0</v>
      </c>
      <c r="F2390" t="str">
        <f>"001850"</f>
        <v>0</v>
      </c>
      <c r="G2390" t="s">
        <v>18359</v>
      </c>
    </row>
    <row r="2391" spans="1:7">
      <c r="A2391">
        <v>2390</v>
      </c>
      <c r="B2391" t="str">
        <f>"027236"</f>
        <v>0</v>
      </c>
      <c r="C2391" t="s">
        <v>21363</v>
      </c>
      <c r="D2391" t="s">
        <v>21364</v>
      </c>
      <c r="E2391" t="str">
        <f>"1311100082323"</f>
        <v>0</v>
      </c>
      <c r="F2391" t="str">
        <f>"001850"</f>
        <v>0</v>
      </c>
      <c r="G2391" t="s">
        <v>18359</v>
      </c>
    </row>
    <row r="2392" spans="1:7">
      <c r="A2392">
        <v>2391</v>
      </c>
      <c r="B2392" t="str">
        <f>"007074"</f>
        <v>0</v>
      </c>
      <c r="C2392" t="s">
        <v>21365</v>
      </c>
      <c r="D2392" t="s">
        <v>21366</v>
      </c>
      <c r="E2392" t="str">
        <f>"3350800283688"</f>
        <v>0</v>
      </c>
      <c r="F2392" t="str">
        <f>"001850"</f>
        <v>0</v>
      </c>
      <c r="G2392" t="s">
        <v>18359</v>
      </c>
    </row>
    <row r="2393" spans="1:7">
      <c r="A2393">
        <v>2392</v>
      </c>
      <c r="B2393" t="str">
        <f>"007813"</f>
        <v>0</v>
      </c>
      <c r="C2393" t="s">
        <v>21367</v>
      </c>
      <c r="D2393" t="s">
        <v>21368</v>
      </c>
      <c r="E2393" t="str">
        <f>"3320400059225"</f>
        <v>0</v>
      </c>
      <c r="F2393" t="str">
        <f>"001850"</f>
        <v>0</v>
      </c>
      <c r="G2393" t="s">
        <v>18359</v>
      </c>
    </row>
    <row r="2394" spans="1:7">
      <c r="A2394">
        <v>2393</v>
      </c>
      <c r="B2394" t="str">
        <f>"008648"</f>
        <v>0</v>
      </c>
      <c r="C2394" t="s">
        <v>21369</v>
      </c>
      <c r="D2394" t="s">
        <v>6573</v>
      </c>
      <c r="E2394" t="str">
        <f>"3329900327090"</f>
        <v>0</v>
      </c>
      <c r="F2394" t="str">
        <f>"001850"</f>
        <v>0</v>
      </c>
      <c r="G2394" t="s">
        <v>18359</v>
      </c>
    </row>
    <row r="2395" spans="1:7">
      <c r="A2395">
        <v>2394</v>
      </c>
      <c r="B2395" t="str">
        <f>"008968"</f>
        <v>0</v>
      </c>
      <c r="C2395" t="s">
        <v>8999</v>
      </c>
      <c r="D2395" t="s">
        <v>21370</v>
      </c>
      <c r="E2395" t="str">
        <f>"3321100117921"</f>
        <v>0</v>
      </c>
      <c r="F2395" t="str">
        <f>"001850"</f>
        <v>0</v>
      </c>
      <c r="G2395" t="s">
        <v>18359</v>
      </c>
    </row>
    <row r="2396" spans="1:7">
      <c r="A2396">
        <v>2395</v>
      </c>
      <c r="B2396" t="str">
        <f>"010888"</f>
        <v>0</v>
      </c>
      <c r="C2396" t="s">
        <v>8877</v>
      </c>
      <c r="D2396" t="s">
        <v>4336</v>
      </c>
      <c r="E2396" t="str">
        <f>"3320100749277"</f>
        <v>0</v>
      </c>
      <c r="F2396" t="str">
        <f>"001850"</f>
        <v>0</v>
      </c>
      <c r="G2396" t="s">
        <v>18359</v>
      </c>
    </row>
    <row r="2397" spans="1:7">
      <c r="A2397">
        <v>2396</v>
      </c>
      <c r="B2397" t="str">
        <f>"017071"</f>
        <v>0</v>
      </c>
      <c r="C2397" t="s">
        <v>21371</v>
      </c>
      <c r="D2397" t="s">
        <v>21372</v>
      </c>
      <c r="E2397" t="str">
        <f>"3320101181649"</f>
        <v>0</v>
      </c>
      <c r="F2397" t="str">
        <f>"001850"</f>
        <v>0</v>
      </c>
      <c r="G2397" t="s">
        <v>18359</v>
      </c>
    </row>
    <row r="2398" spans="1:7">
      <c r="A2398">
        <v>2397</v>
      </c>
      <c r="B2398" t="str">
        <f>"018341"</f>
        <v>0</v>
      </c>
      <c r="C2398" t="s">
        <v>3866</v>
      </c>
      <c r="D2398" t="s">
        <v>768</v>
      </c>
      <c r="E2398" t="str">
        <f>"3320100248855"</f>
        <v>0</v>
      </c>
      <c r="F2398" t="str">
        <f>"001850"</f>
        <v>0</v>
      </c>
      <c r="G2398" t="s">
        <v>18359</v>
      </c>
    </row>
    <row r="2399" spans="1:7">
      <c r="A2399">
        <v>2398</v>
      </c>
      <c r="B2399" t="str">
        <f>"018768"</f>
        <v>0</v>
      </c>
      <c r="C2399" t="s">
        <v>21373</v>
      </c>
      <c r="D2399" t="s">
        <v>21374</v>
      </c>
      <c r="E2399" t="str">
        <f>"3320100736795"</f>
        <v>0</v>
      </c>
      <c r="F2399" t="str">
        <f>"001850"</f>
        <v>0</v>
      </c>
      <c r="G2399" t="s">
        <v>18359</v>
      </c>
    </row>
    <row r="2400" spans="1:7">
      <c r="A2400">
        <v>2399</v>
      </c>
      <c r="B2400" t="str">
        <f>"020300"</f>
        <v>0</v>
      </c>
      <c r="C2400" t="s">
        <v>18605</v>
      </c>
      <c r="D2400" t="s">
        <v>21375</v>
      </c>
      <c r="E2400" t="str">
        <f>"3320100616366"</f>
        <v>0</v>
      </c>
      <c r="F2400" t="str">
        <f>"001850"</f>
        <v>0</v>
      </c>
      <c r="G2400" t="s">
        <v>18359</v>
      </c>
    </row>
    <row r="2401" spans="1:7">
      <c r="A2401">
        <v>2400</v>
      </c>
      <c r="B2401" t="str">
        <f>"021689"</f>
        <v>0</v>
      </c>
      <c r="C2401" t="s">
        <v>21376</v>
      </c>
      <c r="D2401" t="s">
        <v>15656</v>
      </c>
      <c r="E2401" t="str">
        <f>"3320900664314"</f>
        <v>0</v>
      </c>
      <c r="F2401" t="str">
        <f>"001850"</f>
        <v>0</v>
      </c>
      <c r="G2401" t="s">
        <v>18359</v>
      </c>
    </row>
    <row r="2402" spans="1:7">
      <c r="A2402">
        <v>2401</v>
      </c>
      <c r="B2402" t="str">
        <f>"022342"</f>
        <v>0</v>
      </c>
      <c r="C2402" t="s">
        <v>21377</v>
      </c>
      <c r="D2402" t="s">
        <v>21378</v>
      </c>
      <c r="E2402" t="str">
        <f>"3320400091854"</f>
        <v>0</v>
      </c>
      <c r="F2402" t="str">
        <f>"001850"</f>
        <v>0</v>
      </c>
      <c r="G2402" t="s">
        <v>18359</v>
      </c>
    </row>
    <row r="2403" spans="1:7">
      <c r="A2403">
        <v>2402</v>
      </c>
      <c r="B2403" t="str">
        <f>"022765"</f>
        <v>0</v>
      </c>
      <c r="C2403" t="s">
        <v>21379</v>
      </c>
      <c r="D2403" t="s">
        <v>21380</v>
      </c>
      <c r="E2403" t="str">
        <f>"5340300018752"</f>
        <v>0</v>
      </c>
      <c r="F2403" t="str">
        <f>"001850"</f>
        <v>0</v>
      </c>
      <c r="G2403" t="s">
        <v>18359</v>
      </c>
    </row>
    <row r="2404" spans="1:7">
      <c r="A2404">
        <v>2403</v>
      </c>
      <c r="B2404" t="str">
        <f>"023051"</f>
        <v>0</v>
      </c>
      <c r="C2404" t="s">
        <v>21381</v>
      </c>
      <c r="D2404" t="s">
        <v>15837</v>
      </c>
      <c r="E2404" t="str">
        <f>"3320101774313"</f>
        <v>0</v>
      </c>
      <c r="F2404" t="str">
        <f>"001850"</f>
        <v>0</v>
      </c>
      <c r="G2404" t="s">
        <v>18359</v>
      </c>
    </row>
    <row r="2405" spans="1:7">
      <c r="A2405">
        <v>2404</v>
      </c>
      <c r="B2405" t="str">
        <f>"023259"</f>
        <v>0</v>
      </c>
      <c r="C2405" t="s">
        <v>21382</v>
      </c>
      <c r="D2405" t="s">
        <v>7414</v>
      </c>
      <c r="E2405" t="str">
        <f>"3320300426447"</f>
        <v>0</v>
      </c>
      <c r="F2405" t="str">
        <f>"001850"</f>
        <v>0</v>
      </c>
      <c r="G2405" t="s">
        <v>18359</v>
      </c>
    </row>
    <row r="2406" spans="1:7">
      <c r="A2406">
        <v>2405</v>
      </c>
      <c r="B2406" t="str">
        <f>"023600"</f>
        <v>0</v>
      </c>
      <c r="C2406" t="s">
        <v>21383</v>
      </c>
      <c r="D2406" t="s">
        <v>21384</v>
      </c>
      <c r="E2406" t="str">
        <f>"1321000045388"</f>
        <v>0</v>
      </c>
      <c r="F2406" t="str">
        <f>"001850"</f>
        <v>0</v>
      </c>
      <c r="G2406" t="s">
        <v>18359</v>
      </c>
    </row>
    <row r="2407" spans="1:7">
      <c r="A2407">
        <v>2406</v>
      </c>
      <c r="B2407" t="str">
        <f>"023700"</f>
        <v>0</v>
      </c>
      <c r="C2407" t="s">
        <v>4783</v>
      </c>
      <c r="D2407" t="s">
        <v>21385</v>
      </c>
      <c r="E2407" t="str">
        <f>"3320102115852"</f>
        <v>0</v>
      </c>
      <c r="F2407" t="str">
        <f>"001850"</f>
        <v>0</v>
      </c>
      <c r="G2407" t="s">
        <v>18359</v>
      </c>
    </row>
    <row r="2408" spans="1:7">
      <c r="A2408">
        <v>2407</v>
      </c>
      <c r="B2408" t="str">
        <f>"024163"</f>
        <v>0</v>
      </c>
      <c r="C2408" t="s">
        <v>18605</v>
      </c>
      <c r="D2408" t="s">
        <v>21386</v>
      </c>
      <c r="E2408" t="str">
        <f>"3311100201353"</f>
        <v>0</v>
      </c>
      <c r="F2408" t="str">
        <f>"001850"</f>
        <v>0</v>
      </c>
      <c r="G2408" t="s">
        <v>18359</v>
      </c>
    </row>
    <row r="2409" spans="1:7">
      <c r="A2409">
        <v>2408</v>
      </c>
      <c r="B2409" t="str">
        <f>"024535"</f>
        <v>0</v>
      </c>
      <c r="C2409" t="s">
        <v>21387</v>
      </c>
      <c r="D2409" t="s">
        <v>21388</v>
      </c>
      <c r="E2409" t="str">
        <f>"3320101919061"</f>
        <v>0</v>
      </c>
      <c r="F2409" t="str">
        <f>"001850"</f>
        <v>0</v>
      </c>
      <c r="G2409" t="s">
        <v>18359</v>
      </c>
    </row>
    <row r="2410" spans="1:7">
      <c r="A2410">
        <v>2409</v>
      </c>
      <c r="B2410" t="str">
        <f>"025007"</f>
        <v>0</v>
      </c>
      <c r="C2410" t="s">
        <v>11550</v>
      </c>
      <c r="D2410" t="s">
        <v>21389</v>
      </c>
      <c r="E2410" t="str">
        <f>"5321000052018"</f>
        <v>0</v>
      </c>
      <c r="F2410" t="str">
        <f>"001850"</f>
        <v>0</v>
      </c>
      <c r="G2410" t="s">
        <v>18359</v>
      </c>
    </row>
    <row r="2411" spans="1:7">
      <c r="A2411">
        <v>2410</v>
      </c>
      <c r="B2411" t="str">
        <f>"025078"</f>
        <v>0</v>
      </c>
      <c r="C2411" t="s">
        <v>15134</v>
      </c>
      <c r="D2411" t="s">
        <v>21390</v>
      </c>
      <c r="E2411" t="str">
        <f>"3230400208027"</f>
        <v>0</v>
      </c>
      <c r="F2411" t="str">
        <f>"001850"</f>
        <v>0</v>
      </c>
      <c r="G2411" t="s">
        <v>18359</v>
      </c>
    </row>
    <row r="2412" spans="1:7">
      <c r="A2412">
        <v>2411</v>
      </c>
      <c r="B2412" t="str">
        <f>"025348"</f>
        <v>0</v>
      </c>
      <c r="C2412" t="s">
        <v>17000</v>
      </c>
      <c r="D2412" t="s">
        <v>21391</v>
      </c>
      <c r="E2412" t="str">
        <f>"3320500941507"</f>
        <v>0</v>
      </c>
      <c r="F2412" t="str">
        <f>"001850"</f>
        <v>0</v>
      </c>
      <c r="G2412" t="s">
        <v>18359</v>
      </c>
    </row>
    <row r="2413" spans="1:7">
      <c r="A2413">
        <v>2412</v>
      </c>
      <c r="B2413" t="str">
        <f>"025492"</f>
        <v>0</v>
      </c>
      <c r="C2413" t="s">
        <v>21392</v>
      </c>
      <c r="D2413" t="s">
        <v>21393</v>
      </c>
      <c r="E2413" t="str">
        <f>"3320100788876"</f>
        <v>0</v>
      </c>
      <c r="F2413" t="str">
        <f>"001850"</f>
        <v>0</v>
      </c>
      <c r="G2413" t="s">
        <v>18359</v>
      </c>
    </row>
    <row r="2414" spans="1:7">
      <c r="A2414">
        <v>2413</v>
      </c>
      <c r="B2414" t="str">
        <f>"026043"</f>
        <v>0</v>
      </c>
      <c r="C2414" t="s">
        <v>2046</v>
      </c>
      <c r="D2414" t="s">
        <v>21394</v>
      </c>
      <c r="E2414" t="str">
        <f>"3321100256484"</f>
        <v>0</v>
      </c>
      <c r="F2414" t="str">
        <f>"001850"</f>
        <v>0</v>
      </c>
      <c r="G2414" t="s">
        <v>18359</v>
      </c>
    </row>
    <row r="2415" spans="1:7">
      <c r="A2415">
        <v>2414</v>
      </c>
      <c r="B2415" t="str">
        <f>"022769"</f>
        <v>0</v>
      </c>
      <c r="C2415" t="s">
        <v>2673</v>
      </c>
      <c r="D2415" t="s">
        <v>21395</v>
      </c>
      <c r="E2415" t="str">
        <f>"1321200005576"</f>
        <v>0</v>
      </c>
      <c r="F2415" t="str">
        <f>"001850"</f>
        <v>0</v>
      </c>
      <c r="G2415" t="s">
        <v>18359</v>
      </c>
    </row>
    <row r="2416" spans="1:7">
      <c r="A2416">
        <v>2415</v>
      </c>
      <c r="B2416" t="str">
        <f>"021599"</f>
        <v>0</v>
      </c>
      <c r="C2416" t="s">
        <v>21396</v>
      </c>
      <c r="D2416" t="s">
        <v>21397</v>
      </c>
      <c r="E2416" t="str">
        <f>"3451100498347"</f>
        <v>0</v>
      </c>
      <c r="F2416" t="str">
        <f>"001850"</f>
        <v>0</v>
      </c>
      <c r="G2416" t="s">
        <v>18359</v>
      </c>
    </row>
    <row r="2417" spans="1:7">
      <c r="A2417">
        <v>2416</v>
      </c>
      <c r="B2417" t="str">
        <f>"005482"</f>
        <v>0</v>
      </c>
      <c r="C2417" t="s">
        <v>694</v>
      </c>
      <c r="D2417" t="s">
        <v>21398</v>
      </c>
      <c r="E2417" t="str">
        <f>"3411900585112"</f>
        <v>0</v>
      </c>
      <c r="F2417" t="str">
        <f>"001870"</f>
        <v>0</v>
      </c>
      <c r="G2417" t="s">
        <v>18359</v>
      </c>
    </row>
    <row r="2418" spans="1:7">
      <c r="A2418">
        <v>2417</v>
      </c>
      <c r="B2418" t="str">
        <f>"026046"</f>
        <v>0</v>
      </c>
      <c r="C2418" t="s">
        <v>889</v>
      </c>
      <c r="D2418" t="s">
        <v>21399</v>
      </c>
      <c r="E2418" t="str">
        <f>"1439900083061"</f>
        <v>0</v>
      </c>
      <c r="F2418" t="str">
        <f>"001870"</f>
        <v>0</v>
      </c>
      <c r="G2418" t="s">
        <v>18359</v>
      </c>
    </row>
    <row r="2419" spans="1:7">
      <c r="A2419">
        <v>2418</v>
      </c>
      <c r="B2419" t="str">
        <f>"022657"</f>
        <v>0</v>
      </c>
      <c r="C2419" t="s">
        <v>5340</v>
      </c>
      <c r="D2419" t="s">
        <v>21400</v>
      </c>
      <c r="E2419" t="str">
        <f>"1360300002977"</f>
        <v>0</v>
      </c>
      <c r="F2419" t="str">
        <f>"001870"</f>
        <v>0</v>
      </c>
      <c r="G2419" t="s">
        <v>18359</v>
      </c>
    </row>
    <row r="2420" spans="1:7">
      <c r="A2420">
        <v>2419</v>
      </c>
      <c r="B2420" t="str">
        <f>"026253"</f>
        <v>0</v>
      </c>
      <c r="C2420" t="s">
        <v>12151</v>
      </c>
      <c r="D2420" t="s">
        <v>21401</v>
      </c>
      <c r="E2420" t="str">
        <f>"3301000977821"</f>
        <v>0</v>
      </c>
      <c r="F2420" t="str">
        <f>"001870"</f>
        <v>0</v>
      </c>
      <c r="G2420" t="s">
        <v>18359</v>
      </c>
    </row>
    <row r="2421" spans="1:7">
      <c r="A2421">
        <v>2420</v>
      </c>
      <c r="B2421" t="str">
        <f>"027247"</f>
        <v>0</v>
      </c>
      <c r="C2421" t="s">
        <v>21402</v>
      </c>
      <c r="D2421" t="s">
        <v>21403</v>
      </c>
      <c r="E2421" t="str">
        <f>"1579900072204"</f>
        <v>0</v>
      </c>
      <c r="F2421" t="str">
        <f>"001870"</f>
        <v>0</v>
      </c>
      <c r="G2421" t="s">
        <v>18359</v>
      </c>
    </row>
    <row r="2422" spans="1:7">
      <c r="A2422">
        <v>2421</v>
      </c>
      <c r="B2422" t="str">
        <f>"011735"</f>
        <v>0</v>
      </c>
      <c r="C2422" t="s">
        <v>3316</v>
      </c>
      <c r="D2422" t="s">
        <v>21404</v>
      </c>
      <c r="E2422" t="str">
        <f>"5411390002591"</f>
        <v>0</v>
      </c>
      <c r="F2422" t="str">
        <f>"001870"</f>
        <v>0</v>
      </c>
      <c r="G2422" t="s">
        <v>18359</v>
      </c>
    </row>
    <row r="2423" spans="1:7">
      <c r="A2423">
        <v>2422</v>
      </c>
      <c r="B2423" t="str">
        <f>"011736"</f>
        <v>0</v>
      </c>
      <c r="C2423" t="s">
        <v>21405</v>
      </c>
      <c r="D2423" t="s">
        <v>21406</v>
      </c>
      <c r="E2423" t="str">
        <f>"3301800165261"</f>
        <v>0</v>
      </c>
      <c r="F2423" t="str">
        <f>"001870"</f>
        <v>0</v>
      </c>
      <c r="G2423" t="s">
        <v>18359</v>
      </c>
    </row>
    <row r="2424" spans="1:7">
      <c r="A2424">
        <v>2423</v>
      </c>
      <c r="B2424" t="str">
        <f>"011803"</f>
        <v>0</v>
      </c>
      <c r="C2424" t="s">
        <v>21407</v>
      </c>
      <c r="D2424" t="s">
        <v>21408</v>
      </c>
      <c r="E2424" t="str">
        <f>"3410300226943"</f>
        <v>0</v>
      </c>
      <c r="F2424" t="str">
        <f>"001870"</f>
        <v>0</v>
      </c>
      <c r="G2424" t="s">
        <v>18359</v>
      </c>
    </row>
    <row r="2425" spans="1:7">
      <c r="A2425">
        <v>2424</v>
      </c>
      <c r="B2425" t="str">
        <f>"012179"</f>
        <v>0</v>
      </c>
      <c r="C2425" t="s">
        <v>6186</v>
      </c>
      <c r="D2425" t="s">
        <v>21409</v>
      </c>
      <c r="E2425" t="str">
        <f>"3429900120575"</f>
        <v>0</v>
      </c>
      <c r="F2425" t="str">
        <f>"001870"</f>
        <v>0</v>
      </c>
      <c r="G2425" t="s">
        <v>18359</v>
      </c>
    </row>
    <row r="2426" spans="1:7">
      <c r="A2426">
        <v>2425</v>
      </c>
      <c r="B2426" t="str">
        <f>"013577"</f>
        <v>0</v>
      </c>
      <c r="C2426" t="s">
        <v>4779</v>
      </c>
      <c r="D2426" t="s">
        <v>5344</v>
      </c>
      <c r="E2426" t="str">
        <f>"3610300038967"</f>
        <v>0</v>
      </c>
      <c r="F2426" t="str">
        <f>"001870"</f>
        <v>0</v>
      </c>
      <c r="G2426" t="s">
        <v>18359</v>
      </c>
    </row>
    <row r="2427" spans="1:7">
      <c r="A2427">
        <v>2426</v>
      </c>
      <c r="B2427" t="str">
        <f>"014064"</f>
        <v>0</v>
      </c>
      <c r="C2427" t="s">
        <v>21410</v>
      </c>
      <c r="D2427" t="s">
        <v>21411</v>
      </c>
      <c r="E2427" t="str">
        <f>"3420900368111"</f>
        <v>0</v>
      </c>
      <c r="F2427" t="str">
        <f>"001870"</f>
        <v>0</v>
      </c>
      <c r="G2427" t="s">
        <v>18359</v>
      </c>
    </row>
    <row r="2428" spans="1:7">
      <c r="A2428">
        <v>2427</v>
      </c>
      <c r="B2428" t="str">
        <f>"016565"</f>
        <v>0</v>
      </c>
      <c r="C2428" t="s">
        <v>632</v>
      </c>
      <c r="D2428" t="s">
        <v>21412</v>
      </c>
      <c r="E2428" t="str">
        <f>"3400800357648"</f>
        <v>0</v>
      </c>
      <c r="F2428" t="str">
        <f>"001870"</f>
        <v>0</v>
      </c>
      <c r="G2428" t="s">
        <v>18359</v>
      </c>
    </row>
    <row r="2429" spans="1:7">
      <c r="A2429">
        <v>2428</v>
      </c>
      <c r="B2429" t="str">
        <f>"017443"</f>
        <v>0</v>
      </c>
      <c r="C2429" t="s">
        <v>3534</v>
      </c>
      <c r="D2429" t="s">
        <v>21413</v>
      </c>
      <c r="E2429" t="str">
        <f>"3650600031437"</f>
        <v>0</v>
      </c>
      <c r="F2429" t="str">
        <f>"001870"</f>
        <v>0</v>
      </c>
      <c r="G2429" t="s">
        <v>18359</v>
      </c>
    </row>
    <row r="2430" spans="1:7">
      <c r="A2430">
        <v>2429</v>
      </c>
      <c r="B2430" t="str">
        <f>"017514"</f>
        <v>0</v>
      </c>
      <c r="C2430" t="s">
        <v>7140</v>
      </c>
      <c r="D2430" t="s">
        <v>21414</v>
      </c>
      <c r="E2430" t="str">
        <f>"3670101206070"</f>
        <v>0</v>
      </c>
      <c r="F2430" t="str">
        <f>"001870"</f>
        <v>0</v>
      </c>
      <c r="G2430" t="s">
        <v>18359</v>
      </c>
    </row>
    <row r="2431" spans="1:7">
      <c r="A2431">
        <v>2430</v>
      </c>
      <c r="B2431" t="str">
        <f>"017793"</f>
        <v>0</v>
      </c>
      <c r="C2431" t="s">
        <v>2262</v>
      </c>
      <c r="D2431" t="s">
        <v>21415</v>
      </c>
      <c r="E2431" t="str">
        <f>"3411200425457"</f>
        <v>0</v>
      </c>
      <c r="F2431" t="str">
        <f>"001870"</f>
        <v>0</v>
      </c>
      <c r="G2431" t="s">
        <v>18359</v>
      </c>
    </row>
    <row r="2432" spans="1:7">
      <c r="A2432">
        <v>2431</v>
      </c>
      <c r="B2432" t="str">
        <f>"018013"</f>
        <v>0</v>
      </c>
      <c r="C2432" t="s">
        <v>21416</v>
      </c>
      <c r="D2432" t="s">
        <v>21417</v>
      </c>
      <c r="E2432" t="str">
        <f>"3360200160852"</f>
        <v>0</v>
      </c>
      <c r="F2432" t="str">
        <f>"001870"</f>
        <v>0</v>
      </c>
      <c r="G2432" t="s">
        <v>18359</v>
      </c>
    </row>
    <row r="2433" spans="1:7">
      <c r="A2433">
        <v>2432</v>
      </c>
      <c r="B2433" t="str">
        <f>"020244"</f>
        <v>0</v>
      </c>
      <c r="C2433" t="s">
        <v>5549</v>
      </c>
      <c r="D2433" t="s">
        <v>21418</v>
      </c>
      <c r="E2433" t="str">
        <f>"3420900944162"</f>
        <v>0</v>
      </c>
      <c r="F2433" t="str">
        <f>"001870"</f>
        <v>0</v>
      </c>
      <c r="G2433" t="s">
        <v>18359</v>
      </c>
    </row>
    <row r="2434" spans="1:7">
      <c r="A2434">
        <v>2433</v>
      </c>
      <c r="B2434" t="str">
        <f>"020470"</f>
        <v>0</v>
      </c>
      <c r="C2434" t="s">
        <v>21419</v>
      </c>
      <c r="D2434" t="s">
        <v>21420</v>
      </c>
      <c r="E2434" t="str">
        <f>"3411600180605"</f>
        <v>0</v>
      </c>
      <c r="F2434" t="str">
        <f>"001870"</f>
        <v>0</v>
      </c>
      <c r="G2434" t="s">
        <v>18359</v>
      </c>
    </row>
    <row r="2435" spans="1:7">
      <c r="A2435">
        <v>2434</v>
      </c>
      <c r="B2435" t="str">
        <f>"020722"</f>
        <v>0</v>
      </c>
      <c r="C2435" t="s">
        <v>10461</v>
      </c>
      <c r="D2435" t="s">
        <v>21421</v>
      </c>
      <c r="E2435" t="str">
        <f>"3411600092102"</f>
        <v>0</v>
      </c>
      <c r="F2435" t="str">
        <f>"001870"</f>
        <v>0</v>
      </c>
      <c r="G2435" t="s">
        <v>18359</v>
      </c>
    </row>
    <row r="2436" spans="1:7">
      <c r="A2436">
        <v>2435</v>
      </c>
      <c r="B2436" t="str">
        <f>"021195"</f>
        <v>0</v>
      </c>
      <c r="C2436" t="s">
        <v>3225</v>
      </c>
      <c r="D2436" t="s">
        <v>21422</v>
      </c>
      <c r="E2436" t="str">
        <f>"3411400302596"</f>
        <v>0</v>
      </c>
      <c r="F2436" t="str">
        <f>"001870"</f>
        <v>0</v>
      </c>
      <c r="G2436" t="s">
        <v>18359</v>
      </c>
    </row>
    <row r="2437" spans="1:7">
      <c r="A2437">
        <v>2436</v>
      </c>
      <c r="B2437" t="str">
        <f>"025350"</f>
        <v>0</v>
      </c>
      <c r="C2437" t="s">
        <v>7453</v>
      </c>
      <c r="D2437" t="s">
        <v>21423</v>
      </c>
      <c r="E2437" t="str">
        <f>"1410300054747"</f>
        <v>0</v>
      </c>
      <c r="F2437" t="str">
        <f>"001870"</f>
        <v>0</v>
      </c>
      <c r="G2437" t="s">
        <v>18359</v>
      </c>
    </row>
    <row r="2438" spans="1:7">
      <c r="A2438">
        <v>2437</v>
      </c>
      <c r="B2438" t="str">
        <f>"016566"</f>
        <v>0</v>
      </c>
      <c r="C2438" t="s">
        <v>21424</v>
      </c>
      <c r="D2438" t="s">
        <v>21425</v>
      </c>
      <c r="E2438" t="str">
        <f>"3420901131009"</f>
        <v>0</v>
      </c>
      <c r="F2438" t="str">
        <f>"001870"</f>
        <v>0</v>
      </c>
      <c r="G2438" t="s">
        <v>18359</v>
      </c>
    </row>
    <row r="2439" spans="1:7">
      <c r="A2439">
        <v>2438</v>
      </c>
      <c r="B2439" t="str">
        <f>"027029"</f>
        <v>0</v>
      </c>
      <c r="C2439" t="s">
        <v>21426</v>
      </c>
      <c r="D2439" t="s">
        <v>21427</v>
      </c>
      <c r="E2439" t="str">
        <f>"1421000034237"</f>
        <v>0</v>
      </c>
      <c r="F2439" t="str">
        <f>"001870"</f>
        <v>0</v>
      </c>
      <c r="G2439" t="s">
        <v>18359</v>
      </c>
    </row>
    <row r="2440" spans="1:7">
      <c r="A2440">
        <v>2439</v>
      </c>
      <c r="B2440" t="str">
        <f>"007961"</f>
        <v>0</v>
      </c>
      <c r="C2440" t="s">
        <v>15966</v>
      </c>
      <c r="D2440" t="s">
        <v>21428</v>
      </c>
      <c r="E2440" t="str">
        <f>"3430500812404"</f>
        <v>0</v>
      </c>
      <c r="F2440" t="str">
        <f>"001880"</f>
        <v>0</v>
      </c>
      <c r="G2440" t="s">
        <v>18359</v>
      </c>
    </row>
    <row r="2441" spans="1:7">
      <c r="A2441">
        <v>2440</v>
      </c>
      <c r="B2441" t="str">
        <f>"007965"</f>
        <v>0</v>
      </c>
      <c r="C2441" t="s">
        <v>514</v>
      </c>
      <c r="D2441" t="s">
        <v>21429</v>
      </c>
      <c r="E2441" t="str">
        <f>"3400700045229"</f>
        <v>0</v>
      </c>
      <c r="F2441" t="str">
        <f>"001880"</f>
        <v>0</v>
      </c>
      <c r="G2441" t="s">
        <v>18359</v>
      </c>
    </row>
    <row r="2442" spans="1:7">
      <c r="A2442">
        <v>2441</v>
      </c>
      <c r="B2442" t="str">
        <f>"009244"</f>
        <v>0</v>
      </c>
      <c r="C2442" t="s">
        <v>3786</v>
      </c>
      <c r="D2442" t="s">
        <v>15979</v>
      </c>
      <c r="E2442" t="str">
        <f>"3411900585139"</f>
        <v>0</v>
      </c>
      <c r="F2442" t="str">
        <f>"001880"</f>
        <v>0</v>
      </c>
      <c r="G2442" t="s">
        <v>18359</v>
      </c>
    </row>
    <row r="2443" spans="1:7">
      <c r="A2443">
        <v>2442</v>
      </c>
      <c r="B2443" t="str">
        <f>"022965"</f>
        <v>0</v>
      </c>
      <c r="C2443" t="s">
        <v>21430</v>
      </c>
      <c r="D2443" t="s">
        <v>16055</v>
      </c>
      <c r="E2443" t="str">
        <f>"3411200058730"</f>
        <v>0</v>
      </c>
      <c r="F2443" t="str">
        <f>"001880"</f>
        <v>0</v>
      </c>
      <c r="G2443" t="s">
        <v>18359</v>
      </c>
    </row>
    <row r="2444" spans="1:7">
      <c r="A2444">
        <v>2443</v>
      </c>
      <c r="B2444" t="str">
        <f>"021450"</f>
        <v>0</v>
      </c>
      <c r="C2444" t="s">
        <v>21431</v>
      </c>
      <c r="D2444" t="s">
        <v>21432</v>
      </c>
      <c r="E2444" t="str">
        <f>"3430200417933"</f>
        <v>0</v>
      </c>
      <c r="F2444" t="str">
        <f>"001880"</f>
        <v>0</v>
      </c>
      <c r="G2444" t="s">
        <v>18359</v>
      </c>
    </row>
    <row r="2445" spans="1:7">
      <c r="A2445">
        <v>2444</v>
      </c>
      <c r="B2445" t="str">
        <f>"025351"</f>
        <v>0</v>
      </c>
      <c r="C2445" t="s">
        <v>21433</v>
      </c>
      <c r="D2445" t="s">
        <v>21434</v>
      </c>
      <c r="E2445" t="str">
        <f>"3430501431901"</f>
        <v>0</v>
      </c>
      <c r="F2445" t="str">
        <f>"001880"</f>
        <v>0</v>
      </c>
      <c r="G2445" t="s">
        <v>18359</v>
      </c>
    </row>
    <row r="2446" spans="1:7">
      <c r="A2446">
        <v>2445</v>
      </c>
      <c r="B2446" t="str">
        <f>"026255"</f>
        <v>0</v>
      </c>
      <c r="C2446" t="s">
        <v>6012</v>
      </c>
      <c r="D2446" t="s">
        <v>21435</v>
      </c>
      <c r="E2446" t="str">
        <f>"3430500253677"</f>
        <v>0</v>
      </c>
      <c r="F2446" t="str">
        <f>"001880"</f>
        <v>0</v>
      </c>
      <c r="G2446" t="s">
        <v>18359</v>
      </c>
    </row>
    <row r="2447" spans="1:7">
      <c r="A2447">
        <v>2446</v>
      </c>
      <c r="B2447" t="str">
        <f>"023776"</f>
        <v>0</v>
      </c>
      <c r="C2447" t="s">
        <v>21436</v>
      </c>
      <c r="D2447" t="s">
        <v>21437</v>
      </c>
      <c r="E2447" t="str">
        <f>"3451500001890"</f>
        <v>0</v>
      </c>
      <c r="F2447" t="str">
        <f>"001880"</f>
        <v>0</v>
      </c>
      <c r="G2447" t="s">
        <v>18359</v>
      </c>
    </row>
    <row r="2448" spans="1:7">
      <c r="A2448">
        <v>2447</v>
      </c>
      <c r="B2448" t="str">
        <f>"020388"</f>
        <v>0</v>
      </c>
      <c r="C2448" t="s">
        <v>11741</v>
      </c>
      <c r="D2448" t="s">
        <v>3806</v>
      </c>
      <c r="E2448" t="str">
        <f>"5150499010035"</f>
        <v>0</v>
      </c>
      <c r="F2448" t="str">
        <f>"001890"</f>
        <v>0</v>
      </c>
      <c r="G2448" t="s">
        <v>18359</v>
      </c>
    </row>
    <row r="2449" spans="1:7">
      <c r="A2449">
        <v>2448</v>
      </c>
      <c r="B2449" t="str">
        <f>"022260"</f>
        <v>0</v>
      </c>
      <c r="C2449" t="s">
        <v>11710</v>
      </c>
      <c r="D2449" t="s">
        <v>3390</v>
      </c>
      <c r="E2449" t="str">
        <f>"3141100103833"</f>
        <v>0</v>
      </c>
      <c r="F2449" t="str">
        <f>"001890"</f>
        <v>0</v>
      </c>
      <c r="G2449" t="s">
        <v>18359</v>
      </c>
    </row>
    <row r="2450" spans="1:7">
      <c r="A2450">
        <v>2449</v>
      </c>
      <c r="B2450" t="str">
        <f>"006441"</f>
        <v>0</v>
      </c>
      <c r="C2450" t="s">
        <v>21438</v>
      </c>
      <c r="D2450" t="s">
        <v>15228</v>
      </c>
      <c r="E2450" t="str">
        <f>"3650801026414"</f>
        <v>0</v>
      </c>
      <c r="F2450" t="str">
        <f>"001890"</f>
        <v>0</v>
      </c>
      <c r="G2450" t="s">
        <v>18359</v>
      </c>
    </row>
    <row r="2451" spans="1:7">
      <c r="A2451">
        <v>2450</v>
      </c>
      <c r="B2451" t="str">
        <f>"019899"</f>
        <v>0</v>
      </c>
      <c r="C2451" t="s">
        <v>21439</v>
      </c>
      <c r="D2451" t="s">
        <v>2736</v>
      </c>
      <c r="E2451" t="str">
        <f>"3649900064312"</f>
        <v>0</v>
      </c>
      <c r="F2451" t="str">
        <f>"001890"</f>
        <v>0</v>
      </c>
      <c r="G2451" t="s">
        <v>18359</v>
      </c>
    </row>
    <row r="2452" spans="1:7">
      <c r="A2452">
        <v>2451</v>
      </c>
      <c r="B2452" t="str">
        <f>"010686"</f>
        <v>0</v>
      </c>
      <c r="C2452" t="s">
        <v>4967</v>
      </c>
      <c r="D2452" t="s">
        <v>9980</v>
      </c>
      <c r="E2452" t="str">
        <f>"3669900047388"</f>
        <v>0</v>
      </c>
      <c r="F2452" t="str">
        <f>"001890"</f>
        <v>0</v>
      </c>
      <c r="G2452" t="s">
        <v>18359</v>
      </c>
    </row>
    <row r="2453" spans="1:7">
      <c r="A2453">
        <v>2452</v>
      </c>
      <c r="B2453" t="str">
        <f>"012285"</f>
        <v>0</v>
      </c>
      <c r="C2453" t="s">
        <v>2594</v>
      </c>
      <c r="D2453" t="s">
        <v>21440</v>
      </c>
      <c r="E2453" t="str">
        <f>"3170300196150"</f>
        <v>0</v>
      </c>
      <c r="F2453" t="str">
        <f>"001890"</f>
        <v>0</v>
      </c>
      <c r="G2453" t="s">
        <v>18359</v>
      </c>
    </row>
    <row r="2454" spans="1:7">
      <c r="A2454">
        <v>2453</v>
      </c>
      <c r="B2454" t="str">
        <f>"019723"</f>
        <v>0</v>
      </c>
      <c r="C2454" t="s">
        <v>411</v>
      </c>
      <c r="D2454" t="s">
        <v>1932</v>
      </c>
      <c r="E2454" t="str">
        <f>"3160100354762"</f>
        <v>0</v>
      </c>
      <c r="F2454" t="str">
        <f>"001890"</f>
        <v>0</v>
      </c>
      <c r="G2454" t="s">
        <v>18359</v>
      </c>
    </row>
    <row r="2455" spans="1:7">
      <c r="A2455">
        <v>2454</v>
      </c>
      <c r="B2455" t="str">
        <f>"020266"</f>
        <v>0</v>
      </c>
      <c r="C2455" t="s">
        <v>21441</v>
      </c>
      <c r="D2455" t="s">
        <v>21442</v>
      </c>
      <c r="E2455" t="str">
        <f>"3141300048003"</f>
        <v>0</v>
      </c>
      <c r="F2455" t="str">
        <f>"001890"</f>
        <v>0</v>
      </c>
      <c r="G2455" t="s">
        <v>18359</v>
      </c>
    </row>
    <row r="2456" spans="1:7">
      <c r="A2456">
        <v>2455</v>
      </c>
      <c r="B2456" t="str">
        <f>"020285"</f>
        <v>0</v>
      </c>
      <c r="C2456" t="s">
        <v>21443</v>
      </c>
      <c r="D2456" t="s">
        <v>21444</v>
      </c>
      <c r="E2456" t="str">
        <f>"3150100161867"</f>
        <v>0</v>
      </c>
      <c r="F2456" t="str">
        <f>"001890"</f>
        <v>0</v>
      </c>
      <c r="G2456" t="s">
        <v>18359</v>
      </c>
    </row>
    <row r="2457" spans="1:7">
      <c r="A2457">
        <v>2456</v>
      </c>
      <c r="B2457" t="str">
        <f>"020389"</f>
        <v>0</v>
      </c>
      <c r="C2457" t="s">
        <v>1204</v>
      </c>
      <c r="D2457" t="s">
        <v>21445</v>
      </c>
      <c r="E2457" t="str">
        <f>"3150600393180"</f>
        <v>0</v>
      </c>
      <c r="F2457" t="str">
        <f>"001890"</f>
        <v>0</v>
      </c>
      <c r="G2457" t="s">
        <v>18359</v>
      </c>
    </row>
    <row r="2458" spans="1:7">
      <c r="A2458">
        <v>2457</v>
      </c>
      <c r="B2458" t="str">
        <f>"020904"</f>
        <v>0</v>
      </c>
      <c r="C2458" t="s">
        <v>21446</v>
      </c>
      <c r="D2458" t="s">
        <v>21447</v>
      </c>
      <c r="E2458" t="str">
        <f>"3150400456676"</f>
        <v>0</v>
      </c>
      <c r="F2458" t="str">
        <f>"001890"</f>
        <v>0</v>
      </c>
      <c r="G2458" t="s">
        <v>18359</v>
      </c>
    </row>
    <row r="2459" spans="1:7">
      <c r="A2459">
        <v>2458</v>
      </c>
      <c r="B2459" t="str">
        <f>"021058"</f>
        <v>0</v>
      </c>
      <c r="C2459" t="s">
        <v>21448</v>
      </c>
      <c r="D2459" t="s">
        <v>21449</v>
      </c>
      <c r="E2459" t="str">
        <f>"3150200214792"</f>
        <v>0</v>
      </c>
      <c r="F2459" t="str">
        <f>"001890"</f>
        <v>0</v>
      </c>
      <c r="G2459" t="s">
        <v>18359</v>
      </c>
    </row>
    <row r="2460" spans="1:7">
      <c r="A2460">
        <v>2459</v>
      </c>
      <c r="B2460" t="str">
        <f>"021621"</f>
        <v>0</v>
      </c>
      <c r="C2460" t="s">
        <v>674</v>
      </c>
      <c r="D2460" t="s">
        <v>21450</v>
      </c>
      <c r="E2460" t="str">
        <f>"3150300087237"</f>
        <v>0</v>
      </c>
      <c r="F2460" t="str">
        <f>"001890"</f>
        <v>0</v>
      </c>
      <c r="G2460" t="s">
        <v>18359</v>
      </c>
    </row>
    <row r="2461" spans="1:7">
      <c r="A2461">
        <v>2460</v>
      </c>
      <c r="B2461" t="str">
        <f>"021893"</f>
        <v>0</v>
      </c>
      <c r="C2461" t="s">
        <v>6701</v>
      </c>
      <c r="D2461" t="s">
        <v>21451</v>
      </c>
      <c r="E2461" t="str">
        <f>"1179900082866"</f>
        <v>0</v>
      </c>
      <c r="F2461" t="str">
        <f>"001890"</f>
        <v>0</v>
      </c>
      <c r="G2461" t="s">
        <v>18359</v>
      </c>
    </row>
    <row r="2462" spans="1:7">
      <c r="A2462">
        <v>2461</v>
      </c>
      <c r="B2462" t="str">
        <f>"023946"</f>
        <v>0</v>
      </c>
      <c r="C2462" t="s">
        <v>19303</v>
      </c>
      <c r="D2462" t="s">
        <v>21452</v>
      </c>
      <c r="E2462" t="str">
        <f>"1500200112787"</f>
        <v>0</v>
      </c>
      <c r="F2462" t="str">
        <f>"001890"</f>
        <v>0</v>
      </c>
      <c r="G2462" t="s">
        <v>18359</v>
      </c>
    </row>
    <row r="2463" spans="1:7">
      <c r="A2463">
        <v>2462</v>
      </c>
      <c r="B2463" t="str">
        <f>"023973"</f>
        <v>0</v>
      </c>
      <c r="C2463" t="s">
        <v>21453</v>
      </c>
      <c r="D2463" t="s">
        <v>21454</v>
      </c>
      <c r="E2463" t="str">
        <f>"1150600011281"</f>
        <v>0</v>
      </c>
      <c r="F2463" t="str">
        <f>"001890"</f>
        <v>0</v>
      </c>
      <c r="G2463" t="s">
        <v>18359</v>
      </c>
    </row>
    <row r="2464" spans="1:7">
      <c r="A2464">
        <v>2463</v>
      </c>
      <c r="B2464" t="str">
        <f>"027423"</f>
        <v>0</v>
      </c>
      <c r="C2464" t="s">
        <v>3812</v>
      </c>
      <c r="D2464" t="s">
        <v>21455</v>
      </c>
      <c r="E2464" t="str">
        <f>"5330490003654"</f>
        <v>0</v>
      </c>
      <c r="F2464" t="str">
        <f>"001890"</f>
        <v>0</v>
      </c>
      <c r="G2464" t="s">
        <v>18359</v>
      </c>
    </row>
    <row r="2465" spans="1:7">
      <c r="A2465">
        <v>2464</v>
      </c>
      <c r="B2465" t="str">
        <f>"017645"</f>
        <v>0</v>
      </c>
      <c r="C2465" t="s">
        <v>4903</v>
      </c>
      <c r="D2465" t="s">
        <v>21456</v>
      </c>
      <c r="E2465" t="str">
        <f>"3170600218736"</f>
        <v>0</v>
      </c>
      <c r="F2465" t="str">
        <f>"001890"</f>
        <v>0</v>
      </c>
      <c r="G2465" t="s">
        <v>18359</v>
      </c>
    </row>
    <row r="2466" spans="1:7">
      <c r="A2466">
        <v>2465</v>
      </c>
      <c r="B2466" t="str">
        <f>"027424"</f>
        <v>0</v>
      </c>
      <c r="C2466" t="s">
        <v>21457</v>
      </c>
      <c r="D2466" t="s">
        <v>21458</v>
      </c>
      <c r="E2466" t="str">
        <f>"1170600063345"</f>
        <v>0</v>
      </c>
      <c r="F2466" t="str">
        <f>"001890"</f>
        <v>0</v>
      </c>
      <c r="G2466" t="s">
        <v>18359</v>
      </c>
    </row>
    <row r="2467" spans="1:7">
      <c r="A2467">
        <v>2466</v>
      </c>
      <c r="B2467" t="str">
        <f>"022658"</f>
        <v>0</v>
      </c>
      <c r="C2467" t="s">
        <v>21459</v>
      </c>
      <c r="D2467" t="s">
        <v>21460</v>
      </c>
      <c r="E2467" t="str">
        <f>"3141200029856"</f>
        <v>0</v>
      </c>
      <c r="F2467" t="str">
        <f>"001890"</f>
        <v>0</v>
      </c>
      <c r="G2467" t="s">
        <v>18359</v>
      </c>
    </row>
    <row r="2468" spans="1:7">
      <c r="A2468">
        <v>2467</v>
      </c>
      <c r="B2468" t="str">
        <f>"027010"</f>
        <v>0</v>
      </c>
      <c r="C2468" t="s">
        <v>12958</v>
      </c>
      <c r="D2468" t="s">
        <v>21461</v>
      </c>
      <c r="E2468" t="str">
        <f>"1521300003867"</f>
        <v>0</v>
      </c>
      <c r="F2468" t="str">
        <f>"001890"</f>
        <v>0</v>
      </c>
      <c r="G2468" t="s">
        <v>18359</v>
      </c>
    </row>
    <row r="2469" spans="1:7">
      <c r="A2469">
        <v>2468</v>
      </c>
      <c r="B2469" t="str">
        <f>"021295"</f>
        <v>0</v>
      </c>
      <c r="C2469" t="s">
        <v>21462</v>
      </c>
      <c r="D2469" t="s">
        <v>21463</v>
      </c>
      <c r="E2469" t="str">
        <f>"3600100525511"</f>
        <v>0</v>
      </c>
      <c r="F2469" t="str">
        <f>"001890"</f>
        <v>0</v>
      </c>
      <c r="G2469" t="s">
        <v>18359</v>
      </c>
    </row>
    <row r="2470" spans="1:7">
      <c r="A2470">
        <v>2469</v>
      </c>
      <c r="B2470" t="str">
        <f>"012732"</f>
        <v>0</v>
      </c>
      <c r="C2470" t="s">
        <v>1097</v>
      </c>
      <c r="D2470" t="s">
        <v>21464</v>
      </c>
      <c r="E2470" t="str">
        <f>"3180400366073"</f>
        <v>0</v>
      </c>
      <c r="F2470" t="str">
        <f>"001890"</f>
        <v>0</v>
      </c>
      <c r="G2470" t="s">
        <v>18359</v>
      </c>
    </row>
    <row r="2471" spans="1:7">
      <c r="A2471">
        <v>2470</v>
      </c>
      <c r="B2471" t="str">
        <f>"017510"</f>
        <v>0</v>
      </c>
      <c r="C2471" t="s">
        <v>21465</v>
      </c>
      <c r="D2471" t="s">
        <v>21466</v>
      </c>
      <c r="E2471" t="str">
        <f>"3610600336009"</f>
        <v>0</v>
      </c>
      <c r="F2471" t="str">
        <f>"001890"</f>
        <v>0</v>
      </c>
      <c r="G2471" t="s">
        <v>18359</v>
      </c>
    </row>
    <row r="2472" spans="1:7">
      <c r="A2472">
        <v>2471</v>
      </c>
      <c r="B2472" t="str">
        <f>"021624"</f>
        <v>0</v>
      </c>
      <c r="C2472" t="s">
        <v>21467</v>
      </c>
      <c r="D2472" t="s">
        <v>21468</v>
      </c>
      <c r="E2472" t="str">
        <f>"3709900051538"</f>
        <v>0</v>
      </c>
      <c r="F2472" t="str">
        <f>"001890"</f>
        <v>0</v>
      </c>
      <c r="G2472" t="s">
        <v>18359</v>
      </c>
    </row>
    <row r="2473" spans="1:7">
      <c r="A2473">
        <v>2472</v>
      </c>
      <c r="B2473" t="str">
        <f>"026257"</f>
        <v>0</v>
      </c>
      <c r="C2473" t="s">
        <v>21469</v>
      </c>
      <c r="D2473" t="s">
        <v>5478</v>
      </c>
      <c r="E2473" t="str">
        <f>"1720500074641"</f>
        <v>0</v>
      </c>
      <c r="F2473" t="str">
        <f>"001890"</f>
        <v>0</v>
      </c>
      <c r="G2473" t="s">
        <v>18359</v>
      </c>
    </row>
    <row r="2474" spans="1:7">
      <c r="A2474">
        <v>2473</v>
      </c>
      <c r="B2474" t="str">
        <f>"000411"</f>
        <v>0</v>
      </c>
      <c r="C2474" t="s">
        <v>197</v>
      </c>
      <c r="D2474" t="s">
        <v>17314</v>
      </c>
      <c r="E2474" t="str">
        <f>"3410300017694"</f>
        <v>0</v>
      </c>
      <c r="F2474" t="str">
        <f>"001900"</f>
        <v>0</v>
      </c>
      <c r="G2474" t="s">
        <v>18359</v>
      </c>
    </row>
    <row r="2475" spans="1:7">
      <c r="A2475">
        <v>2474</v>
      </c>
      <c r="B2475" t="str">
        <f>"000584"</f>
        <v>0</v>
      </c>
      <c r="C2475" t="s">
        <v>802</v>
      </c>
      <c r="D2475" t="s">
        <v>7926</v>
      </c>
      <c r="E2475" t="str">
        <f>"3411200197764"</f>
        <v>0</v>
      </c>
      <c r="F2475" t="str">
        <f>"001900"</f>
        <v>0</v>
      </c>
      <c r="G2475" t="s">
        <v>18359</v>
      </c>
    </row>
    <row r="2476" spans="1:7">
      <c r="A2476">
        <v>2475</v>
      </c>
      <c r="B2476" t="str">
        <f>"000841"</f>
        <v>0</v>
      </c>
      <c r="C2476" t="s">
        <v>4854</v>
      </c>
      <c r="D2476" t="s">
        <v>19529</v>
      </c>
      <c r="E2476" t="str">
        <f>"3361300053064"</f>
        <v>0</v>
      </c>
      <c r="F2476" t="str">
        <f>"001900"</f>
        <v>0</v>
      </c>
      <c r="G2476" t="s">
        <v>18359</v>
      </c>
    </row>
    <row r="2477" spans="1:7">
      <c r="A2477">
        <v>2476</v>
      </c>
      <c r="B2477" t="str">
        <f>"000869"</f>
        <v>0</v>
      </c>
      <c r="C2477" t="s">
        <v>2379</v>
      </c>
      <c r="D2477" t="s">
        <v>21470</v>
      </c>
      <c r="E2477" t="str">
        <f>"3411000048901"</f>
        <v>0</v>
      </c>
      <c r="F2477" t="str">
        <f>"001900"</f>
        <v>0</v>
      </c>
      <c r="G2477" t="s">
        <v>18359</v>
      </c>
    </row>
    <row r="2478" spans="1:7">
      <c r="A2478">
        <v>2477</v>
      </c>
      <c r="B2478" t="str">
        <f>"002618"</f>
        <v>0</v>
      </c>
      <c r="C2478" t="s">
        <v>2758</v>
      </c>
      <c r="D2478" t="s">
        <v>21471</v>
      </c>
      <c r="E2478" t="str">
        <f>"3410101902418"</f>
        <v>0</v>
      </c>
      <c r="F2478" t="str">
        <f>"001900"</f>
        <v>0</v>
      </c>
      <c r="G2478" t="s">
        <v>18359</v>
      </c>
    </row>
    <row r="2479" spans="1:7">
      <c r="A2479">
        <v>2478</v>
      </c>
      <c r="B2479" t="str">
        <f>"004955"</f>
        <v>0</v>
      </c>
      <c r="C2479" t="s">
        <v>2417</v>
      </c>
      <c r="D2479" t="s">
        <v>2304</v>
      </c>
      <c r="E2479" t="str">
        <f>"3410600349595"</f>
        <v>0</v>
      </c>
      <c r="F2479" t="str">
        <f>"001900"</f>
        <v>0</v>
      </c>
      <c r="G2479" t="s">
        <v>18359</v>
      </c>
    </row>
    <row r="2480" spans="1:7">
      <c r="A2480">
        <v>2479</v>
      </c>
      <c r="B2480" t="str">
        <f>"006516"</f>
        <v>0</v>
      </c>
      <c r="C2480" t="s">
        <v>10377</v>
      </c>
      <c r="D2480" t="s">
        <v>16228</v>
      </c>
      <c r="E2480" t="str">
        <f>"3411700182138"</f>
        <v>0</v>
      </c>
      <c r="F2480" t="str">
        <f>"001900"</f>
        <v>0</v>
      </c>
      <c r="G2480" t="s">
        <v>18359</v>
      </c>
    </row>
    <row r="2481" spans="1:7">
      <c r="A2481">
        <v>2480</v>
      </c>
      <c r="B2481" t="str">
        <f>"006526"</f>
        <v>0</v>
      </c>
      <c r="C2481" t="s">
        <v>1773</v>
      </c>
      <c r="D2481" t="s">
        <v>21472</v>
      </c>
      <c r="E2481" t="str">
        <f>"3410100115030"</f>
        <v>0</v>
      </c>
      <c r="F2481" t="str">
        <f>"001900"</f>
        <v>0</v>
      </c>
      <c r="G2481" t="s">
        <v>18359</v>
      </c>
    </row>
    <row r="2482" spans="1:7">
      <c r="A2482">
        <v>2481</v>
      </c>
      <c r="B2482" t="str">
        <f>"006894"</f>
        <v>0</v>
      </c>
      <c r="C2482" t="s">
        <v>21473</v>
      </c>
      <c r="D2482" t="s">
        <v>21474</v>
      </c>
      <c r="E2482" t="str">
        <f>"5410600075581"</f>
        <v>0</v>
      </c>
      <c r="F2482" t="str">
        <f>"001900"</f>
        <v>0</v>
      </c>
      <c r="G2482" t="s">
        <v>18359</v>
      </c>
    </row>
    <row r="2483" spans="1:7">
      <c r="A2483">
        <v>2482</v>
      </c>
      <c r="B2483" t="str">
        <f>"006898"</f>
        <v>0</v>
      </c>
      <c r="C2483" t="s">
        <v>7688</v>
      </c>
      <c r="D2483" t="s">
        <v>21475</v>
      </c>
      <c r="E2483" t="str">
        <f>"3410100019286"</f>
        <v>0</v>
      </c>
      <c r="F2483" t="str">
        <f>"001900"</f>
        <v>0</v>
      </c>
      <c r="G2483" t="s">
        <v>18359</v>
      </c>
    </row>
    <row r="2484" spans="1:7">
      <c r="A2484">
        <v>2483</v>
      </c>
      <c r="B2484" t="str">
        <f>"007156"</f>
        <v>0</v>
      </c>
      <c r="C2484" t="s">
        <v>701</v>
      </c>
      <c r="D2484" t="s">
        <v>21476</v>
      </c>
      <c r="E2484" t="str">
        <f>"3361000687831"</f>
        <v>0</v>
      </c>
      <c r="F2484" t="str">
        <f>"001900"</f>
        <v>0</v>
      </c>
      <c r="G2484" t="s">
        <v>18359</v>
      </c>
    </row>
    <row r="2485" spans="1:7">
      <c r="A2485">
        <v>2484</v>
      </c>
      <c r="B2485" t="str">
        <f>"007250"</f>
        <v>0</v>
      </c>
      <c r="C2485" t="s">
        <v>21477</v>
      </c>
      <c r="D2485" t="s">
        <v>16182</v>
      </c>
      <c r="E2485" t="str">
        <f>"3410400574030"</f>
        <v>0</v>
      </c>
      <c r="F2485" t="str">
        <f>"001900"</f>
        <v>0</v>
      </c>
      <c r="G2485" t="s">
        <v>18359</v>
      </c>
    </row>
    <row r="2486" spans="1:7">
      <c r="A2486">
        <v>2485</v>
      </c>
      <c r="B2486" t="str">
        <f>"007263"</f>
        <v>0</v>
      </c>
      <c r="C2486" t="s">
        <v>21478</v>
      </c>
      <c r="D2486" t="s">
        <v>21479</v>
      </c>
      <c r="E2486" t="str">
        <f>"3410102139238"</f>
        <v>0</v>
      </c>
      <c r="F2486" t="str">
        <f>"001900"</f>
        <v>0</v>
      </c>
      <c r="G2486" t="s">
        <v>18359</v>
      </c>
    </row>
    <row r="2487" spans="1:7">
      <c r="A2487">
        <v>2486</v>
      </c>
      <c r="B2487" t="str">
        <f>"007676"</f>
        <v>0</v>
      </c>
      <c r="C2487" t="s">
        <v>21480</v>
      </c>
      <c r="D2487" t="s">
        <v>21481</v>
      </c>
      <c r="E2487" t="str">
        <f>"5410100005729"</f>
        <v>0</v>
      </c>
      <c r="F2487" t="str">
        <f>"001900"</f>
        <v>0</v>
      </c>
      <c r="G2487" t="s">
        <v>18359</v>
      </c>
    </row>
    <row r="2488" spans="1:7">
      <c r="A2488">
        <v>2487</v>
      </c>
      <c r="B2488" t="str">
        <f>"007678"</f>
        <v>0</v>
      </c>
      <c r="C2488" t="s">
        <v>7658</v>
      </c>
      <c r="D2488" t="s">
        <v>21482</v>
      </c>
      <c r="E2488" t="str">
        <f>"3410400534062"</f>
        <v>0</v>
      </c>
      <c r="F2488" t="str">
        <f>"001900"</f>
        <v>0</v>
      </c>
      <c r="G2488" t="s">
        <v>18359</v>
      </c>
    </row>
    <row r="2489" spans="1:7">
      <c r="A2489">
        <v>2488</v>
      </c>
      <c r="B2489" t="str">
        <f>"007687"</f>
        <v>0</v>
      </c>
      <c r="C2489" t="s">
        <v>6106</v>
      </c>
      <c r="D2489" t="s">
        <v>2372</v>
      </c>
      <c r="E2489" t="str">
        <f>"3410101902345"</f>
        <v>0</v>
      </c>
      <c r="F2489" t="str">
        <f>"001900"</f>
        <v>0</v>
      </c>
      <c r="G2489" t="s">
        <v>18359</v>
      </c>
    </row>
    <row r="2490" spans="1:7">
      <c r="A2490">
        <v>2489</v>
      </c>
      <c r="B2490" t="str">
        <f>"008377"</f>
        <v>0</v>
      </c>
      <c r="C2490" t="s">
        <v>1792</v>
      </c>
      <c r="D2490" t="s">
        <v>21483</v>
      </c>
      <c r="E2490" t="str">
        <f>"3411100125427"</f>
        <v>0</v>
      </c>
      <c r="F2490" t="str">
        <f>"001900"</f>
        <v>0</v>
      </c>
      <c r="G2490" t="s">
        <v>18359</v>
      </c>
    </row>
    <row r="2491" spans="1:7">
      <c r="A2491">
        <v>2490</v>
      </c>
      <c r="B2491" t="str">
        <f>"009243"</f>
        <v>0</v>
      </c>
      <c r="C2491" t="s">
        <v>442</v>
      </c>
      <c r="D2491" t="s">
        <v>21484</v>
      </c>
      <c r="E2491" t="str">
        <f>"3410400534046"</f>
        <v>0</v>
      </c>
      <c r="F2491" t="str">
        <f>"001900"</f>
        <v>0</v>
      </c>
      <c r="G2491" t="s">
        <v>18359</v>
      </c>
    </row>
    <row r="2492" spans="1:7">
      <c r="A2492">
        <v>2491</v>
      </c>
      <c r="B2492" t="str">
        <f>"009922"</f>
        <v>0</v>
      </c>
      <c r="C2492" t="s">
        <v>21485</v>
      </c>
      <c r="D2492" t="s">
        <v>21486</v>
      </c>
      <c r="E2492" t="str">
        <f>"3411900010870"</f>
        <v>0</v>
      </c>
      <c r="F2492" t="str">
        <f>"001900"</f>
        <v>0</v>
      </c>
      <c r="G2492" t="s">
        <v>18359</v>
      </c>
    </row>
    <row r="2493" spans="1:7">
      <c r="A2493">
        <v>2492</v>
      </c>
      <c r="B2493" t="str">
        <f>"011295"</f>
        <v>0</v>
      </c>
      <c r="C2493" t="s">
        <v>1093</v>
      </c>
      <c r="D2493" t="s">
        <v>21487</v>
      </c>
      <c r="E2493" t="str">
        <f>"3400700618598"</f>
        <v>0</v>
      </c>
      <c r="F2493" t="str">
        <f>"001900"</f>
        <v>0</v>
      </c>
      <c r="G2493" t="s">
        <v>18359</v>
      </c>
    </row>
    <row r="2494" spans="1:7">
      <c r="A2494">
        <v>2493</v>
      </c>
      <c r="B2494" t="str">
        <f>"012100"</f>
        <v>0</v>
      </c>
      <c r="C2494" t="s">
        <v>21488</v>
      </c>
      <c r="D2494" t="s">
        <v>21489</v>
      </c>
      <c r="E2494" t="str">
        <f>"3301500097553"</f>
        <v>0</v>
      </c>
      <c r="F2494" t="str">
        <f>"001900"</f>
        <v>0</v>
      </c>
      <c r="G2494" t="s">
        <v>18359</v>
      </c>
    </row>
    <row r="2495" spans="1:7">
      <c r="A2495">
        <v>2494</v>
      </c>
      <c r="B2495" t="str">
        <f>"012549"</f>
        <v>0</v>
      </c>
      <c r="C2495" t="s">
        <v>21490</v>
      </c>
      <c r="D2495" t="s">
        <v>5767</v>
      </c>
      <c r="E2495" t="str">
        <f>"3220500267262"</f>
        <v>0</v>
      </c>
      <c r="F2495" t="str">
        <f>"001900"</f>
        <v>0</v>
      </c>
      <c r="G2495" t="s">
        <v>18359</v>
      </c>
    </row>
    <row r="2496" spans="1:7">
      <c r="A2496">
        <v>2495</v>
      </c>
      <c r="B2496" t="str">
        <f>"008655"</f>
        <v>0</v>
      </c>
      <c r="C2496" t="s">
        <v>21491</v>
      </c>
      <c r="D2496" t="s">
        <v>21492</v>
      </c>
      <c r="E2496" t="str">
        <f>"3419900397551"</f>
        <v>0</v>
      </c>
      <c r="F2496" t="str">
        <f>"001900"</f>
        <v>0</v>
      </c>
      <c r="G2496" t="s">
        <v>18359</v>
      </c>
    </row>
    <row r="2497" spans="1:7">
      <c r="A2497">
        <v>2496</v>
      </c>
      <c r="B2497" t="str">
        <f>"026449"</f>
        <v>0</v>
      </c>
      <c r="C2497" t="s">
        <v>1506</v>
      </c>
      <c r="D2497" t="s">
        <v>21493</v>
      </c>
      <c r="E2497" t="str">
        <f>"1740300059495"</f>
        <v>0</v>
      </c>
      <c r="F2497" t="str">
        <f>"001900"</f>
        <v>0</v>
      </c>
      <c r="G2497" t="s">
        <v>18359</v>
      </c>
    </row>
    <row r="2498" spans="1:7">
      <c r="A2498">
        <v>2497</v>
      </c>
      <c r="B2498" t="str">
        <f>"025357"</f>
        <v>0</v>
      </c>
      <c r="C2498" t="s">
        <v>21494</v>
      </c>
      <c r="D2498" t="s">
        <v>21495</v>
      </c>
      <c r="E2498" t="str">
        <f>"3400500118168"</f>
        <v>0</v>
      </c>
      <c r="F2498" t="str">
        <f>"001900"</f>
        <v>0</v>
      </c>
      <c r="G2498" t="s">
        <v>18359</v>
      </c>
    </row>
    <row r="2499" spans="1:7">
      <c r="A2499">
        <v>2498</v>
      </c>
      <c r="B2499" t="str">
        <f>"026546"</f>
        <v>0</v>
      </c>
      <c r="C2499" t="s">
        <v>21496</v>
      </c>
      <c r="D2499" t="s">
        <v>21497</v>
      </c>
      <c r="E2499" t="str">
        <f>"3400400712599"</f>
        <v>0</v>
      </c>
      <c r="F2499" t="str">
        <f>"001900"</f>
        <v>0</v>
      </c>
      <c r="G2499" t="s">
        <v>18359</v>
      </c>
    </row>
    <row r="2500" spans="1:7">
      <c r="A2500">
        <v>2499</v>
      </c>
      <c r="B2500" t="str">
        <f>"027256"</f>
        <v>0</v>
      </c>
      <c r="C2500" t="s">
        <v>21498</v>
      </c>
      <c r="D2500" t="s">
        <v>21499</v>
      </c>
      <c r="E2500" t="str">
        <f>"1302000123142"</f>
        <v>0</v>
      </c>
      <c r="F2500" t="str">
        <f>"001900"</f>
        <v>0</v>
      </c>
      <c r="G2500" t="s">
        <v>18359</v>
      </c>
    </row>
    <row r="2501" spans="1:7">
      <c r="A2501">
        <v>2500</v>
      </c>
      <c r="B2501" t="str">
        <f>"011507"</f>
        <v>0</v>
      </c>
      <c r="C2501" t="s">
        <v>21500</v>
      </c>
      <c r="D2501" t="s">
        <v>21501</v>
      </c>
      <c r="E2501" t="str">
        <f>"3469900213344"</f>
        <v>0</v>
      </c>
      <c r="F2501" t="str">
        <f>"001900"</f>
        <v>0</v>
      </c>
      <c r="G2501" t="s">
        <v>18359</v>
      </c>
    </row>
    <row r="2502" spans="1:7">
      <c r="A2502">
        <v>2501</v>
      </c>
      <c r="B2502" t="str">
        <f>"016617"</f>
        <v>0</v>
      </c>
      <c r="C2502" t="s">
        <v>4609</v>
      </c>
      <c r="D2502" t="s">
        <v>21502</v>
      </c>
      <c r="E2502" t="str">
        <f>"3410100128344"</f>
        <v>0</v>
      </c>
      <c r="F2502" t="str">
        <f>"001900"</f>
        <v>0</v>
      </c>
      <c r="G2502" t="s">
        <v>18359</v>
      </c>
    </row>
    <row r="2503" spans="1:7">
      <c r="A2503">
        <v>2502</v>
      </c>
      <c r="B2503" t="str">
        <f>"017097"</f>
        <v>0</v>
      </c>
      <c r="C2503" t="s">
        <v>21503</v>
      </c>
      <c r="D2503" t="s">
        <v>21504</v>
      </c>
      <c r="E2503" t="str">
        <f>"3410600239391"</f>
        <v>0</v>
      </c>
      <c r="F2503" t="str">
        <f>"001900"</f>
        <v>0</v>
      </c>
      <c r="G2503" t="s">
        <v>18359</v>
      </c>
    </row>
    <row r="2504" spans="1:7">
      <c r="A2504">
        <v>2503</v>
      </c>
      <c r="B2504" t="str">
        <f>"020646"</f>
        <v>0</v>
      </c>
      <c r="C2504" t="s">
        <v>4967</v>
      </c>
      <c r="D2504" t="s">
        <v>21505</v>
      </c>
      <c r="E2504" t="str">
        <f>"3410900182793"</f>
        <v>0</v>
      </c>
      <c r="F2504" t="str">
        <f>"001900"</f>
        <v>0</v>
      </c>
      <c r="G2504" t="s">
        <v>18359</v>
      </c>
    </row>
    <row r="2505" spans="1:7">
      <c r="A2505">
        <v>2504</v>
      </c>
      <c r="B2505" t="str">
        <f>"022770"</f>
        <v>0</v>
      </c>
      <c r="C2505" t="s">
        <v>21506</v>
      </c>
      <c r="D2505" t="s">
        <v>21507</v>
      </c>
      <c r="E2505" t="str">
        <f>"3411000134459"</f>
        <v>0</v>
      </c>
      <c r="F2505" t="str">
        <f>"001900"</f>
        <v>0</v>
      </c>
      <c r="G2505" t="s">
        <v>18359</v>
      </c>
    </row>
    <row r="2506" spans="1:7">
      <c r="A2506">
        <v>2505</v>
      </c>
      <c r="B2506" t="str">
        <f>"024171"</f>
        <v>0</v>
      </c>
      <c r="C2506" t="s">
        <v>9780</v>
      </c>
      <c r="D2506" t="s">
        <v>2790</v>
      </c>
      <c r="E2506" t="str">
        <f>"2410600021788"</f>
        <v>0</v>
      </c>
      <c r="F2506" t="str">
        <f>"001900"</f>
        <v>0</v>
      </c>
      <c r="G2506" t="s">
        <v>18359</v>
      </c>
    </row>
    <row r="2507" spans="1:7">
      <c r="A2507">
        <v>2506</v>
      </c>
      <c r="B2507" t="str">
        <f>"025009"</f>
        <v>0</v>
      </c>
      <c r="C2507" t="s">
        <v>6561</v>
      </c>
      <c r="D2507" t="s">
        <v>21508</v>
      </c>
      <c r="E2507" t="str">
        <f>"1410500014919"</f>
        <v>0</v>
      </c>
      <c r="F2507" t="str">
        <f>"001900"</f>
        <v>0</v>
      </c>
      <c r="G2507" t="s">
        <v>18359</v>
      </c>
    </row>
    <row r="2508" spans="1:7">
      <c r="A2508">
        <v>2507</v>
      </c>
      <c r="B2508" t="str">
        <f>"025687"</f>
        <v>0</v>
      </c>
      <c r="C2508" t="s">
        <v>21509</v>
      </c>
      <c r="D2508" t="s">
        <v>21510</v>
      </c>
      <c r="E2508" t="str">
        <f>"3410101900482"</f>
        <v>0</v>
      </c>
      <c r="F2508" t="str">
        <f>"001900"</f>
        <v>0</v>
      </c>
      <c r="G2508" t="s">
        <v>18359</v>
      </c>
    </row>
    <row r="2509" spans="1:7">
      <c r="A2509">
        <v>2508</v>
      </c>
      <c r="B2509" t="str">
        <f>"027459"</f>
        <v>0</v>
      </c>
      <c r="C2509" t="s">
        <v>21511</v>
      </c>
      <c r="D2509" t="s">
        <v>21512</v>
      </c>
      <c r="E2509" t="str">
        <f>"4411000003000"</f>
        <v>0</v>
      </c>
      <c r="F2509" t="str">
        <f>"001900"</f>
        <v>0</v>
      </c>
      <c r="G2509" t="s">
        <v>18359</v>
      </c>
    </row>
    <row r="2510" spans="1:7">
      <c r="A2510">
        <v>2509</v>
      </c>
      <c r="B2510" t="str">
        <f>"020597"</f>
        <v>0</v>
      </c>
      <c r="C2510" t="s">
        <v>2060</v>
      </c>
      <c r="D2510" t="s">
        <v>21513</v>
      </c>
      <c r="E2510" t="str">
        <f>"3430101086840"</f>
        <v>0</v>
      </c>
      <c r="F2510" t="str">
        <f>"001900"</f>
        <v>0</v>
      </c>
      <c r="G2510" t="s">
        <v>18359</v>
      </c>
    </row>
    <row r="2511" spans="1:7">
      <c r="A2511">
        <v>2510</v>
      </c>
      <c r="B2511" t="str">
        <f>"026545"</f>
        <v>0</v>
      </c>
      <c r="C2511" t="s">
        <v>21514</v>
      </c>
      <c r="D2511" t="s">
        <v>21515</v>
      </c>
      <c r="E2511" t="str">
        <f>"1560300095060"</f>
        <v>0</v>
      </c>
      <c r="F2511" t="str">
        <f>"001900"</f>
        <v>0</v>
      </c>
      <c r="G2511" t="s">
        <v>18359</v>
      </c>
    </row>
    <row r="2512" spans="1:7">
      <c r="A2512">
        <v>2511</v>
      </c>
      <c r="B2512" t="str">
        <f>"027255"</f>
        <v>0</v>
      </c>
      <c r="C2512" t="s">
        <v>14951</v>
      </c>
      <c r="D2512" t="s">
        <v>21516</v>
      </c>
      <c r="E2512" t="str">
        <f>"1840700053698"</f>
        <v>0</v>
      </c>
      <c r="F2512" t="str">
        <f>"001900"</f>
        <v>0</v>
      </c>
      <c r="G2512" t="s">
        <v>18359</v>
      </c>
    </row>
    <row r="2513" spans="1:7">
      <c r="A2513">
        <v>2512</v>
      </c>
      <c r="B2513" t="str">
        <f>"027265"</f>
        <v>0</v>
      </c>
      <c r="C2513" t="s">
        <v>21517</v>
      </c>
      <c r="D2513" t="s">
        <v>21518</v>
      </c>
      <c r="E2513" t="str">
        <f>"1839900025611"</f>
        <v>0</v>
      </c>
      <c r="F2513" t="str">
        <f>"001900"</f>
        <v>0</v>
      </c>
      <c r="G2513" t="s">
        <v>18359</v>
      </c>
    </row>
    <row r="2514" spans="1:7">
      <c r="A2514">
        <v>2513</v>
      </c>
      <c r="B2514" t="str">
        <f>"015858"</f>
        <v>0</v>
      </c>
      <c r="C2514" t="s">
        <v>21519</v>
      </c>
      <c r="D2514" t="s">
        <v>21520</v>
      </c>
      <c r="E2514" t="str">
        <f>"3410600760759"</f>
        <v>0</v>
      </c>
      <c r="F2514" t="str">
        <f>"001900"</f>
        <v>0</v>
      </c>
      <c r="G2514" t="s">
        <v>18359</v>
      </c>
    </row>
    <row r="2515" spans="1:7">
      <c r="A2515">
        <v>2514</v>
      </c>
      <c r="B2515" t="str">
        <f>"006899"</f>
        <v>0</v>
      </c>
      <c r="C2515" t="s">
        <v>21521</v>
      </c>
      <c r="D2515" t="s">
        <v>21522</v>
      </c>
      <c r="E2515" t="str">
        <f>"3619900091417"</f>
        <v>0</v>
      </c>
      <c r="F2515" t="str">
        <f>"001950"</f>
        <v>0</v>
      </c>
      <c r="G2515" t="s">
        <v>18359</v>
      </c>
    </row>
    <row r="2516" spans="1:7">
      <c r="A2516">
        <v>2515</v>
      </c>
      <c r="B2516" t="str">
        <f>"019638"</f>
        <v>0</v>
      </c>
      <c r="C2516" t="s">
        <v>2303</v>
      </c>
      <c r="D2516" t="s">
        <v>21523</v>
      </c>
      <c r="E2516" t="str">
        <f>"3670700195733"</f>
        <v>0</v>
      </c>
      <c r="F2516" t="str">
        <f>"001950"</f>
        <v>0</v>
      </c>
      <c r="G2516" t="s">
        <v>18359</v>
      </c>
    </row>
    <row r="2517" spans="1:7">
      <c r="A2517">
        <v>2516</v>
      </c>
      <c r="B2517" t="str">
        <f>"020130"</f>
        <v>0</v>
      </c>
      <c r="C2517" t="s">
        <v>2579</v>
      </c>
      <c r="D2517" t="s">
        <v>12888</v>
      </c>
      <c r="E2517" t="str">
        <f>"3189900056608"</f>
        <v>0</v>
      </c>
      <c r="F2517" t="str">
        <f>"001950"</f>
        <v>0</v>
      </c>
      <c r="G2517" t="s">
        <v>18359</v>
      </c>
    </row>
    <row r="2518" spans="1:7">
      <c r="A2518">
        <v>2517</v>
      </c>
      <c r="B2518" t="str">
        <f>"024436"</f>
        <v>0</v>
      </c>
      <c r="C2518" t="s">
        <v>5044</v>
      </c>
      <c r="D2518" t="s">
        <v>21524</v>
      </c>
      <c r="E2518" t="str">
        <f>"3619900089366"</f>
        <v>0</v>
      </c>
      <c r="F2518" t="str">
        <f>"001950"</f>
        <v>0</v>
      </c>
      <c r="G2518" t="s">
        <v>18359</v>
      </c>
    </row>
    <row r="2519" spans="1:7">
      <c r="A2519">
        <v>2518</v>
      </c>
      <c r="B2519" t="str">
        <f>"025382"</f>
        <v>0</v>
      </c>
      <c r="C2519" t="s">
        <v>21525</v>
      </c>
      <c r="D2519" t="s">
        <v>21526</v>
      </c>
      <c r="E2519" t="str">
        <f>"3610500100488"</f>
        <v>0</v>
      </c>
      <c r="F2519" t="str">
        <f>"001950"</f>
        <v>0</v>
      </c>
      <c r="G2519" t="s">
        <v>18359</v>
      </c>
    </row>
    <row r="2520" spans="1:7">
      <c r="A2520">
        <v>2519</v>
      </c>
      <c r="B2520" t="str">
        <f>"024884"</f>
        <v>0</v>
      </c>
      <c r="C2520" t="s">
        <v>21527</v>
      </c>
      <c r="D2520" t="s">
        <v>21528</v>
      </c>
      <c r="E2520" t="str">
        <f>"1601200015838"</f>
        <v>0</v>
      </c>
      <c r="F2520" t="str">
        <f>"001950"</f>
        <v>0</v>
      </c>
      <c r="G2520" t="s">
        <v>18359</v>
      </c>
    </row>
    <row r="2521" spans="1:7">
      <c r="A2521">
        <v>2520</v>
      </c>
      <c r="B2521" t="str">
        <f>"025380"</f>
        <v>0</v>
      </c>
      <c r="C2521" t="s">
        <v>21529</v>
      </c>
      <c r="D2521" t="s">
        <v>21530</v>
      </c>
      <c r="E2521" t="str">
        <f>"1160200012344"</f>
        <v>0</v>
      </c>
      <c r="F2521" t="str">
        <f>"001950"</f>
        <v>0</v>
      </c>
      <c r="G2521" t="s">
        <v>18359</v>
      </c>
    </row>
    <row r="2522" spans="1:7">
      <c r="A2522">
        <v>2521</v>
      </c>
      <c r="B2522" t="str">
        <f>"025014"</f>
        <v>0</v>
      </c>
      <c r="C2522" t="s">
        <v>21531</v>
      </c>
      <c r="D2522" t="s">
        <v>21532</v>
      </c>
      <c r="E2522" t="str">
        <f>"1219800004251"</f>
        <v>0</v>
      </c>
      <c r="F2522" t="str">
        <f>"001950"</f>
        <v>0</v>
      </c>
      <c r="G2522" t="s">
        <v>18359</v>
      </c>
    </row>
    <row r="2523" spans="1:7">
      <c r="A2523">
        <v>2522</v>
      </c>
      <c r="B2523" t="str">
        <f>"027308"</f>
        <v>0</v>
      </c>
      <c r="C2523" t="s">
        <v>11106</v>
      </c>
      <c r="D2523" t="s">
        <v>21533</v>
      </c>
      <c r="E2523" t="str">
        <f>"1520800084733"</f>
        <v>0</v>
      </c>
      <c r="F2523" t="str">
        <f>"001950"</f>
        <v>0</v>
      </c>
      <c r="G2523" t="s">
        <v>18359</v>
      </c>
    </row>
    <row r="2524" spans="1:7">
      <c r="A2524">
        <v>2523</v>
      </c>
      <c r="B2524" t="str">
        <f>"016915"</f>
        <v>0</v>
      </c>
      <c r="C2524" t="s">
        <v>21534</v>
      </c>
      <c r="D2524" t="s">
        <v>21535</v>
      </c>
      <c r="E2524" t="str">
        <f>"3360100144979"</f>
        <v>0</v>
      </c>
      <c r="F2524" t="str">
        <f>"001950"</f>
        <v>0</v>
      </c>
      <c r="G2524" t="s">
        <v>18359</v>
      </c>
    </row>
    <row r="2525" spans="1:7">
      <c r="A2525">
        <v>2524</v>
      </c>
      <c r="B2525" t="str">
        <f>"019474"</f>
        <v>0</v>
      </c>
      <c r="C2525" t="s">
        <v>21536</v>
      </c>
      <c r="D2525" t="s">
        <v>10760</v>
      </c>
      <c r="E2525" t="str">
        <f>"5600800007234"</f>
        <v>0</v>
      </c>
      <c r="F2525" t="str">
        <f>"001950"</f>
        <v>0</v>
      </c>
      <c r="G2525" t="s">
        <v>18359</v>
      </c>
    </row>
    <row r="2526" spans="1:7">
      <c r="A2526">
        <v>2525</v>
      </c>
      <c r="B2526" t="str">
        <f>"024560"</f>
        <v>0</v>
      </c>
      <c r="C2526" t="s">
        <v>21531</v>
      </c>
      <c r="D2526" t="s">
        <v>21537</v>
      </c>
      <c r="E2526" t="str">
        <f>"1600900007870"</f>
        <v>0</v>
      </c>
      <c r="F2526" t="str">
        <f>"001950"</f>
        <v>0</v>
      </c>
      <c r="G2526" t="s">
        <v>18359</v>
      </c>
    </row>
    <row r="2527" spans="1:7">
      <c r="A2527">
        <v>2526</v>
      </c>
      <c r="B2527" t="str">
        <f>"010939"</f>
        <v>0</v>
      </c>
      <c r="C2527" t="s">
        <v>4607</v>
      </c>
      <c r="D2527" t="s">
        <v>9935</v>
      </c>
      <c r="E2527" t="str">
        <f>"3610500079039"</f>
        <v>0</v>
      </c>
      <c r="F2527" t="str">
        <f>"001950"</f>
        <v>0</v>
      </c>
      <c r="G2527" t="s">
        <v>18359</v>
      </c>
    </row>
    <row r="2528" spans="1:7">
      <c r="A2528">
        <v>2527</v>
      </c>
      <c r="B2528" t="str">
        <f>"012806"</f>
        <v>0</v>
      </c>
      <c r="C2528" t="s">
        <v>1988</v>
      </c>
      <c r="D2528" t="s">
        <v>21538</v>
      </c>
      <c r="E2528" t="str">
        <f>"5360100002895"</f>
        <v>0</v>
      </c>
      <c r="F2528" t="str">
        <f>"001950"</f>
        <v>0</v>
      </c>
      <c r="G2528" t="s">
        <v>18359</v>
      </c>
    </row>
    <row r="2529" spans="1:7">
      <c r="A2529">
        <v>2528</v>
      </c>
      <c r="B2529" t="str">
        <f>"014224"</f>
        <v>0</v>
      </c>
      <c r="C2529" t="s">
        <v>44</v>
      </c>
      <c r="D2529" t="s">
        <v>21539</v>
      </c>
      <c r="E2529" t="str">
        <f>"3180200125561"</f>
        <v>0</v>
      </c>
      <c r="F2529" t="str">
        <f>"001950"</f>
        <v>0</v>
      </c>
      <c r="G2529" t="s">
        <v>18359</v>
      </c>
    </row>
    <row r="2530" spans="1:7">
      <c r="A2530">
        <v>2529</v>
      </c>
      <c r="B2530" t="str">
        <f>"021296"</f>
        <v>0</v>
      </c>
      <c r="C2530" t="s">
        <v>90</v>
      </c>
      <c r="D2530" t="s">
        <v>21540</v>
      </c>
      <c r="E2530" t="str">
        <f>"3610400369922"</f>
        <v>0</v>
      </c>
      <c r="F2530" t="str">
        <f>"001950"</f>
        <v>0</v>
      </c>
      <c r="G2530" t="s">
        <v>18359</v>
      </c>
    </row>
    <row r="2531" spans="1:7">
      <c r="A2531">
        <v>2530</v>
      </c>
      <c r="B2531" t="str">
        <f>"021630"</f>
        <v>0</v>
      </c>
      <c r="C2531" t="s">
        <v>21541</v>
      </c>
      <c r="D2531" t="s">
        <v>21542</v>
      </c>
      <c r="E2531" t="str">
        <f>"3610700299784"</f>
        <v>0</v>
      </c>
      <c r="F2531" t="str">
        <f>"001950"</f>
        <v>0</v>
      </c>
      <c r="G2531" t="s">
        <v>18359</v>
      </c>
    </row>
    <row r="2532" spans="1:7">
      <c r="A2532">
        <v>2531</v>
      </c>
      <c r="B2532" t="str">
        <f>"022135"</f>
        <v>0</v>
      </c>
      <c r="C2532" t="s">
        <v>21543</v>
      </c>
      <c r="D2532" t="s">
        <v>21544</v>
      </c>
      <c r="E2532" t="str">
        <f>"3601000304611"</f>
        <v>0</v>
      </c>
      <c r="F2532" t="str">
        <f>"001950"</f>
        <v>0</v>
      </c>
      <c r="G2532" t="s">
        <v>18359</v>
      </c>
    </row>
    <row r="2533" spans="1:7">
      <c r="A2533">
        <v>2532</v>
      </c>
      <c r="B2533" t="str">
        <f>"024176"</f>
        <v>0</v>
      </c>
      <c r="C2533" t="s">
        <v>21545</v>
      </c>
      <c r="D2533" t="s">
        <v>16477</v>
      </c>
      <c r="E2533" t="str">
        <f>"1600100056205"</f>
        <v>0</v>
      </c>
      <c r="F2533" t="str">
        <f>"001950"</f>
        <v>0</v>
      </c>
      <c r="G2533" t="s">
        <v>18359</v>
      </c>
    </row>
    <row r="2534" spans="1:7">
      <c r="A2534">
        <v>2533</v>
      </c>
      <c r="B2534" t="str">
        <f>"024473"</f>
        <v>0</v>
      </c>
      <c r="C2534" t="s">
        <v>21546</v>
      </c>
      <c r="D2534" t="s">
        <v>21547</v>
      </c>
      <c r="E2534" t="str">
        <f>"1619900155150"</f>
        <v>0</v>
      </c>
      <c r="F2534" t="str">
        <f>"001950"</f>
        <v>0</v>
      </c>
      <c r="G2534" t="s">
        <v>18359</v>
      </c>
    </row>
    <row r="2535" spans="1:7">
      <c r="A2535">
        <v>2534</v>
      </c>
      <c r="B2535" t="str">
        <f>"024711"</f>
        <v>0</v>
      </c>
      <c r="C2535" t="s">
        <v>21548</v>
      </c>
      <c r="D2535" t="s">
        <v>21549</v>
      </c>
      <c r="E2535" t="str">
        <f>"1619900023806"</f>
        <v>0</v>
      </c>
      <c r="F2535" t="str">
        <f>"001950"</f>
        <v>0</v>
      </c>
      <c r="G2535" t="s">
        <v>18359</v>
      </c>
    </row>
    <row r="2536" spans="1:7">
      <c r="A2536">
        <v>2535</v>
      </c>
      <c r="B2536" t="str">
        <f>"026599"</f>
        <v>0</v>
      </c>
      <c r="C2536" t="s">
        <v>21550</v>
      </c>
      <c r="D2536" t="s">
        <v>21551</v>
      </c>
      <c r="E2536" t="str">
        <f>"1560600046846"</f>
        <v>0</v>
      </c>
      <c r="F2536" t="str">
        <f>"001950"</f>
        <v>0</v>
      </c>
      <c r="G2536" t="s">
        <v>18359</v>
      </c>
    </row>
    <row r="2537" spans="1:7">
      <c r="A2537">
        <v>2536</v>
      </c>
      <c r="B2537" t="str">
        <f>"026813"</f>
        <v>0</v>
      </c>
      <c r="C2537" t="s">
        <v>21552</v>
      </c>
      <c r="D2537" t="s">
        <v>8022</v>
      </c>
      <c r="E2537" t="str">
        <f>"3670300612566"</f>
        <v>0</v>
      </c>
      <c r="F2537" t="str">
        <f>"001950"</f>
        <v>0</v>
      </c>
      <c r="G2537" t="s">
        <v>18359</v>
      </c>
    </row>
    <row r="2538" spans="1:7">
      <c r="A2538">
        <v>2537</v>
      </c>
      <c r="B2538" t="str">
        <f>"026837"</f>
        <v>0</v>
      </c>
      <c r="C2538" t="s">
        <v>21553</v>
      </c>
      <c r="D2538" t="s">
        <v>21554</v>
      </c>
      <c r="E2538" t="str">
        <f>"1180300005251"</f>
        <v>0</v>
      </c>
      <c r="F2538" t="str">
        <f>"001950"</f>
        <v>0</v>
      </c>
      <c r="G2538" t="s">
        <v>18359</v>
      </c>
    </row>
    <row r="2539" spans="1:7">
      <c r="A2539">
        <v>2538</v>
      </c>
      <c r="B2539" t="str">
        <f>"027584"</f>
        <v>0</v>
      </c>
      <c r="C2539" t="s">
        <v>21555</v>
      </c>
      <c r="D2539" t="s">
        <v>21556</v>
      </c>
      <c r="E2539" t="str">
        <f>"1189900198210"</f>
        <v>0</v>
      </c>
      <c r="F2539" t="str">
        <f>"001950"</f>
        <v>0</v>
      </c>
      <c r="G2539" t="s">
        <v>18359</v>
      </c>
    </row>
    <row r="2540" spans="1:7">
      <c r="A2540">
        <v>2539</v>
      </c>
      <c r="B2540" t="str">
        <f>"001641"</f>
        <v>0</v>
      </c>
      <c r="C2540" t="s">
        <v>2076</v>
      </c>
      <c r="D2540" t="s">
        <v>21557</v>
      </c>
      <c r="E2540" t="str">
        <f>"3340100144723"</f>
        <v>0</v>
      </c>
      <c r="F2540" t="str">
        <f>"001960"</f>
        <v>0</v>
      </c>
      <c r="G2540" t="s">
        <v>18359</v>
      </c>
    </row>
    <row r="2541" spans="1:7">
      <c r="A2541">
        <v>2540</v>
      </c>
      <c r="B2541" t="str">
        <f>"003276"</f>
        <v>0</v>
      </c>
      <c r="C2541" t="s">
        <v>2758</v>
      </c>
      <c r="D2541" t="s">
        <v>21558</v>
      </c>
      <c r="E2541" t="str">
        <f>"3341300283191"</f>
        <v>0</v>
      </c>
      <c r="F2541" t="str">
        <f>"001960"</f>
        <v>0</v>
      </c>
      <c r="G2541" t="s">
        <v>18359</v>
      </c>
    </row>
    <row r="2542" spans="1:7">
      <c r="A2542">
        <v>2541</v>
      </c>
      <c r="B2542" t="str">
        <f>"004025"</f>
        <v>0</v>
      </c>
      <c r="C2542" t="s">
        <v>48</v>
      </c>
      <c r="D2542" t="s">
        <v>21559</v>
      </c>
      <c r="E2542" t="str">
        <f>"3349700027246"</f>
        <v>0</v>
      </c>
      <c r="F2542" t="str">
        <f>"001960"</f>
        <v>0</v>
      </c>
      <c r="G2542" t="s">
        <v>18359</v>
      </c>
    </row>
    <row r="2543" spans="1:7">
      <c r="A2543">
        <v>2542</v>
      </c>
      <c r="B2543" t="str">
        <f>"004140"</f>
        <v>0</v>
      </c>
      <c r="C2543" t="s">
        <v>17326</v>
      </c>
      <c r="D2543" t="s">
        <v>21560</v>
      </c>
      <c r="E2543" t="str">
        <f>"3349900928506"</f>
        <v>0</v>
      </c>
      <c r="F2543" t="str">
        <f>"001960"</f>
        <v>0</v>
      </c>
      <c r="G2543" t="s">
        <v>18359</v>
      </c>
    </row>
    <row r="2544" spans="1:7">
      <c r="A2544">
        <v>2543</v>
      </c>
      <c r="B2544" t="str">
        <f>"004479"</f>
        <v>0</v>
      </c>
      <c r="C2544" t="s">
        <v>4030</v>
      </c>
      <c r="D2544" t="s">
        <v>21561</v>
      </c>
      <c r="E2544" t="str">
        <f>"3450200794044"</f>
        <v>0</v>
      </c>
      <c r="F2544" t="str">
        <f>"001960"</f>
        <v>0</v>
      </c>
      <c r="G2544" t="s">
        <v>18359</v>
      </c>
    </row>
    <row r="2545" spans="1:7">
      <c r="A2545">
        <v>2544</v>
      </c>
      <c r="B2545" t="str">
        <f>"004842"</f>
        <v>0</v>
      </c>
      <c r="C2545" t="s">
        <v>21562</v>
      </c>
      <c r="D2545" t="s">
        <v>21563</v>
      </c>
      <c r="E2545" t="str">
        <f>"3330900779740"</f>
        <v>0</v>
      </c>
      <c r="F2545" t="str">
        <f>"001960"</f>
        <v>0</v>
      </c>
      <c r="G2545" t="s">
        <v>18359</v>
      </c>
    </row>
    <row r="2546" spans="1:7">
      <c r="A2546">
        <v>2545</v>
      </c>
      <c r="B2546" t="str">
        <f>"005448"</f>
        <v>0</v>
      </c>
      <c r="C2546" t="s">
        <v>21564</v>
      </c>
      <c r="D2546" t="s">
        <v>6275</v>
      </c>
      <c r="E2546" t="str">
        <f>"3349900306432"</f>
        <v>0</v>
      </c>
      <c r="F2546" t="str">
        <f>"001960"</f>
        <v>0</v>
      </c>
      <c r="G2546" t="s">
        <v>18359</v>
      </c>
    </row>
    <row r="2547" spans="1:7">
      <c r="A2547">
        <v>2546</v>
      </c>
      <c r="B2547" t="str">
        <f>"005685"</f>
        <v>0</v>
      </c>
      <c r="C2547" t="s">
        <v>4579</v>
      </c>
      <c r="D2547" t="s">
        <v>21565</v>
      </c>
      <c r="E2547" t="str">
        <f>"3330900779723"</f>
        <v>0</v>
      </c>
      <c r="F2547" t="str">
        <f>"001960"</f>
        <v>0</v>
      </c>
      <c r="G2547" t="s">
        <v>18359</v>
      </c>
    </row>
    <row r="2548" spans="1:7">
      <c r="A2548">
        <v>2547</v>
      </c>
      <c r="B2548" t="str">
        <f>"005813"</f>
        <v>0</v>
      </c>
      <c r="C2548" t="s">
        <v>5919</v>
      </c>
      <c r="D2548" t="s">
        <v>21566</v>
      </c>
      <c r="E2548" t="str">
        <f>"3409700038727"</f>
        <v>0</v>
      </c>
      <c r="F2548" t="str">
        <f>"001960"</f>
        <v>0</v>
      </c>
      <c r="G2548" t="s">
        <v>18359</v>
      </c>
    </row>
    <row r="2549" spans="1:7">
      <c r="A2549">
        <v>2548</v>
      </c>
      <c r="B2549" t="str">
        <f>"005932"</f>
        <v>0</v>
      </c>
      <c r="C2549" t="s">
        <v>7295</v>
      </c>
      <c r="D2549" t="s">
        <v>21567</v>
      </c>
      <c r="E2549" t="str">
        <f>"3349900458755"</f>
        <v>0</v>
      </c>
      <c r="F2549" t="str">
        <f>"001960"</f>
        <v>0</v>
      </c>
      <c r="G2549" t="s">
        <v>18359</v>
      </c>
    </row>
    <row r="2550" spans="1:7">
      <c r="A2550">
        <v>2549</v>
      </c>
      <c r="B2550" t="str">
        <f>"006706"</f>
        <v>0</v>
      </c>
      <c r="C2550" t="s">
        <v>21568</v>
      </c>
      <c r="D2550" t="s">
        <v>21569</v>
      </c>
      <c r="E2550" t="str">
        <f>"3341000098259"</f>
        <v>0</v>
      </c>
      <c r="F2550" t="str">
        <f>"001960"</f>
        <v>0</v>
      </c>
      <c r="G2550" t="s">
        <v>18359</v>
      </c>
    </row>
    <row r="2551" spans="1:7">
      <c r="A2551">
        <v>2550</v>
      </c>
      <c r="B2551" t="str">
        <f>"006731"</f>
        <v>0</v>
      </c>
      <c r="C2551" t="s">
        <v>2434</v>
      </c>
      <c r="D2551" t="s">
        <v>21566</v>
      </c>
      <c r="E2551" t="str">
        <f>"3340500261051"</f>
        <v>0</v>
      </c>
      <c r="F2551" t="str">
        <f>"001960"</f>
        <v>0</v>
      </c>
      <c r="G2551" t="s">
        <v>18359</v>
      </c>
    </row>
    <row r="2552" spans="1:7">
      <c r="A2552">
        <v>2551</v>
      </c>
      <c r="B2552" t="str">
        <f>"006902"</f>
        <v>0</v>
      </c>
      <c r="C2552" t="s">
        <v>15992</v>
      </c>
      <c r="D2552" t="s">
        <v>21570</v>
      </c>
      <c r="E2552" t="str">
        <f>"3480300023929"</f>
        <v>0</v>
      </c>
      <c r="F2552" t="str">
        <f>"001960"</f>
        <v>0</v>
      </c>
      <c r="G2552" t="s">
        <v>18359</v>
      </c>
    </row>
    <row r="2553" spans="1:7">
      <c r="A2553">
        <v>2552</v>
      </c>
      <c r="B2553" t="str">
        <f>"007070"</f>
        <v>0</v>
      </c>
      <c r="C2553" t="s">
        <v>6879</v>
      </c>
      <c r="D2553" t="s">
        <v>21571</v>
      </c>
      <c r="E2553" t="str">
        <f>"3102002861343"</f>
        <v>0</v>
      </c>
      <c r="F2553" t="str">
        <f>"001960"</f>
        <v>0</v>
      </c>
      <c r="G2553" t="s">
        <v>18359</v>
      </c>
    </row>
    <row r="2554" spans="1:7">
      <c r="A2554">
        <v>2553</v>
      </c>
      <c r="B2554" t="str">
        <f>"007209"</f>
        <v>0</v>
      </c>
      <c r="C2554" t="s">
        <v>60</v>
      </c>
      <c r="D2554" t="s">
        <v>21572</v>
      </c>
      <c r="E2554" t="str">
        <f>"3330900777712"</f>
        <v>0</v>
      </c>
      <c r="F2554" t="str">
        <f>"001960"</f>
        <v>0</v>
      </c>
      <c r="G2554" t="s">
        <v>18359</v>
      </c>
    </row>
    <row r="2555" spans="1:7">
      <c r="A2555">
        <v>2554</v>
      </c>
      <c r="B2555" t="str">
        <f>"007357"</f>
        <v>0</v>
      </c>
      <c r="C2555" t="s">
        <v>21573</v>
      </c>
      <c r="D2555" t="s">
        <v>21574</v>
      </c>
      <c r="E2555" t="str">
        <f>"3401700736419"</f>
        <v>0</v>
      </c>
      <c r="F2555" t="str">
        <f>"001960"</f>
        <v>0</v>
      </c>
      <c r="G2555" t="s">
        <v>18359</v>
      </c>
    </row>
    <row r="2556" spans="1:7">
      <c r="A2556">
        <v>2555</v>
      </c>
      <c r="B2556" t="str">
        <f>"007385"</f>
        <v>0</v>
      </c>
      <c r="C2556" t="s">
        <v>239</v>
      </c>
      <c r="D2556" t="s">
        <v>11331</v>
      </c>
      <c r="E2556" t="str">
        <f>"3300800082178"</f>
        <v>0</v>
      </c>
      <c r="F2556" t="str">
        <f>"001960"</f>
        <v>0</v>
      </c>
      <c r="G2556" t="s">
        <v>18359</v>
      </c>
    </row>
    <row r="2557" spans="1:7">
      <c r="A2557">
        <v>2556</v>
      </c>
      <c r="B2557" t="str">
        <f>"007453"</f>
        <v>0</v>
      </c>
      <c r="C2557" t="s">
        <v>2662</v>
      </c>
      <c r="D2557" t="s">
        <v>7741</v>
      </c>
      <c r="E2557" t="str">
        <f>"3340400195269"</f>
        <v>0</v>
      </c>
      <c r="F2557" t="str">
        <f>"001960"</f>
        <v>0</v>
      </c>
      <c r="G2557" t="s">
        <v>18359</v>
      </c>
    </row>
    <row r="2558" spans="1:7">
      <c r="A2558">
        <v>2557</v>
      </c>
      <c r="B2558" t="str">
        <f>"007535"</f>
        <v>0</v>
      </c>
      <c r="C2558" t="s">
        <v>21575</v>
      </c>
      <c r="D2558" t="s">
        <v>7728</v>
      </c>
      <c r="E2558" t="str">
        <f>"3349900414804"</f>
        <v>0</v>
      </c>
      <c r="F2558" t="str">
        <f>"001960"</f>
        <v>0</v>
      </c>
      <c r="G2558" t="s">
        <v>18359</v>
      </c>
    </row>
    <row r="2559" spans="1:7">
      <c r="A2559">
        <v>2558</v>
      </c>
      <c r="B2559" t="str">
        <f>"007684"</f>
        <v>0</v>
      </c>
      <c r="C2559" t="s">
        <v>5247</v>
      </c>
      <c r="D2559" t="s">
        <v>21576</v>
      </c>
      <c r="E2559" t="str">
        <f>"5302000076309"</f>
        <v>0</v>
      </c>
      <c r="F2559" t="str">
        <f>"001960"</f>
        <v>0</v>
      </c>
      <c r="G2559" t="s">
        <v>18359</v>
      </c>
    </row>
    <row r="2560" spans="1:7">
      <c r="A2560">
        <v>2559</v>
      </c>
      <c r="B2560" t="str">
        <f>"008166"</f>
        <v>0</v>
      </c>
      <c r="C2560" t="s">
        <v>21577</v>
      </c>
      <c r="D2560" t="s">
        <v>21578</v>
      </c>
      <c r="E2560" t="str">
        <f>"3340800096471"</f>
        <v>0</v>
      </c>
      <c r="F2560" t="str">
        <f>"001960"</f>
        <v>0</v>
      </c>
      <c r="G2560" t="s">
        <v>18359</v>
      </c>
    </row>
    <row r="2561" spans="1:7">
      <c r="A2561">
        <v>2560</v>
      </c>
      <c r="B2561" t="str">
        <f>"008416"</f>
        <v>0</v>
      </c>
      <c r="C2561" t="s">
        <v>5835</v>
      </c>
      <c r="D2561" t="s">
        <v>21579</v>
      </c>
      <c r="E2561" t="str">
        <f>"3190200001926"</f>
        <v>0</v>
      </c>
      <c r="F2561" t="str">
        <f>"001960"</f>
        <v>0</v>
      </c>
      <c r="G2561" t="s">
        <v>18359</v>
      </c>
    </row>
    <row r="2562" spans="1:7">
      <c r="A2562">
        <v>2561</v>
      </c>
      <c r="B2562" t="str">
        <f>"008417"</f>
        <v>0</v>
      </c>
      <c r="C2562" t="s">
        <v>13898</v>
      </c>
      <c r="D2562" t="s">
        <v>21580</v>
      </c>
      <c r="E2562" t="str">
        <f>"3341100813600"</f>
        <v>0</v>
      </c>
      <c r="F2562" t="str">
        <f>"001960"</f>
        <v>0</v>
      </c>
      <c r="G2562" t="s">
        <v>18359</v>
      </c>
    </row>
    <row r="2563" spans="1:7">
      <c r="A2563">
        <v>2562</v>
      </c>
      <c r="B2563" t="str">
        <f>"009203"</f>
        <v>0</v>
      </c>
      <c r="C2563" t="s">
        <v>5191</v>
      </c>
      <c r="D2563" t="s">
        <v>21581</v>
      </c>
      <c r="E2563" t="str">
        <f>"3430900019442"</f>
        <v>0</v>
      </c>
      <c r="F2563" t="str">
        <f>"001960"</f>
        <v>0</v>
      </c>
      <c r="G2563" t="s">
        <v>18359</v>
      </c>
    </row>
    <row r="2564" spans="1:7">
      <c r="A2564">
        <v>2563</v>
      </c>
      <c r="B2564" t="str">
        <f>"009915"</f>
        <v>0</v>
      </c>
      <c r="C2564" t="s">
        <v>239</v>
      </c>
      <c r="D2564" t="s">
        <v>21582</v>
      </c>
      <c r="E2564" t="str">
        <f>"3302000736426"</f>
        <v>0</v>
      </c>
      <c r="F2564" t="str">
        <f>"001960"</f>
        <v>0</v>
      </c>
      <c r="G2564" t="s">
        <v>18359</v>
      </c>
    </row>
    <row r="2565" spans="1:7">
      <c r="A2565">
        <v>2564</v>
      </c>
      <c r="B2565" t="str">
        <f>"010475"</f>
        <v>0</v>
      </c>
      <c r="C2565" t="s">
        <v>4971</v>
      </c>
      <c r="D2565" t="s">
        <v>21583</v>
      </c>
      <c r="E2565" t="str">
        <f>"3330300737434"</f>
        <v>0</v>
      </c>
      <c r="F2565" t="str">
        <f>"001960"</f>
        <v>0</v>
      </c>
      <c r="G2565" t="s">
        <v>18359</v>
      </c>
    </row>
    <row r="2566" spans="1:7">
      <c r="A2566">
        <v>2565</v>
      </c>
      <c r="B2566" t="str">
        <f>"010674"</f>
        <v>0</v>
      </c>
      <c r="C2566" t="s">
        <v>21584</v>
      </c>
      <c r="D2566" t="s">
        <v>21585</v>
      </c>
      <c r="E2566" t="str">
        <f>"3341600184521"</f>
        <v>0</v>
      </c>
      <c r="F2566" t="str">
        <f>"001960"</f>
        <v>0</v>
      </c>
      <c r="G2566" t="s">
        <v>18359</v>
      </c>
    </row>
    <row r="2567" spans="1:7">
      <c r="A2567">
        <v>2566</v>
      </c>
      <c r="B2567" t="str">
        <f>"011283"</f>
        <v>0</v>
      </c>
      <c r="C2567" t="s">
        <v>21586</v>
      </c>
      <c r="D2567" t="s">
        <v>21587</v>
      </c>
      <c r="E2567" t="str">
        <f>"3302000293842"</f>
        <v>0</v>
      </c>
      <c r="F2567" t="str">
        <f>"001960"</f>
        <v>0</v>
      </c>
      <c r="G2567" t="s">
        <v>18359</v>
      </c>
    </row>
    <row r="2568" spans="1:7">
      <c r="A2568">
        <v>2567</v>
      </c>
      <c r="B2568" t="str">
        <f>"012309"</f>
        <v>0</v>
      </c>
      <c r="C2568" t="s">
        <v>2301</v>
      </c>
      <c r="D2568" t="s">
        <v>21588</v>
      </c>
      <c r="E2568" t="str">
        <f>"3340100145011"</f>
        <v>0</v>
      </c>
      <c r="F2568" t="str">
        <f>"001960"</f>
        <v>0</v>
      </c>
      <c r="G2568" t="s">
        <v>18359</v>
      </c>
    </row>
    <row r="2569" spans="1:7">
      <c r="A2569">
        <v>2568</v>
      </c>
      <c r="B2569" t="str">
        <f>"012432"</f>
        <v>0</v>
      </c>
      <c r="C2569" t="s">
        <v>9884</v>
      </c>
      <c r="D2569" t="s">
        <v>398</v>
      </c>
      <c r="E2569" t="str">
        <f>"3340800098481"</f>
        <v>0</v>
      </c>
      <c r="F2569" t="str">
        <f>"001960"</f>
        <v>0</v>
      </c>
      <c r="G2569" t="s">
        <v>18359</v>
      </c>
    </row>
    <row r="2570" spans="1:7">
      <c r="A2570">
        <v>2569</v>
      </c>
      <c r="B2570" t="str">
        <f>"013480"</f>
        <v>0</v>
      </c>
      <c r="C2570" t="s">
        <v>445</v>
      </c>
      <c r="D2570" t="s">
        <v>21589</v>
      </c>
      <c r="E2570" t="str">
        <f>"3100100356200"</f>
        <v>0</v>
      </c>
      <c r="F2570" t="str">
        <f>"001960"</f>
        <v>0</v>
      </c>
      <c r="G2570" t="s">
        <v>18359</v>
      </c>
    </row>
    <row r="2571" spans="1:7">
      <c r="A2571">
        <v>2570</v>
      </c>
      <c r="B2571" t="str">
        <f>"013937"</f>
        <v>0</v>
      </c>
      <c r="C2571" t="s">
        <v>5942</v>
      </c>
      <c r="D2571" t="s">
        <v>16640</v>
      </c>
      <c r="E2571" t="str">
        <f>"3341100780361"</f>
        <v>0</v>
      </c>
      <c r="F2571" t="str">
        <f>"001960"</f>
        <v>0</v>
      </c>
      <c r="G2571" t="s">
        <v>18359</v>
      </c>
    </row>
    <row r="2572" spans="1:7">
      <c r="A2572">
        <v>2571</v>
      </c>
      <c r="B2572" t="str">
        <f>"013938"</f>
        <v>0</v>
      </c>
      <c r="C2572" t="s">
        <v>4372</v>
      </c>
      <c r="D2572" t="s">
        <v>21590</v>
      </c>
      <c r="E2572" t="str">
        <f>"3341100780281"</f>
        <v>0</v>
      </c>
      <c r="F2572" t="str">
        <f>"001960"</f>
        <v>0</v>
      </c>
      <c r="G2572" t="s">
        <v>18359</v>
      </c>
    </row>
    <row r="2573" spans="1:7">
      <c r="A2573">
        <v>2572</v>
      </c>
      <c r="B2573" t="str">
        <f>"016150"</f>
        <v>0</v>
      </c>
      <c r="C2573" t="s">
        <v>21591</v>
      </c>
      <c r="D2573" t="s">
        <v>21592</v>
      </c>
      <c r="E2573" t="str">
        <f>"3330300731207"</f>
        <v>0</v>
      </c>
      <c r="F2573" t="str">
        <f>"001960"</f>
        <v>0</v>
      </c>
      <c r="G2573" t="s">
        <v>18359</v>
      </c>
    </row>
    <row r="2574" spans="1:7">
      <c r="A2574">
        <v>2573</v>
      </c>
      <c r="B2574" t="str">
        <f>"014520"</f>
        <v>0</v>
      </c>
      <c r="C2574" t="s">
        <v>21593</v>
      </c>
      <c r="D2574" t="s">
        <v>21594</v>
      </c>
      <c r="E2574" t="str">
        <f>"3499900217889"</f>
        <v>0</v>
      </c>
      <c r="F2574" t="str">
        <f>"001960"</f>
        <v>0</v>
      </c>
      <c r="G2574" t="s">
        <v>18359</v>
      </c>
    </row>
    <row r="2575" spans="1:7">
      <c r="A2575">
        <v>2574</v>
      </c>
      <c r="B2575" t="str">
        <f>"007929"</f>
        <v>0</v>
      </c>
      <c r="C2575" t="s">
        <v>2260</v>
      </c>
      <c r="D2575" t="s">
        <v>21595</v>
      </c>
      <c r="E2575" t="str">
        <f>"3341000552341"</f>
        <v>0</v>
      </c>
      <c r="F2575" t="str">
        <f>"001960"</f>
        <v>0</v>
      </c>
      <c r="G2575" t="s">
        <v>18359</v>
      </c>
    </row>
    <row r="2576" spans="1:7">
      <c r="A2576">
        <v>2575</v>
      </c>
      <c r="B2576" t="str">
        <f>"014157"</f>
        <v>0</v>
      </c>
      <c r="C2576" t="s">
        <v>21596</v>
      </c>
      <c r="D2576" t="s">
        <v>21597</v>
      </c>
      <c r="E2576" t="str">
        <f>"5340190016769"</f>
        <v>0</v>
      </c>
      <c r="F2576" t="str">
        <f>"001960"</f>
        <v>0</v>
      </c>
      <c r="G2576" t="s">
        <v>18359</v>
      </c>
    </row>
    <row r="2577" spans="1:7">
      <c r="A2577">
        <v>2576</v>
      </c>
      <c r="B2577" t="str">
        <f>"025063"</f>
        <v>0</v>
      </c>
      <c r="C2577" t="s">
        <v>21598</v>
      </c>
      <c r="D2577" t="s">
        <v>21599</v>
      </c>
      <c r="E2577" t="str">
        <f>"3302100300816"</f>
        <v>0</v>
      </c>
      <c r="F2577" t="str">
        <f>"001960"</f>
        <v>0</v>
      </c>
      <c r="G2577" t="s">
        <v>18359</v>
      </c>
    </row>
    <row r="2578" spans="1:7">
      <c r="A2578">
        <v>2577</v>
      </c>
      <c r="B2578" t="str">
        <f>"011611"</f>
        <v>0</v>
      </c>
      <c r="C2578" t="s">
        <v>3799</v>
      </c>
      <c r="D2578" t="s">
        <v>16754</v>
      </c>
      <c r="E2578" t="str">
        <f>"3349900169532"</f>
        <v>0</v>
      </c>
      <c r="F2578" t="str">
        <f>"001960"</f>
        <v>0</v>
      </c>
      <c r="G2578" t="s">
        <v>18359</v>
      </c>
    </row>
    <row r="2579" spans="1:7">
      <c r="A2579">
        <v>2578</v>
      </c>
      <c r="B2579" t="str">
        <f>"021634"</f>
        <v>0</v>
      </c>
      <c r="C2579" t="s">
        <v>21600</v>
      </c>
      <c r="D2579" t="s">
        <v>21601</v>
      </c>
      <c r="E2579" t="str">
        <f>"3331300268613"</f>
        <v>0</v>
      </c>
      <c r="F2579" t="str">
        <f>"001960"</f>
        <v>0</v>
      </c>
      <c r="G2579" t="s">
        <v>18359</v>
      </c>
    </row>
    <row r="2580" spans="1:7">
      <c r="A2580">
        <v>2579</v>
      </c>
      <c r="B2580" t="str">
        <f>"024177"</f>
        <v>0</v>
      </c>
      <c r="C2580" t="s">
        <v>21602</v>
      </c>
      <c r="D2580" t="s">
        <v>21603</v>
      </c>
      <c r="E2580" t="str">
        <f>"3330800370327"</f>
        <v>0</v>
      </c>
      <c r="F2580" t="str">
        <f>"001960"</f>
        <v>0</v>
      </c>
      <c r="G2580" t="s">
        <v>18359</v>
      </c>
    </row>
    <row r="2581" spans="1:7">
      <c r="A2581">
        <v>2580</v>
      </c>
      <c r="B2581" t="str">
        <f>"010678"</f>
        <v>0</v>
      </c>
      <c r="C2581" t="s">
        <v>21604</v>
      </c>
      <c r="D2581" t="s">
        <v>1850</v>
      </c>
      <c r="E2581" t="str">
        <f>"3341000189106"</f>
        <v>0</v>
      </c>
      <c r="F2581" t="str">
        <f>"001960"</f>
        <v>0</v>
      </c>
      <c r="G2581" t="s">
        <v>18359</v>
      </c>
    </row>
    <row r="2582" spans="1:7">
      <c r="A2582">
        <v>2581</v>
      </c>
      <c r="B2582" t="str">
        <f>"018220"</f>
        <v>0</v>
      </c>
      <c r="C2582" t="s">
        <v>14006</v>
      </c>
      <c r="D2582" t="s">
        <v>21605</v>
      </c>
      <c r="E2582" t="str">
        <f>"3349900898691"</f>
        <v>0</v>
      </c>
      <c r="F2582" t="str">
        <f>"001960"</f>
        <v>0</v>
      </c>
      <c r="G2582" t="s">
        <v>18359</v>
      </c>
    </row>
    <row r="2583" spans="1:7">
      <c r="A2583">
        <v>2582</v>
      </c>
      <c r="B2583" t="str">
        <f>"018981"</f>
        <v>0</v>
      </c>
      <c r="C2583" t="s">
        <v>3082</v>
      </c>
      <c r="D2583" t="s">
        <v>21606</v>
      </c>
      <c r="E2583" t="str">
        <f>"3340300019817"</f>
        <v>0</v>
      </c>
      <c r="F2583" t="str">
        <f>"001960"</f>
        <v>0</v>
      </c>
      <c r="G2583" t="s">
        <v>18359</v>
      </c>
    </row>
    <row r="2584" spans="1:7">
      <c r="A2584">
        <v>2583</v>
      </c>
      <c r="B2584" t="str">
        <f>"019218"</f>
        <v>0</v>
      </c>
      <c r="C2584" t="s">
        <v>17299</v>
      </c>
      <c r="D2584" t="s">
        <v>11657</v>
      </c>
      <c r="E2584" t="str">
        <f>"3341400033316"</f>
        <v>0</v>
      </c>
      <c r="F2584" t="str">
        <f>"001960"</f>
        <v>0</v>
      </c>
      <c r="G2584" t="s">
        <v>18359</v>
      </c>
    </row>
    <row r="2585" spans="1:7">
      <c r="A2585">
        <v>2584</v>
      </c>
      <c r="B2585" t="str">
        <f>"022217"</f>
        <v>0</v>
      </c>
      <c r="C2585" t="s">
        <v>1341</v>
      </c>
      <c r="D2585" t="s">
        <v>21607</v>
      </c>
      <c r="E2585" t="str">
        <f>"1340700010071"</f>
        <v>0</v>
      </c>
      <c r="F2585" t="str">
        <f>"001960"</f>
        <v>0</v>
      </c>
      <c r="G2585" t="s">
        <v>18359</v>
      </c>
    </row>
    <row r="2586" spans="1:7">
      <c r="A2586">
        <v>2585</v>
      </c>
      <c r="B2586" t="str">
        <f>"024295"</f>
        <v>0</v>
      </c>
      <c r="C2586" t="s">
        <v>21608</v>
      </c>
      <c r="D2586" t="s">
        <v>21609</v>
      </c>
      <c r="E2586" t="str">
        <f>"5342000027839"</f>
        <v>0</v>
      </c>
      <c r="F2586" t="str">
        <f>"001960"</f>
        <v>0</v>
      </c>
      <c r="G2586" t="s">
        <v>18359</v>
      </c>
    </row>
    <row r="2587" spans="1:7">
      <c r="A2587">
        <v>2586</v>
      </c>
      <c r="B2587" t="str">
        <f>"027269"</f>
        <v>0</v>
      </c>
      <c r="C2587" t="s">
        <v>21610</v>
      </c>
      <c r="D2587" t="s">
        <v>8706</v>
      </c>
      <c r="E2587" t="str">
        <f>"1349900650099"</f>
        <v>0</v>
      </c>
      <c r="F2587" t="str">
        <f>"001960"</f>
        <v>0</v>
      </c>
      <c r="G2587" t="s">
        <v>18359</v>
      </c>
    </row>
    <row r="2588" spans="1:7">
      <c r="A2588">
        <v>2587</v>
      </c>
      <c r="B2588" t="str">
        <f>"027440"</f>
        <v>0</v>
      </c>
      <c r="C2588" t="s">
        <v>975</v>
      </c>
      <c r="D2588" t="s">
        <v>21611</v>
      </c>
      <c r="E2588" t="str">
        <f>"1349900043621"</f>
        <v>0</v>
      </c>
      <c r="F2588" t="str">
        <f>"001960"</f>
        <v>0</v>
      </c>
      <c r="G2588" t="s">
        <v>18359</v>
      </c>
    </row>
    <row r="2589" spans="1:7">
      <c r="A2589">
        <v>2588</v>
      </c>
      <c r="B2589" t="str">
        <f>"025820"</f>
        <v>0</v>
      </c>
      <c r="C2589" t="s">
        <v>14071</v>
      </c>
      <c r="D2589" t="s">
        <v>21612</v>
      </c>
      <c r="E2589" t="str">
        <f>"3350600479058"</f>
        <v>0</v>
      </c>
      <c r="F2589" t="str">
        <f>"001960"</f>
        <v>0</v>
      </c>
      <c r="G2589" t="s">
        <v>18359</v>
      </c>
    </row>
    <row r="2590" spans="1:7">
      <c r="A2590">
        <v>2589</v>
      </c>
      <c r="B2590" t="str">
        <f>"024893"</f>
        <v>0</v>
      </c>
      <c r="C2590" t="s">
        <v>21613</v>
      </c>
      <c r="D2590" t="s">
        <v>21614</v>
      </c>
      <c r="E2590" t="str">
        <f>"3330800113260"</f>
        <v>0</v>
      </c>
      <c r="F2590" t="str">
        <f>"001960"</f>
        <v>0</v>
      </c>
      <c r="G2590" t="s">
        <v>18359</v>
      </c>
    </row>
    <row r="2591" spans="1:7">
      <c r="A2591">
        <v>2590</v>
      </c>
      <c r="B2591" t="str">
        <f>"026953"</f>
        <v>0</v>
      </c>
      <c r="C2591" t="s">
        <v>21615</v>
      </c>
      <c r="D2591" t="s">
        <v>21616</v>
      </c>
      <c r="E2591" t="str">
        <f>"1509900478961"</f>
        <v>0</v>
      </c>
      <c r="F2591" t="str">
        <f>"001960"</f>
        <v>0</v>
      </c>
      <c r="G2591" t="s">
        <v>18359</v>
      </c>
    </row>
    <row r="2592" spans="1:7">
      <c r="A2592">
        <v>2591</v>
      </c>
      <c r="B2592" t="str">
        <f>"026950"</f>
        <v>0</v>
      </c>
      <c r="C2592" t="s">
        <v>1078</v>
      </c>
      <c r="D2592" t="s">
        <v>21617</v>
      </c>
      <c r="E2592" t="str">
        <f>"1530600022041"</f>
        <v>0</v>
      </c>
      <c r="F2592" t="str">
        <f>"001960"</f>
        <v>0</v>
      </c>
      <c r="G2592" t="s">
        <v>18359</v>
      </c>
    </row>
    <row r="2593" spans="1:7">
      <c r="A2593">
        <v>2592</v>
      </c>
      <c r="B2593" t="str">
        <f>"015160"</f>
        <v>0</v>
      </c>
      <c r="C2593" t="s">
        <v>6531</v>
      </c>
      <c r="D2593" t="s">
        <v>16922</v>
      </c>
      <c r="E2593" t="str">
        <f>"3341600593536"</f>
        <v>0</v>
      </c>
      <c r="F2593" t="str">
        <f>"001980"</f>
        <v>0</v>
      </c>
      <c r="G2593" t="s">
        <v>18359</v>
      </c>
    </row>
    <row r="2594" spans="1:7">
      <c r="A2594">
        <v>2593</v>
      </c>
      <c r="B2594" t="str">
        <f>"007830"</f>
        <v>0</v>
      </c>
      <c r="C2594" t="s">
        <v>21618</v>
      </c>
      <c r="D2594" t="s">
        <v>4561</v>
      </c>
      <c r="E2594" t="str">
        <f>"3340600149635"</f>
        <v>0</v>
      </c>
      <c r="F2594" t="str">
        <f>"001980"</f>
        <v>0</v>
      </c>
      <c r="G2594" t="s">
        <v>18359</v>
      </c>
    </row>
    <row r="2595" spans="1:7">
      <c r="A2595">
        <v>2594</v>
      </c>
      <c r="B2595" t="str">
        <f>"022574"</f>
        <v>0</v>
      </c>
      <c r="C2595" t="s">
        <v>8918</v>
      </c>
      <c r="D2595" t="s">
        <v>21619</v>
      </c>
      <c r="E2595" t="str">
        <f>"1301890001762"</f>
        <v>0</v>
      </c>
      <c r="F2595" t="str">
        <f>"001980"</f>
        <v>0</v>
      </c>
      <c r="G2595" t="s">
        <v>18359</v>
      </c>
    </row>
    <row r="2596" spans="1:7">
      <c r="A2596">
        <v>2595</v>
      </c>
      <c r="B2596" t="str">
        <f>"014852"</f>
        <v>0</v>
      </c>
      <c r="C2596" t="s">
        <v>21620</v>
      </c>
      <c r="D2596" t="s">
        <v>21621</v>
      </c>
      <c r="E2596" t="str">
        <f>"3320900235723"</f>
        <v>0</v>
      </c>
      <c r="F2596" t="str">
        <f>"001980"</f>
        <v>0</v>
      </c>
      <c r="G2596" t="s">
        <v>18359</v>
      </c>
    </row>
    <row r="2597" spans="1:7">
      <c r="A2597">
        <v>2596</v>
      </c>
      <c r="B2597" t="str">
        <f>"024690"</f>
        <v>0</v>
      </c>
      <c r="C2597" t="s">
        <v>21622</v>
      </c>
      <c r="D2597" t="s">
        <v>21623</v>
      </c>
      <c r="E2597" t="str">
        <f>"3341400531316"</f>
        <v>0</v>
      </c>
      <c r="F2597" t="str">
        <f>"001980"</f>
        <v>0</v>
      </c>
      <c r="G2597" t="s">
        <v>18359</v>
      </c>
    </row>
    <row r="2598" spans="1:7">
      <c r="A2598">
        <v>2597</v>
      </c>
      <c r="B2598" t="str">
        <f>"013187"</f>
        <v>0</v>
      </c>
      <c r="C2598" t="s">
        <v>21624</v>
      </c>
      <c r="D2598" t="s">
        <v>21625</v>
      </c>
      <c r="E2598" t="str">
        <f>"3470500029386"</f>
        <v>0</v>
      </c>
      <c r="F2598" t="str">
        <f>"001980"</f>
        <v>0</v>
      </c>
      <c r="G2598" t="s">
        <v>18359</v>
      </c>
    </row>
    <row r="2599" spans="1:7">
      <c r="A2599">
        <v>2598</v>
      </c>
      <c r="B2599" t="str">
        <f>"013838"</f>
        <v>0</v>
      </c>
      <c r="C2599" t="s">
        <v>2434</v>
      </c>
      <c r="D2599" t="s">
        <v>21626</v>
      </c>
      <c r="E2599" t="str">
        <f>"3341700330910"</f>
        <v>0</v>
      </c>
      <c r="F2599" t="str">
        <f>"001980"</f>
        <v>0</v>
      </c>
      <c r="G2599" t="s">
        <v>18359</v>
      </c>
    </row>
    <row r="2600" spans="1:7">
      <c r="A2600">
        <v>2599</v>
      </c>
      <c r="B2600" t="str">
        <f>"019858"</f>
        <v>0</v>
      </c>
      <c r="C2600" t="s">
        <v>21627</v>
      </c>
      <c r="D2600" t="s">
        <v>6983</v>
      </c>
      <c r="E2600" t="str">
        <f>"3341600406132"</f>
        <v>0</v>
      </c>
      <c r="F2600" t="str">
        <f>"001980"</f>
        <v>0</v>
      </c>
      <c r="G2600" t="s">
        <v>18359</v>
      </c>
    </row>
    <row r="2601" spans="1:7">
      <c r="A2601">
        <v>2600</v>
      </c>
      <c r="B2601" t="str">
        <f>"024180"</f>
        <v>0</v>
      </c>
      <c r="C2601" t="s">
        <v>13663</v>
      </c>
      <c r="D2601" t="s">
        <v>21628</v>
      </c>
      <c r="E2601" t="str">
        <f>"3460600089780"</f>
        <v>0</v>
      </c>
      <c r="F2601" t="str">
        <f>"001980"</f>
        <v>0</v>
      </c>
      <c r="G2601" t="s">
        <v>18359</v>
      </c>
    </row>
    <row r="2602" spans="1:7">
      <c r="A2602">
        <v>2601</v>
      </c>
      <c r="B2602" t="str">
        <f>"024566"</f>
        <v>0</v>
      </c>
      <c r="C2602" t="s">
        <v>21629</v>
      </c>
      <c r="D2602" t="s">
        <v>21630</v>
      </c>
      <c r="E2602" t="str">
        <f>"1341300065333"</f>
        <v>0</v>
      </c>
      <c r="F2602" t="str">
        <f>"001980"</f>
        <v>0</v>
      </c>
      <c r="G2602" t="s">
        <v>18359</v>
      </c>
    </row>
    <row r="2603" spans="1:7">
      <c r="A2603">
        <v>2602</v>
      </c>
      <c r="B2603" t="str">
        <f>"025506"</f>
        <v>0</v>
      </c>
      <c r="C2603" t="s">
        <v>21631</v>
      </c>
      <c r="D2603" t="s">
        <v>21632</v>
      </c>
      <c r="E2603" t="str">
        <f>"1341600026082"</f>
        <v>0</v>
      </c>
      <c r="F2603" t="str">
        <f>"001980"</f>
        <v>0</v>
      </c>
      <c r="G2603" t="s">
        <v>18359</v>
      </c>
    </row>
    <row r="2604" spans="1:7">
      <c r="A2604">
        <v>2603</v>
      </c>
      <c r="B2604" t="str">
        <f>"026451"</f>
        <v>0</v>
      </c>
      <c r="C2604" t="s">
        <v>21633</v>
      </c>
      <c r="D2604" t="s">
        <v>21634</v>
      </c>
      <c r="E2604" t="str">
        <f>"1341300047041"</f>
        <v>0</v>
      </c>
      <c r="F2604" t="str">
        <f>"001980"</f>
        <v>0</v>
      </c>
      <c r="G2604" t="s">
        <v>18359</v>
      </c>
    </row>
    <row r="2605" spans="1:7">
      <c r="A2605">
        <v>2604</v>
      </c>
      <c r="B2605" t="str">
        <f>"025185"</f>
        <v>0</v>
      </c>
      <c r="C2605" t="s">
        <v>21635</v>
      </c>
      <c r="D2605" t="s">
        <v>8748</v>
      </c>
      <c r="E2605" t="str">
        <f>"3450600118577"</f>
        <v>0</v>
      </c>
      <c r="F2605" t="str">
        <f>"001980"</f>
        <v>0</v>
      </c>
      <c r="G2605" t="s">
        <v>18359</v>
      </c>
    </row>
    <row r="2606" spans="1:7">
      <c r="A2606">
        <v>2605</v>
      </c>
      <c r="B2606" t="str">
        <f>"011037"</f>
        <v>0</v>
      </c>
      <c r="C2606" t="s">
        <v>21636</v>
      </c>
      <c r="D2606" t="s">
        <v>17011</v>
      </c>
      <c r="E2606" t="str">
        <f>"5100599064234"</f>
        <v>0</v>
      </c>
      <c r="F2606" t="str">
        <f>"003003"</f>
        <v>0</v>
      </c>
      <c r="G2606" t="s">
        <v>18359</v>
      </c>
    </row>
    <row r="2607" spans="1:7">
      <c r="A2607">
        <v>2606</v>
      </c>
      <c r="B2607" t="str">
        <f>"020923"</f>
        <v>0</v>
      </c>
      <c r="C2607" t="s">
        <v>3080</v>
      </c>
      <c r="D2607" t="s">
        <v>21637</v>
      </c>
      <c r="E2607" t="str">
        <f>"3710600081131"</f>
        <v>0</v>
      </c>
      <c r="F2607" t="str">
        <f>"003003"</f>
        <v>0</v>
      </c>
      <c r="G2607" t="s">
        <v>18359</v>
      </c>
    </row>
    <row r="2608" spans="1:7">
      <c r="A2608">
        <v>2607</v>
      </c>
      <c r="B2608" t="str">
        <f>"022264"</f>
        <v>0</v>
      </c>
      <c r="C2608" t="s">
        <v>21638</v>
      </c>
      <c r="D2608" t="s">
        <v>21639</v>
      </c>
      <c r="E2608" t="str">
        <f>"3102001260354"</f>
        <v>0</v>
      </c>
      <c r="F2608" t="str">
        <f>"003003"</f>
        <v>0</v>
      </c>
      <c r="G2608" t="s">
        <v>18359</v>
      </c>
    </row>
    <row r="2609" spans="1:7">
      <c r="A2609">
        <v>2608</v>
      </c>
      <c r="B2609" t="str">
        <f>"011874"</f>
        <v>0</v>
      </c>
      <c r="C2609" t="s">
        <v>21640</v>
      </c>
      <c r="D2609" t="s">
        <v>21641</v>
      </c>
      <c r="E2609" t="str">
        <f>"3200100166914"</f>
        <v>0</v>
      </c>
      <c r="F2609" t="str">
        <f>"003003"</f>
        <v>0</v>
      </c>
      <c r="G2609" t="s">
        <v>18359</v>
      </c>
    </row>
    <row r="2610" spans="1:7">
      <c r="A2610">
        <v>2609</v>
      </c>
      <c r="B2610" t="str">
        <f>"016075"</f>
        <v>0</v>
      </c>
      <c r="C2610" t="s">
        <v>5737</v>
      </c>
      <c r="D2610" t="s">
        <v>14215</v>
      </c>
      <c r="E2610" t="str">
        <f>"5660200021015"</f>
        <v>0</v>
      </c>
      <c r="F2610" t="str">
        <f>"003003"</f>
        <v>0</v>
      </c>
      <c r="G2610" t="s">
        <v>18359</v>
      </c>
    </row>
    <row r="2611" spans="1:7">
      <c r="A2611">
        <v>2610</v>
      </c>
      <c r="B2611" t="str">
        <f>"022603"</f>
        <v>0</v>
      </c>
      <c r="C2611" t="s">
        <v>21642</v>
      </c>
      <c r="D2611" t="s">
        <v>21643</v>
      </c>
      <c r="E2611" t="str">
        <f>"3100500733116"</f>
        <v>0</v>
      </c>
      <c r="F2611" t="str">
        <f>"003003"</f>
        <v>0</v>
      </c>
      <c r="G2611" t="s">
        <v>18359</v>
      </c>
    </row>
    <row r="2612" spans="1:7">
      <c r="A2612">
        <v>2611</v>
      </c>
      <c r="B2612" t="str">
        <f>"022265"</f>
        <v>0</v>
      </c>
      <c r="C2612" t="s">
        <v>1575</v>
      </c>
      <c r="D2612" t="s">
        <v>21644</v>
      </c>
      <c r="E2612" t="str">
        <f>"3120101268096"</f>
        <v>0</v>
      </c>
      <c r="F2612" t="str">
        <f>"003003"</f>
        <v>0</v>
      </c>
      <c r="G2612" t="s">
        <v>18359</v>
      </c>
    </row>
    <row r="2613" spans="1:7">
      <c r="A2613">
        <v>2612</v>
      </c>
      <c r="B2613" t="str">
        <f>"023242"</f>
        <v>0</v>
      </c>
      <c r="C2613" t="s">
        <v>18773</v>
      </c>
      <c r="D2613" t="s">
        <v>21645</v>
      </c>
      <c r="E2613" t="str">
        <f>"3100603196687"</f>
        <v>0</v>
      </c>
      <c r="F2613" t="str">
        <f>"003003"</f>
        <v>0</v>
      </c>
      <c r="G2613" t="s">
        <v>18359</v>
      </c>
    </row>
    <row r="2614" spans="1:7">
      <c r="A2614">
        <v>2613</v>
      </c>
      <c r="B2614" t="str">
        <f>"025539"</f>
        <v>0</v>
      </c>
      <c r="C2614" t="s">
        <v>21646</v>
      </c>
      <c r="D2614" t="s">
        <v>21647</v>
      </c>
      <c r="E2614" t="str">
        <f>"3100602203485"</f>
        <v>0</v>
      </c>
      <c r="F2614" t="str">
        <f>"003003"</f>
        <v>0</v>
      </c>
      <c r="G2614" t="s">
        <v>18359</v>
      </c>
    </row>
    <row r="2615" spans="1:7">
      <c r="A2615">
        <v>2614</v>
      </c>
      <c r="B2615" t="str">
        <f>"025803"</f>
        <v>0</v>
      </c>
      <c r="C2615" t="s">
        <v>2149</v>
      </c>
      <c r="D2615" t="s">
        <v>21648</v>
      </c>
      <c r="E2615" t="str">
        <f>"1229900091899"</f>
        <v>0</v>
      </c>
      <c r="F2615" t="str">
        <f>"003003"</f>
        <v>0</v>
      </c>
      <c r="G2615" t="s">
        <v>18359</v>
      </c>
    </row>
    <row r="2616" spans="1:7">
      <c r="A2616">
        <v>2615</v>
      </c>
      <c r="B2616" t="str">
        <f>"013488"</f>
        <v>0</v>
      </c>
      <c r="C2616" t="s">
        <v>1765</v>
      </c>
      <c r="D2616" t="s">
        <v>21177</v>
      </c>
      <c r="E2616" t="str">
        <f>"3500700187952"</f>
        <v>0</v>
      </c>
      <c r="F2616" t="str">
        <f>"003003"</f>
        <v>0</v>
      </c>
      <c r="G2616" t="s">
        <v>18359</v>
      </c>
    </row>
    <row r="2617" spans="1:7">
      <c r="A2617">
        <v>2616</v>
      </c>
      <c r="B2617" t="str">
        <f>"024572"</f>
        <v>0</v>
      </c>
      <c r="C2617" t="s">
        <v>21649</v>
      </c>
      <c r="D2617" t="s">
        <v>21650</v>
      </c>
      <c r="E2617" t="str">
        <f>"3200100298365"</f>
        <v>0</v>
      </c>
      <c r="F2617" t="str">
        <f>"003003"</f>
        <v>0</v>
      </c>
      <c r="G2617" t="s">
        <v>18359</v>
      </c>
    </row>
    <row r="2618" spans="1:7">
      <c r="A2618">
        <v>2617</v>
      </c>
      <c r="B2618" t="str">
        <f>"022111"</f>
        <v>0</v>
      </c>
      <c r="C2618" t="s">
        <v>21651</v>
      </c>
      <c r="D2618" t="s">
        <v>21652</v>
      </c>
      <c r="E2618" t="str">
        <f>"3710100053856"</f>
        <v>0</v>
      </c>
      <c r="F2618" t="str">
        <f>"003003"</f>
        <v>0</v>
      </c>
      <c r="G2618" t="s">
        <v>18359</v>
      </c>
    </row>
    <row r="2619" spans="1:7">
      <c r="A2619">
        <v>2618</v>
      </c>
      <c r="B2619" t="str">
        <f>"015212"</f>
        <v>0</v>
      </c>
      <c r="C2619" t="s">
        <v>1502</v>
      </c>
      <c r="D2619" t="s">
        <v>21653</v>
      </c>
      <c r="E2619" t="str">
        <f>"3401200142528"</f>
        <v>0</v>
      </c>
      <c r="F2619" t="str">
        <f>"003003"</f>
        <v>0</v>
      </c>
      <c r="G2619" t="s">
        <v>18359</v>
      </c>
    </row>
    <row r="2620" spans="1:7">
      <c r="A2620">
        <v>2619</v>
      </c>
      <c r="B2620" t="str">
        <f>"019052"</f>
        <v>0</v>
      </c>
      <c r="C2620" t="s">
        <v>7740</v>
      </c>
      <c r="D2620" t="s">
        <v>17125</v>
      </c>
      <c r="E2620" t="str">
        <f>"3259900077507"</f>
        <v>0</v>
      </c>
      <c r="F2620" t="str">
        <f>"003003"</f>
        <v>0</v>
      </c>
      <c r="G2620" t="s">
        <v>18359</v>
      </c>
    </row>
    <row r="2621" spans="1:7">
      <c r="A2621">
        <v>2620</v>
      </c>
      <c r="B2621" t="str">
        <f>"022919"</f>
        <v>0</v>
      </c>
      <c r="C2621" t="s">
        <v>21654</v>
      </c>
      <c r="D2621" t="s">
        <v>1963</v>
      </c>
      <c r="E2621" t="str">
        <f>"3930500549644"</f>
        <v>0</v>
      </c>
      <c r="F2621" t="str">
        <f>"003003"</f>
        <v>0</v>
      </c>
      <c r="G2621" t="s">
        <v>18359</v>
      </c>
    </row>
    <row r="2622" spans="1:7">
      <c r="A2622">
        <v>2621</v>
      </c>
      <c r="B2622" t="str">
        <f>"018705"</f>
        <v>0</v>
      </c>
      <c r="C2622" t="s">
        <v>911</v>
      </c>
      <c r="D2622" t="s">
        <v>21655</v>
      </c>
      <c r="E2622" t="str">
        <f>"3860300137866"</f>
        <v>0</v>
      </c>
      <c r="F2622" t="str">
        <f>"003003"</f>
        <v>0</v>
      </c>
      <c r="G2622" t="s">
        <v>18359</v>
      </c>
    </row>
    <row r="2623" spans="1:7">
      <c r="A2623">
        <v>2622</v>
      </c>
      <c r="B2623" t="str">
        <f>"018886"</f>
        <v>0</v>
      </c>
      <c r="C2623" t="s">
        <v>21656</v>
      </c>
      <c r="D2623" t="s">
        <v>21657</v>
      </c>
      <c r="E2623" t="str">
        <f>"3310400138265"</f>
        <v>0</v>
      </c>
      <c r="F2623" t="str">
        <f>"003003"</f>
        <v>0</v>
      </c>
      <c r="G2623" t="s">
        <v>18359</v>
      </c>
    </row>
    <row r="2624" spans="1:7">
      <c r="A2624">
        <v>2623</v>
      </c>
      <c r="B2624" t="str">
        <f>"022053"</f>
        <v>0</v>
      </c>
      <c r="C2624" t="s">
        <v>21658</v>
      </c>
      <c r="D2624" t="s">
        <v>5043</v>
      </c>
      <c r="E2624" t="str">
        <f>"3571200402201"</f>
        <v>0</v>
      </c>
      <c r="F2624" t="str">
        <f>"003003"</f>
        <v>0</v>
      </c>
      <c r="G2624" t="s">
        <v>18359</v>
      </c>
    </row>
    <row r="2625" spans="1:7">
      <c r="A2625">
        <v>2624</v>
      </c>
      <c r="B2625" t="str">
        <f>"015198"</f>
        <v>0</v>
      </c>
      <c r="C2625" t="s">
        <v>4278</v>
      </c>
      <c r="D2625" t="s">
        <v>21659</v>
      </c>
      <c r="E2625" t="str">
        <f>"3330101220393"</f>
        <v>0</v>
      </c>
      <c r="F2625" t="str">
        <f>"003003"</f>
        <v>0</v>
      </c>
      <c r="G2625" t="s">
        <v>18359</v>
      </c>
    </row>
    <row r="2626" spans="1:7">
      <c r="A2626">
        <v>2625</v>
      </c>
      <c r="B2626" t="str">
        <f>"026844"</f>
        <v>0</v>
      </c>
      <c r="C2626" t="s">
        <v>21660</v>
      </c>
      <c r="D2626" t="s">
        <v>21661</v>
      </c>
      <c r="E2626" t="str">
        <f>"1409900312559"</f>
        <v>0</v>
      </c>
      <c r="F2626" t="str">
        <f>"003003"</f>
        <v>0</v>
      </c>
      <c r="G2626" t="s">
        <v>18359</v>
      </c>
    </row>
    <row r="2627" spans="1:7">
      <c r="A2627">
        <v>2626</v>
      </c>
      <c r="B2627" t="str">
        <f>"022031"</f>
        <v>0</v>
      </c>
      <c r="C2627" t="s">
        <v>21441</v>
      </c>
      <c r="D2627" t="s">
        <v>21662</v>
      </c>
      <c r="E2627" t="str">
        <f>"3330401343334"</f>
        <v>0</v>
      </c>
      <c r="F2627" t="str">
        <f>"003003"</f>
        <v>0</v>
      </c>
      <c r="G2627" t="s">
        <v>18359</v>
      </c>
    </row>
    <row r="2628" spans="1:7">
      <c r="A2628">
        <v>2627</v>
      </c>
      <c r="B2628" t="str">
        <f>"013979"</f>
        <v>0</v>
      </c>
      <c r="C2628" t="s">
        <v>7554</v>
      </c>
      <c r="D2628" t="s">
        <v>21663</v>
      </c>
      <c r="E2628" t="str">
        <f>"3949900233260"</f>
        <v>0</v>
      </c>
      <c r="F2628" t="str">
        <f>"007010"</f>
        <v>0</v>
      </c>
      <c r="G2628" t="s">
        <v>18359</v>
      </c>
    </row>
    <row r="2629" spans="1:7">
      <c r="A2629">
        <v>2628</v>
      </c>
      <c r="B2629" t="str">
        <f>"013621"</f>
        <v>0</v>
      </c>
      <c r="C2629" t="s">
        <v>694</v>
      </c>
      <c r="D2629" t="s">
        <v>21664</v>
      </c>
      <c r="E2629" t="str">
        <f>"3460800063814"</f>
        <v>0</v>
      </c>
      <c r="F2629" t="str">
        <f>"007010"</f>
        <v>0</v>
      </c>
      <c r="G2629" t="s">
        <v>18359</v>
      </c>
    </row>
    <row r="2630" spans="1:7">
      <c r="A2630">
        <v>2629</v>
      </c>
      <c r="B2630" t="str">
        <f>"013064"</f>
        <v>0</v>
      </c>
      <c r="C2630" t="s">
        <v>3364</v>
      </c>
      <c r="D2630" t="s">
        <v>21665</v>
      </c>
      <c r="E2630" t="str">
        <f>"3600300334434"</f>
        <v>0</v>
      </c>
      <c r="F2630" t="str">
        <f>"007010"</f>
        <v>0</v>
      </c>
      <c r="G2630" t="s">
        <v>18359</v>
      </c>
    </row>
    <row r="2631" spans="1:7">
      <c r="A2631">
        <v>2630</v>
      </c>
      <c r="B2631" t="str">
        <f>"003627"</f>
        <v>0</v>
      </c>
      <c r="C2631" t="s">
        <v>12856</v>
      </c>
      <c r="D2631" t="s">
        <v>21666</v>
      </c>
      <c r="E2631" t="str">
        <f>"3100502546704"</f>
        <v>0</v>
      </c>
      <c r="F2631" t="str">
        <f>"007010"</f>
        <v>0</v>
      </c>
      <c r="G2631" t="s">
        <v>18359</v>
      </c>
    </row>
    <row r="2632" spans="1:7">
      <c r="A2632">
        <v>2631</v>
      </c>
      <c r="B2632" t="str">
        <f>"004705"</f>
        <v>0</v>
      </c>
      <c r="C2632" t="s">
        <v>13651</v>
      </c>
      <c r="D2632" t="s">
        <v>19078</v>
      </c>
      <c r="E2632" t="str">
        <f>"3100101209898"</f>
        <v>0</v>
      </c>
      <c r="F2632" t="str">
        <f>"007010"</f>
        <v>0</v>
      </c>
      <c r="G2632" t="s">
        <v>18359</v>
      </c>
    </row>
    <row r="2633" spans="1:7">
      <c r="A2633">
        <v>2632</v>
      </c>
      <c r="B2633" t="str">
        <f>"014587"</f>
        <v>0</v>
      </c>
      <c r="C2633" t="s">
        <v>21667</v>
      </c>
      <c r="D2633" t="s">
        <v>21668</v>
      </c>
      <c r="E2633" t="str">
        <f>"3460100273719"</f>
        <v>0</v>
      </c>
      <c r="F2633" t="str">
        <f>"007010"</f>
        <v>0</v>
      </c>
      <c r="G2633" t="s">
        <v>18359</v>
      </c>
    </row>
    <row r="2634" spans="1:7">
      <c r="A2634">
        <v>2633</v>
      </c>
      <c r="B2634" t="str">
        <f>"013179"</f>
        <v>0</v>
      </c>
      <c r="C2634" t="s">
        <v>21669</v>
      </c>
      <c r="D2634" t="s">
        <v>21670</v>
      </c>
      <c r="E2634" t="str">
        <f>"3520100842763"</f>
        <v>0</v>
      </c>
      <c r="F2634" t="str">
        <f>"007010"</f>
        <v>0</v>
      </c>
      <c r="G2634" t="s">
        <v>18359</v>
      </c>
    </row>
    <row r="2635" spans="1:7">
      <c r="A2635">
        <v>2634</v>
      </c>
      <c r="B2635" t="str">
        <f>"023551"</f>
        <v>0</v>
      </c>
      <c r="C2635" t="s">
        <v>21671</v>
      </c>
      <c r="D2635" t="s">
        <v>3762</v>
      </c>
      <c r="E2635" t="str">
        <f>"3600100246027"</f>
        <v>0</v>
      </c>
      <c r="F2635" t="str">
        <f>"007010"</f>
        <v>0</v>
      </c>
      <c r="G2635" t="s">
        <v>18359</v>
      </c>
    </row>
    <row r="2636" spans="1:7">
      <c r="A2636">
        <v>2635</v>
      </c>
      <c r="B2636" t="str">
        <f>"013344"</f>
        <v>0</v>
      </c>
      <c r="C2636" t="s">
        <v>587</v>
      </c>
      <c r="D2636" t="s">
        <v>17612</v>
      </c>
      <c r="E2636" t="str">
        <f>"3620101537114"</f>
        <v>0</v>
      </c>
      <c r="F2636" t="str">
        <f>"007010"</f>
        <v>0</v>
      </c>
      <c r="G2636" t="s">
        <v>18359</v>
      </c>
    </row>
    <row r="2637" spans="1:7">
      <c r="A2637">
        <v>2636</v>
      </c>
      <c r="B2637" t="str">
        <f>"015791"</f>
        <v>0</v>
      </c>
      <c r="C2637" t="s">
        <v>1947</v>
      </c>
      <c r="D2637" t="s">
        <v>21672</v>
      </c>
      <c r="E2637" t="str">
        <f>"3700500758407"</f>
        <v>0</v>
      </c>
      <c r="F2637" t="str">
        <f>"007010"</f>
        <v>0</v>
      </c>
      <c r="G2637" t="s">
        <v>18359</v>
      </c>
    </row>
    <row r="2638" spans="1:7">
      <c r="A2638">
        <v>2637</v>
      </c>
      <c r="B2638" t="str">
        <f>"016876"</f>
        <v>0</v>
      </c>
      <c r="C2638" t="s">
        <v>21673</v>
      </c>
      <c r="D2638" t="s">
        <v>21674</v>
      </c>
      <c r="E2638" t="str">
        <f>"3930100989914"</f>
        <v>0</v>
      </c>
      <c r="F2638" t="str">
        <f>"007010"</f>
        <v>0</v>
      </c>
      <c r="G2638" t="s">
        <v>18359</v>
      </c>
    </row>
    <row r="2639" spans="1:7">
      <c r="A2639">
        <v>2638</v>
      </c>
      <c r="B2639" t="str">
        <f>"017138"</f>
        <v>0</v>
      </c>
      <c r="C2639" t="s">
        <v>21675</v>
      </c>
      <c r="D2639" t="s">
        <v>21676</v>
      </c>
      <c r="E2639" t="str">
        <f>"3930300107851"</f>
        <v>0</v>
      </c>
      <c r="F2639" t="str">
        <f>"007010"</f>
        <v>0</v>
      </c>
      <c r="G2639" t="s">
        <v>18359</v>
      </c>
    </row>
    <row r="2640" spans="1:7">
      <c r="A2640">
        <v>2639</v>
      </c>
      <c r="B2640" t="str">
        <f>"027295"</f>
        <v>0</v>
      </c>
      <c r="C2640" t="s">
        <v>8663</v>
      </c>
      <c r="D2640" t="s">
        <v>21677</v>
      </c>
      <c r="E2640" t="str">
        <f>"1101402141642"</f>
        <v>0</v>
      </c>
      <c r="F2640" t="str">
        <f>"007010"</f>
        <v>0</v>
      </c>
      <c r="G2640" t="s">
        <v>18359</v>
      </c>
    </row>
    <row r="2641" spans="1:7">
      <c r="A2641">
        <v>2640</v>
      </c>
      <c r="B2641" t="str">
        <f>"018187"</f>
        <v>0</v>
      </c>
      <c r="C2641" t="s">
        <v>21678</v>
      </c>
      <c r="D2641" t="s">
        <v>21679</v>
      </c>
      <c r="E2641" t="str">
        <f>"3309900232765"</f>
        <v>0</v>
      </c>
      <c r="F2641" t="str">
        <f>"007010"</f>
        <v>0</v>
      </c>
      <c r="G2641" t="s">
        <v>18359</v>
      </c>
    </row>
    <row r="2642" spans="1:7">
      <c r="A2642">
        <v>2641</v>
      </c>
      <c r="B2642" t="str">
        <f>"019816"</f>
        <v>0</v>
      </c>
      <c r="C2642" t="s">
        <v>8969</v>
      </c>
      <c r="D2642" t="s">
        <v>11309</v>
      </c>
      <c r="E2642" t="str">
        <f>"3710900049063"</f>
        <v>0</v>
      </c>
      <c r="F2642" t="str">
        <f>"007010"</f>
        <v>0</v>
      </c>
      <c r="G2642" t="s">
        <v>18359</v>
      </c>
    </row>
    <row r="2643" spans="1:7">
      <c r="A2643">
        <v>2642</v>
      </c>
      <c r="B2643" t="str">
        <f>"023872"</f>
        <v>0</v>
      </c>
      <c r="C2643" t="s">
        <v>4018</v>
      </c>
      <c r="D2643" t="s">
        <v>21680</v>
      </c>
      <c r="E2643" t="str">
        <f>"1100700555967"</f>
        <v>0</v>
      </c>
      <c r="F2643" t="str">
        <f>"007010"</f>
        <v>0</v>
      </c>
      <c r="G2643" t="s">
        <v>18359</v>
      </c>
    </row>
    <row r="2644" spans="1:7">
      <c r="A2644">
        <v>2643</v>
      </c>
      <c r="B2644" t="str">
        <f>"017289"</f>
        <v>0</v>
      </c>
      <c r="C2644" t="s">
        <v>11367</v>
      </c>
      <c r="D2644" t="s">
        <v>21681</v>
      </c>
      <c r="E2644" t="str">
        <f>"3220300372330"</f>
        <v>0</v>
      </c>
      <c r="F2644" t="str">
        <f>"007010"</f>
        <v>0</v>
      </c>
      <c r="G2644" t="s">
        <v>18359</v>
      </c>
    </row>
    <row r="2645" spans="1:7">
      <c r="A2645">
        <v>2644</v>
      </c>
      <c r="B2645" t="str">
        <f>"020274"</f>
        <v>0</v>
      </c>
      <c r="C2645" t="s">
        <v>14426</v>
      </c>
      <c r="D2645" t="s">
        <v>21682</v>
      </c>
      <c r="E2645" t="str">
        <f>"3820800330631"</f>
        <v>0</v>
      </c>
      <c r="F2645" t="str">
        <f>"007010"</f>
        <v>0</v>
      </c>
      <c r="G2645" t="s">
        <v>18359</v>
      </c>
    </row>
    <row r="2646" spans="1:7">
      <c r="A2646">
        <v>2645</v>
      </c>
      <c r="B2646" t="str">
        <f>"025021"</f>
        <v>0</v>
      </c>
      <c r="C2646" t="s">
        <v>18856</v>
      </c>
      <c r="D2646" t="s">
        <v>21683</v>
      </c>
      <c r="E2646" t="str">
        <f>"1129800052477"</f>
        <v>0</v>
      </c>
      <c r="F2646" t="str">
        <f>"007010"</f>
        <v>0</v>
      </c>
      <c r="G2646" t="s">
        <v>18359</v>
      </c>
    </row>
    <row r="2647" spans="1:7">
      <c r="A2647">
        <v>2646</v>
      </c>
      <c r="B2647" t="str">
        <f>"014942"</f>
        <v>0</v>
      </c>
      <c r="C2647" t="s">
        <v>21684</v>
      </c>
      <c r="D2647" t="s">
        <v>21685</v>
      </c>
      <c r="E2647" t="str">
        <f>"3650101182596"</f>
        <v>0</v>
      </c>
      <c r="F2647" t="str">
        <f>"007010"</f>
        <v>0</v>
      </c>
      <c r="G2647" t="s">
        <v>18359</v>
      </c>
    </row>
    <row r="2648" spans="1:7">
      <c r="A2648">
        <v>2647</v>
      </c>
      <c r="B2648" t="str">
        <f>"018591"</f>
        <v>0</v>
      </c>
      <c r="C2648" t="s">
        <v>12247</v>
      </c>
      <c r="D2648" t="s">
        <v>21686</v>
      </c>
      <c r="E2648" t="str">
        <f>"3650800838202"</f>
        <v>0</v>
      </c>
      <c r="F2648" t="str">
        <f>"007010"</f>
        <v>0</v>
      </c>
      <c r="G2648" t="s">
        <v>18359</v>
      </c>
    </row>
    <row r="2649" spans="1:7">
      <c r="A2649">
        <v>2648</v>
      </c>
      <c r="B2649" t="str">
        <f>"022439"</f>
        <v>0</v>
      </c>
      <c r="C2649" t="s">
        <v>616</v>
      </c>
      <c r="D2649" t="s">
        <v>21687</v>
      </c>
      <c r="E2649" t="str">
        <f>"3660600297666"</f>
        <v>0</v>
      </c>
      <c r="F2649" t="str">
        <f>"007010"</f>
        <v>0</v>
      </c>
      <c r="G2649" t="s">
        <v>18359</v>
      </c>
    </row>
    <row r="2650" spans="1:7">
      <c r="A2650">
        <v>2649</v>
      </c>
      <c r="B2650" t="str">
        <f>"023372"</f>
        <v>0</v>
      </c>
      <c r="C2650" t="s">
        <v>18244</v>
      </c>
      <c r="D2650" t="s">
        <v>21688</v>
      </c>
      <c r="E2650" t="str">
        <f>"3650801032031"</f>
        <v>0</v>
      </c>
      <c r="F2650" t="str">
        <f>"007010"</f>
        <v>0</v>
      </c>
      <c r="G2650" t="s">
        <v>18359</v>
      </c>
    </row>
    <row r="2651" spans="1:7">
      <c r="A2651">
        <v>2650</v>
      </c>
      <c r="B2651" t="str">
        <f>"017337"</f>
        <v>0</v>
      </c>
      <c r="C2651" t="s">
        <v>21689</v>
      </c>
      <c r="D2651" t="s">
        <v>21690</v>
      </c>
      <c r="E2651" t="str">
        <f>"3401000749909"</f>
        <v>0</v>
      </c>
      <c r="F2651" t="str">
        <f>"007010"</f>
        <v>0</v>
      </c>
      <c r="G2651" t="s">
        <v>18359</v>
      </c>
    </row>
    <row r="2652" spans="1:7">
      <c r="A2652">
        <v>2651</v>
      </c>
      <c r="B2652" t="str">
        <f>"017431"</f>
        <v>0</v>
      </c>
      <c r="C2652" t="s">
        <v>21691</v>
      </c>
      <c r="D2652" t="s">
        <v>21692</v>
      </c>
      <c r="E2652" t="str">
        <f>"3300700253884"</f>
        <v>0</v>
      </c>
      <c r="F2652" t="str">
        <f>"007010"</f>
        <v>0</v>
      </c>
      <c r="G2652" t="s">
        <v>18359</v>
      </c>
    </row>
    <row r="2653" spans="1:7">
      <c r="A2653">
        <v>2652</v>
      </c>
      <c r="B2653" t="str">
        <f>"018448"</f>
        <v>0</v>
      </c>
      <c r="C2653" t="s">
        <v>1204</v>
      </c>
      <c r="D2653" t="s">
        <v>21693</v>
      </c>
      <c r="E2653" t="str">
        <f>"5340100009423"</f>
        <v>0</v>
      </c>
      <c r="F2653" t="str">
        <f>"007010"</f>
        <v>0</v>
      </c>
      <c r="G2653" t="s">
        <v>18359</v>
      </c>
    </row>
    <row r="2654" spans="1:7">
      <c r="A2654">
        <v>2653</v>
      </c>
      <c r="B2654" t="str">
        <f>"019674"</f>
        <v>0</v>
      </c>
      <c r="C2654" t="s">
        <v>4824</v>
      </c>
      <c r="D2654" t="s">
        <v>21694</v>
      </c>
      <c r="E2654" t="str">
        <f>"3301700091974"</f>
        <v>0</v>
      </c>
      <c r="F2654" t="str">
        <f>"007010"</f>
        <v>0</v>
      </c>
      <c r="G2654" t="s">
        <v>18359</v>
      </c>
    </row>
    <row r="2655" spans="1:7">
      <c r="A2655">
        <v>2654</v>
      </c>
      <c r="B2655" t="str">
        <f>"026650"</f>
        <v>0</v>
      </c>
      <c r="C2655" t="s">
        <v>21695</v>
      </c>
      <c r="D2655" t="s">
        <v>21696</v>
      </c>
      <c r="E2655" t="str">
        <f>"5310700079066"</f>
        <v>0</v>
      </c>
      <c r="F2655" t="str">
        <f>"007010"</f>
        <v>0</v>
      </c>
      <c r="G2655" t="s">
        <v>18359</v>
      </c>
    </row>
    <row r="2656" spans="1:7">
      <c r="A2656">
        <v>2655</v>
      </c>
      <c r="B2656" t="str">
        <f>"024308"</f>
        <v>0</v>
      </c>
      <c r="C2656" t="s">
        <v>21697</v>
      </c>
      <c r="D2656" t="s">
        <v>21698</v>
      </c>
      <c r="E2656" t="str">
        <f>"1500200104971"</f>
        <v>0</v>
      </c>
      <c r="F2656" t="str">
        <f>"007010"</f>
        <v>0</v>
      </c>
      <c r="G2656" t="s">
        <v>18359</v>
      </c>
    </row>
    <row r="2657" spans="1:7">
      <c r="A2657">
        <v>2656</v>
      </c>
      <c r="B2657" t="str">
        <f>"025729"</f>
        <v>0</v>
      </c>
      <c r="C2657" t="s">
        <v>21699</v>
      </c>
      <c r="D2657" t="s">
        <v>21700</v>
      </c>
      <c r="E2657" t="str">
        <f>"3500500270139"</f>
        <v>0</v>
      </c>
      <c r="F2657" t="str">
        <f>"007010"</f>
        <v>0</v>
      </c>
      <c r="G2657" t="s">
        <v>18359</v>
      </c>
    </row>
    <row r="2658" spans="1:7">
      <c r="A2658">
        <v>2657</v>
      </c>
      <c r="B2658" t="str">
        <f>"013888"</f>
        <v>0</v>
      </c>
      <c r="C2658" t="s">
        <v>21701</v>
      </c>
      <c r="D2658" t="s">
        <v>21702</v>
      </c>
      <c r="E2658" t="str">
        <f>"3510600521877"</f>
        <v>0</v>
      </c>
      <c r="F2658" t="str">
        <f>"007010"</f>
        <v>0</v>
      </c>
      <c r="G2658" t="s">
        <v>18359</v>
      </c>
    </row>
    <row r="2659" spans="1:7">
      <c r="A2659">
        <v>2658</v>
      </c>
      <c r="B2659" t="str">
        <f>"008437"</f>
        <v>0</v>
      </c>
      <c r="C2659" t="s">
        <v>8875</v>
      </c>
      <c r="D2659" t="s">
        <v>21703</v>
      </c>
      <c r="E2659" t="str">
        <f>"3659900482882"</f>
        <v>0</v>
      </c>
      <c r="F2659" t="str">
        <f>"007010"</f>
        <v>0</v>
      </c>
      <c r="G2659" t="s">
        <v>18359</v>
      </c>
    </row>
    <row r="2660" spans="1:7">
      <c r="A2660">
        <v>2659</v>
      </c>
      <c r="B2660" t="str">
        <f>"016895"</f>
        <v>0</v>
      </c>
      <c r="C2660" t="s">
        <v>21704</v>
      </c>
      <c r="D2660" t="s">
        <v>21705</v>
      </c>
      <c r="E2660" t="str">
        <f>"3820100148252"</f>
        <v>0</v>
      </c>
      <c r="F2660" t="str">
        <f>"007010"</f>
        <v>0</v>
      </c>
      <c r="G2660" t="s">
        <v>18359</v>
      </c>
    </row>
    <row r="2661" spans="1:7">
      <c r="A2661">
        <v>2660</v>
      </c>
      <c r="B2661" t="str">
        <f>"017716"</f>
        <v>0</v>
      </c>
      <c r="C2661" t="s">
        <v>21706</v>
      </c>
      <c r="D2661" t="s">
        <v>21707</v>
      </c>
      <c r="E2661" t="str">
        <f>"3521200480651"</f>
        <v>0</v>
      </c>
      <c r="F2661" t="str">
        <f>"007010"</f>
        <v>0</v>
      </c>
      <c r="G2661" t="s">
        <v>18359</v>
      </c>
    </row>
    <row r="2662" spans="1:7">
      <c r="A2662">
        <v>2661</v>
      </c>
      <c r="B2662" t="str">
        <f>"018291"</f>
        <v>0</v>
      </c>
      <c r="C2662" t="s">
        <v>445</v>
      </c>
      <c r="D2662" t="s">
        <v>17593</v>
      </c>
      <c r="E2662" t="str">
        <f>"3520100991190"</f>
        <v>0</v>
      </c>
      <c r="F2662" t="str">
        <f>"007010"</f>
        <v>0</v>
      </c>
      <c r="G2662" t="s">
        <v>18359</v>
      </c>
    </row>
    <row r="2663" spans="1:7">
      <c r="A2663">
        <v>2662</v>
      </c>
      <c r="B2663" t="str">
        <f>"019001"</f>
        <v>0</v>
      </c>
      <c r="C2663" t="s">
        <v>2762</v>
      </c>
      <c r="D2663" t="s">
        <v>9217</v>
      </c>
      <c r="E2663" t="str">
        <f>"3520100722288"</f>
        <v>0</v>
      </c>
      <c r="F2663" t="str">
        <f>"007010"</f>
        <v>0</v>
      </c>
      <c r="G2663" t="s">
        <v>18359</v>
      </c>
    </row>
    <row r="2664" spans="1:7">
      <c r="A2664">
        <v>2663</v>
      </c>
      <c r="B2664" t="str">
        <f>"023520"</f>
        <v>0</v>
      </c>
      <c r="C2664" t="s">
        <v>21708</v>
      </c>
      <c r="D2664" t="s">
        <v>21709</v>
      </c>
      <c r="E2664" t="str">
        <f>"3520100599699"</f>
        <v>0</v>
      </c>
      <c r="F2664" t="str">
        <f>"007010"</f>
        <v>0</v>
      </c>
      <c r="G2664" t="s">
        <v>18359</v>
      </c>
    </row>
    <row r="2665" spans="1:7">
      <c r="A2665">
        <v>2664</v>
      </c>
      <c r="B2665" t="str">
        <f>"013958"</f>
        <v>0</v>
      </c>
      <c r="C2665" t="s">
        <v>21710</v>
      </c>
      <c r="D2665" t="s">
        <v>20337</v>
      </c>
      <c r="E2665" t="str">
        <f>"3550100520197"</f>
        <v>0</v>
      </c>
      <c r="F2665" t="str">
        <f>"007010"</f>
        <v>0</v>
      </c>
      <c r="G2665" t="s">
        <v>18359</v>
      </c>
    </row>
    <row r="2666" spans="1:7">
      <c r="A2666">
        <v>2665</v>
      </c>
      <c r="B2666" t="str">
        <f>"017420"</f>
        <v>0</v>
      </c>
      <c r="C2666" t="s">
        <v>21711</v>
      </c>
      <c r="D2666" t="s">
        <v>21712</v>
      </c>
      <c r="E2666" t="str">
        <f>"3600700402046"</f>
        <v>0</v>
      </c>
      <c r="F2666" t="str">
        <f>"007010"</f>
        <v>0</v>
      </c>
      <c r="G2666" t="s">
        <v>18359</v>
      </c>
    </row>
    <row r="2667" spans="1:7">
      <c r="A2667">
        <v>2666</v>
      </c>
      <c r="B2667" t="str">
        <f>"022382"</f>
        <v>0</v>
      </c>
      <c r="C2667" t="s">
        <v>21713</v>
      </c>
      <c r="D2667" t="s">
        <v>21714</v>
      </c>
      <c r="E2667" t="str">
        <f>"3180200203430"</f>
        <v>0</v>
      </c>
      <c r="F2667" t="str">
        <f>"007010"</f>
        <v>0</v>
      </c>
      <c r="G2667" t="s">
        <v>18359</v>
      </c>
    </row>
    <row r="2668" spans="1:7">
      <c r="A2668">
        <v>2667</v>
      </c>
      <c r="B2668" t="str">
        <f>"022066"</f>
        <v>0</v>
      </c>
      <c r="C2668" t="s">
        <v>21715</v>
      </c>
      <c r="D2668" t="s">
        <v>21716</v>
      </c>
      <c r="E2668" t="str">
        <f>"3600500571901"</f>
        <v>0</v>
      </c>
      <c r="F2668" t="str">
        <f>"007010"</f>
        <v>0</v>
      </c>
      <c r="G2668" t="s">
        <v>18359</v>
      </c>
    </row>
    <row r="2669" spans="1:7">
      <c r="A2669">
        <v>2668</v>
      </c>
      <c r="B2669" t="str">
        <f>"024208"</f>
        <v>0</v>
      </c>
      <c r="C2669" t="s">
        <v>520</v>
      </c>
      <c r="D2669" t="s">
        <v>21717</v>
      </c>
      <c r="E2669" t="str">
        <f>"3600700645089"</f>
        <v>0</v>
      </c>
      <c r="F2669" t="str">
        <f>"007010"</f>
        <v>0</v>
      </c>
      <c r="G2669" t="s">
        <v>18359</v>
      </c>
    </row>
    <row r="2670" spans="1:7">
      <c r="A2670">
        <v>2669</v>
      </c>
      <c r="B2670" t="str">
        <f>"021786"</f>
        <v>0</v>
      </c>
      <c r="C2670" t="s">
        <v>1190</v>
      </c>
      <c r="D2670" t="s">
        <v>21718</v>
      </c>
      <c r="E2670" t="str">
        <f>"3100602844995"</f>
        <v>0</v>
      </c>
      <c r="F2670" t="str">
        <f>"007010"</f>
        <v>0</v>
      </c>
      <c r="G2670" t="s">
        <v>18359</v>
      </c>
    </row>
    <row r="2671" spans="1:7">
      <c r="A2671">
        <v>2670</v>
      </c>
      <c r="B2671" t="str">
        <f>"019160"</f>
        <v>0</v>
      </c>
      <c r="C2671" t="s">
        <v>21719</v>
      </c>
      <c r="D2671" t="s">
        <v>21720</v>
      </c>
      <c r="E2671" t="str">
        <f>"3140300009953"</f>
        <v>0</v>
      </c>
      <c r="F2671" t="str">
        <f>"007010"</f>
        <v>0</v>
      </c>
      <c r="G2671" t="s">
        <v>18359</v>
      </c>
    </row>
    <row r="2672" spans="1:7">
      <c r="A2672">
        <v>2671</v>
      </c>
      <c r="B2672" t="str">
        <f>"014113"</f>
        <v>0</v>
      </c>
      <c r="C2672" t="s">
        <v>21721</v>
      </c>
      <c r="D2672" t="s">
        <v>21722</v>
      </c>
      <c r="E2672" t="str">
        <f>"3670500970741"</f>
        <v>0</v>
      </c>
      <c r="F2672" t="str">
        <f>"007010"</f>
        <v>0</v>
      </c>
      <c r="G2672" t="s">
        <v>18359</v>
      </c>
    </row>
    <row r="2673" spans="1:7">
      <c r="A2673">
        <v>2672</v>
      </c>
      <c r="B2673" t="str">
        <f>"019240"</f>
        <v>0</v>
      </c>
      <c r="C2673" t="s">
        <v>12531</v>
      </c>
      <c r="D2673" t="s">
        <v>1932</v>
      </c>
      <c r="E2673" t="str">
        <f>"5160100034888"</f>
        <v>0</v>
      </c>
      <c r="F2673" t="str">
        <f>"007010"</f>
        <v>0</v>
      </c>
      <c r="G2673" t="s">
        <v>18359</v>
      </c>
    </row>
    <row r="2674" spans="1:7">
      <c r="A2674">
        <v>2673</v>
      </c>
      <c r="B2674" t="str">
        <f>"022498"</f>
        <v>0</v>
      </c>
      <c r="C2674" t="s">
        <v>8981</v>
      </c>
      <c r="D2674" t="s">
        <v>21723</v>
      </c>
      <c r="E2674" t="str">
        <f>"3190900003093"</f>
        <v>0</v>
      </c>
      <c r="F2674" t="str">
        <f>"007010"</f>
        <v>0</v>
      </c>
      <c r="G2674" t="s">
        <v>18359</v>
      </c>
    </row>
    <row r="2675" spans="1:7">
      <c r="A2675">
        <v>2674</v>
      </c>
      <c r="B2675" t="str">
        <f>"022270"</f>
        <v>0</v>
      </c>
      <c r="C2675" t="s">
        <v>21724</v>
      </c>
      <c r="D2675" t="s">
        <v>21725</v>
      </c>
      <c r="E2675" t="str">
        <f>"3469900123396"</f>
        <v>0</v>
      </c>
      <c r="F2675" t="str">
        <f>"007010"</f>
        <v>0</v>
      </c>
      <c r="G2675" t="s">
        <v>18359</v>
      </c>
    </row>
    <row r="2676" spans="1:7">
      <c r="A2676">
        <v>2675</v>
      </c>
      <c r="B2676" t="str">
        <f>"017920"</f>
        <v>0</v>
      </c>
      <c r="C2676" t="s">
        <v>239</v>
      </c>
      <c r="D2676" t="s">
        <v>21726</v>
      </c>
      <c r="E2676" t="str">
        <f>"3801300434233"</f>
        <v>0</v>
      </c>
      <c r="F2676" t="str">
        <f>"007010"</f>
        <v>0</v>
      </c>
      <c r="G2676" t="s">
        <v>18359</v>
      </c>
    </row>
    <row r="2677" spans="1:7">
      <c r="A2677">
        <v>2676</v>
      </c>
      <c r="B2677" t="str">
        <f>"012107"</f>
        <v>0</v>
      </c>
      <c r="C2677" t="s">
        <v>21727</v>
      </c>
      <c r="D2677" t="s">
        <v>17639</v>
      </c>
      <c r="E2677" t="str">
        <f>"3930500646259"</f>
        <v>0</v>
      </c>
      <c r="F2677" t="str">
        <f>"007010"</f>
        <v>0</v>
      </c>
      <c r="G2677" t="s">
        <v>18359</v>
      </c>
    </row>
    <row r="2678" spans="1:7">
      <c r="A2678">
        <v>2677</v>
      </c>
      <c r="B2678" t="str">
        <f>"013775"</f>
        <v>0</v>
      </c>
      <c r="C2678" t="s">
        <v>21728</v>
      </c>
      <c r="D2678" t="s">
        <v>17850</v>
      </c>
      <c r="E2678" t="str">
        <f>"3930600373092"</f>
        <v>0</v>
      </c>
      <c r="F2678" t="str">
        <f>"007010"</f>
        <v>0</v>
      </c>
      <c r="G2678" t="s">
        <v>18359</v>
      </c>
    </row>
    <row r="2679" spans="1:7">
      <c r="A2679">
        <v>2678</v>
      </c>
      <c r="B2679" t="str">
        <f>"016175"</f>
        <v>0</v>
      </c>
      <c r="C2679" t="s">
        <v>2076</v>
      </c>
      <c r="D2679" t="s">
        <v>14459</v>
      </c>
      <c r="E2679" t="str">
        <f>"3900900300481"</f>
        <v>0</v>
      </c>
      <c r="F2679" t="str">
        <f>"007010"</f>
        <v>0</v>
      </c>
      <c r="G2679" t="s">
        <v>18359</v>
      </c>
    </row>
    <row r="2680" spans="1:7">
      <c r="A2680">
        <v>2679</v>
      </c>
      <c r="B2680" t="str">
        <f>"023617"</f>
        <v>0</v>
      </c>
      <c r="C2680" t="s">
        <v>21729</v>
      </c>
      <c r="D2680" t="s">
        <v>21730</v>
      </c>
      <c r="E2680" t="str">
        <f>"5939900001217"</f>
        <v>0</v>
      </c>
      <c r="F2680" t="str">
        <f>"007010"</f>
        <v>0</v>
      </c>
      <c r="G2680" t="s">
        <v>18359</v>
      </c>
    </row>
    <row r="2681" spans="1:7">
      <c r="A2681">
        <v>2680</v>
      </c>
      <c r="B2681" t="str">
        <f>"023618"</f>
        <v>0</v>
      </c>
      <c r="C2681" t="s">
        <v>21731</v>
      </c>
      <c r="D2681" t="s">
        <v>21732</v>
      </c>
      <c r="E2681" t="str">
        <f>"3930100230250"</f>
        <v>0</v>
      </c>
      <c r="F2681" t="str">
        <f>"007010"</f>
        <v>0</v>
      </c>
      <c r="G2681" t="s">
        <v>18359</v>
      </c>
    </row>
    <row r="2682" spans="1:7">
      <c r="A2682">
        <v>2681</v>
      </c>
      <c r="B2682" t="str">
        <f>"014978"</f>
        <v>0</v>
      </c>
      <c r="C2682" t="s">
        <v>2360</v>
      </c>
      <c r="D2682" t="s">
        <v>21733</v>
      </c>
      <c r="E2682" t="str">
        <f>"3930500226969"</f>
        <v>0</v>
      </c>
      <c r="F2682" t="str">
        <f>"007010"</f>
        <v>0</v>
      </c>
      <c r="G2682" t="s">
        <v>18359</v>
      </c>
    </row>
    <row r="2683" spans="1:7">
      <c r="A2683">
        <v>2682</v>
      </c>
      <c r="B2683" t="str">
        <f>"015232"</f>
        <v>0</v>
      </c>
      <c r="C2683" t="s">
        <v>21734</v>
      </c>
      <c r="D2683" t="s">
        <v>21735</v>
      </c>
      <c r="E2683" t="str">
        <f>"3500600463958"</f>
        <v>0</v>
      </c>
      <c r="F2683" t="str">
        <f>"007010"</f>
        <v>0</v>
      </c>
      <c r="G2683" t="s">
        <v>18359</v>
      </c>
    </row>
    <row r="2684" spans="1:7">
      <c r="A2684">
        <v>2683</v>
      </c>
      <c r="B2684" t="str">
        <f>"015672"</f>
        <v>0</v>
      </c>
      <c r="C2684" t="s">
        <v>6770</v>
      </c>
      <c r="D2684" t="s">
        <v>21665</v>
      </c>
      <c r="E2684" t="str">
        <f>"3501200416422"</f>
        <v>0</v>
      </c>
      <c r="F2684" t="str">
        <f>"007010"</f>
        <v>0</v>
      </c>
      <c r="G2684" t="s">
        <v>18359</v>
      </c>
    </row>
    <row r="2685" spans="1:7">
      <c r="A2685">
        <v>2684</v>
      </c>
      <c r="B2685" t="str">
        <f>"015674"</f>
        <v>0</v>
      </c>
      <c r="C2685" t="s">
        <v>21736</v>
      </c>
      <c r="D2685" t="s">
        <v>17868</v>
      </c>
      <c r="E2685" t="str">
        <f>"3550100496636"</f>
        <v>0</v>
      </c>
      <c r="F2685" t="str">
        <f>"007010"</f>
        <v>0</v>
      </c>
      <c r="G2685" t="s">
        <v>18359</v>
      </c>
    </row>
    <row r="2686" spans="1:7">
      <c r="A2686">
        <v>2685</v>
      </c>
      <c r="B2686" t="str">
        <f>"019328"</f>
        <v>0</v>
      </c>
      <c r="C2686" t="s">
        <v>21737</v>
      </c>
      <c r="D2686" t="s">
        <v>21738</v>
      </c>
      <c r="E2686" t="str">
        <f>"3509900750071"</f>
        <v>0</v>
      </c>
      <c r="F2686" t="str">
        <f>"007010"</f>
        <v>0</v>
      </c>
      <c r="G2686" t="s">
        <v>18359</v>
      </c>
    </row>
    <row r="2687" spans="1:7">
      <c r="A2687">
        <v>2686</v>
      </c>
      <c r="B2687" t="str">
        <f>"010337"</f>
        <v>0</v>
      </c>
      <c r="C2687" t="s">
        <v>2101</v>
      </c>
      <c r="D2687" t="s">
        <v>21739</v>
      </c>
      <c r="E2687" t="str">
        <f>"3510300023944"</f>
        <v>0</v>
      </c>
      <c r="F2687" t="str">
        <f>"007010"</f>
        <v>0</v>
      </c>
      <c r="G2687" t="s">
        <v>18359</v>
      </c>
    </row>
    <row r="2688" spans="1:7">
      <c r="A2688">
        <v>2687</v>
      </c>
      <c r="B2688" t="str">
        <f>"027450"</f>
        <v>0</v>
      </c>
      <c r="C2688" t="s">
        <v>21740</v>
      </c>
      <c r="D2688" t="s">
        <v>14148</v>
      </c>
      <c r="E2688" t="str">
        <f>"1939900244401"</f>
        <v>0</v>
      </c>
      <c r="F2688" t="str">
        <f>"007010"</f>
        <v>0</v>
      </c>
      <c r="G2688" t="s">
        <v>18359</v>
      </c>
    </row>
    <row r="2689" spans="1:7">
      <c r="A2689">
        <v>2688</v>
      </c>
      <c r="B2689" t="str">
        <f>"011307"</f>
        <v>0</v>
      </c>
      <c r="C2689" t="s">
        <v>5347</v>
      </c>
      <c r="D2689" t="s">
        <v>5276</v>
      </c>
      <c r="E2689" t="str">
        <f>"3909900480348"</f>
        <v>0</v>
      </c>
      <c r="F2689" t="str">
        <f>"007010"</f>
        <v>0</v>
      </c>
      <c r="G2689" t="s">
        <v>18359</v>
      </c>
    </row>
    <row r="2690" spans="1:7">
      <c r="A2690">
        <v>2689</v>
      </c>
      <c r="B2690" t="str">
        <f>"014568"</f>
        <v>0</v>
      </c>
      <c r="C2690" t="s">
        <v>5919</v>
      </c>
      <c r="D2690" t="s">
        <v>21741</v>
      </c>
      <c r="E2690" t="str">
        <f>"3569900104641"</f>
        <v>0</v>
      </c>
      <c r="F2690" t="str">
        <f>"007010"</f>
        <v>0</v>
      </c>
      <c r="G2690" t="s">
        <v>18359</v>
      </c>
    </row>
    <row r="2691" spans="1:7">
      <c r="A2691">
        <v>2690</v>
      </c>
      <c r="B2691" t="str">
        <f>"018473"</f>
        <v>0</v>
      </c>
      <c r="C2691" t="s">
        <v>21742</v>
      </c>
      <c r="D2691" t="s">
        <v>21743</v>
      </c>
      <c r="E2691" t="str">
        <f>"3560101003056"</f>
        <v>0</v>
      </c>
      <c r="F2691" t="str">
        <f>"007010"</f>
        <v>0</v>
      </c>
      <c r="G2691" t="s">
        <v>18359</v>
      </c>
    </row>
    <row r="2692" spans="1:7">
      <c r="A2692">
        <v>2691</v>
      </c>
      <c r="B2692" t="str">
        <f>"026552"</f>
        <v>0</v>
      </c>
      <c r="C2692" t="s">
        <v>21744</v>
      </c>
      <c r="D2692" t="s">
        <v>21745</v>
      </c>
      <c r="E2692" t="str">
        <f>"1729900104597"</f>
        <v>0</v>
      </c>
      <c r="F2692" t="str">
        <f>"007010"</f>
        <v>0</v>
      </c>
      <c r="G2692" t="s">
        <v>18359</v>
      </c>
    </row>
    <row r="2693" spans="1:7">
      <c r="A2693">
        <v>2692</v>
      </c>
      <c r="B2693" t="str">
        <f>"014601"</f>
        <v>0</v>
      </c>
      <c r="C2693" t="s">
        <v>5258</v>
      </c>
      <c r="D2693" t="s">
        <v>21746</v>
      </c>
      <c r="E2693" t="str">
        <f>"3579900001028"</f>
        <v>0</v>
      </c>
      <c r="F2693" t="str">
        <f>"007010"</f>
        <v>0</v>
      </c>
      <c r="G2693" t="s">
        <v>18359</v>
      </c>
    </row>
    <row r="2694" spans="1:7">
      <c r="A2694">
        <v>2693</v>
      </c>
      <c r="B2694" t="str">
        <f>"021317"</f>
        <v>0</v>
      </c>
      <c r="C2694" t="s">
        <v>1711</v>
      </c>
      <c r="D2694" t="s">
        <v>21747</v>
      </c>
      <c r="E2694" t="str">
        <f>"3570100296009"</f>
        <v>0</v>
      </c>
      <c r="F2694" t="str">
        <f>"007010"</f>
        <v>0</v>
      </c>
      <c r="G2694" t="s">
        <v>18359</v>
      </c>
    </row>
    <row r="2695" spans="1:7">
      <c r="A2695">
        <v>2694</v>
      </c>
      <c r="B2695" t="str">
        <f>"010242"</f>
        <v>0</v>
      </c>
      <c r="C2695" t="s">
        <v>518</v>
      </c>
      <c r="D2695" t="s">
        <v>21748</v>
      </c>
      <c r="E2695" t="str">
        <f>"3520100821391"</f>
        <v>0</v>
      </c>
      <c r="F2695" t="str">
        <f>"007010"</f>
        <v>0</v>
      </c>
      <c r="G2695" t="s">
        <v>18359</v>
      </c>
    </row>
    <row r="2696" spans="1:7">
      <c r="A2696">
        <v>2695</v>
      </c>
      <c r="B2696" t="str">
        <f>"017115"</f>
        <v>0</v>
      </c>
      <c r="C2696" t="s">
        <v>9057</v>
      </c>
      <c r="D2696" t="s">
        <v>21239</v>
      </c>
      <c r="E2696" t="str">
        <f>"3620100389375"</f>
        <v>0</v>
      </c>
      <c r="F2696" t="str">
        <f>"007010"</f>
        <v>0</v>
      </c>
      <c r="G2696" t="s">
        <v>18359</v>
      </c>
    </row>
    <row r="2697" spans="1:7">
      <c r="A2697">
        <v>2696</v>
      </c>
      <c r="B2697" t="str">
        <f>"020237"</f>
        <v>0</v>
      </c>
      <c r="C2697" t="s">
        <v>21749</v>
      </c>
      <c r="D2697" t="s">
        <v>21750</v>
      </c>
      <c r="E2697" t="str">
        <f>"3630100381242"</f>
        <v>0</v>
      </c>
      <c r="F2697" t="str">
        <f>"007010"</f>
        <v>0</v>
      </c>
      <c r="G2697" t="s">
        <v>18359</v>
      </c>
    </row>
    <row r="2698" spans="1:7">
      <c r="A2698">
        <v>2697</v>
      </c>
      <c r="B2698" t="str">
        <f>"027045"</f>
        <v>0</v>
      </c>
      <c r="C2698" t="s">
        <v>21751</v>
      </c>
      <c r="D2698" t="s">
        <v>21752</v>
      </c>
      <c r="E2698" t="str">
        <f>"3620100411443"</f>
        <v>0</v>
      </c>
      <c r="F2698" t="str">
        <f>"007010"</f>
        <v>0</v>
      </c>
      <c r="G2698" t="s">
        <v>18359</v>
      </c>
    </row>
    <row r="2699" spans="1:7">
      <c r="A2699">
        <v>2698</v>
      </c>
      <c r="B2699" t="str">
        <f>"027431"</f>
        <v>0</v>
      </c>
      <c r="C2699" t="s">
        <v>1089</v>
      </c>
      <c r="D2699" t="s">
        <v>21753</v>
      </c>
      <c r="E2699" t="str">
        <f>"1103700326341"</f>
        <v>0</v>
      </c>
      <c r="F2699" t="str">
        <f>"007010"</f>
        <v>0</v>
      </c>
      <c r="G2699" t="s">
        <v>18359</v>
      </c>
    </row>
    <row r="2700" spans="1:7">
      <c r="A2700">
        <v>2699</v>
      </c>
      <c r="B2700" t="str">
        <f>"016783"</f>
        <v>0</v>
      </c>
      <c r="C2700" t="s">
        <v>21754</v>
      </c>
      <c r="D2700" t="s">
        <v>21755</v>
      </c>
      <c r="E2700" t="str">
        <f>"3330400865116"</f>
        <v>0</v>
      </c>
      <c r="F2700" t="str">
        <f>"007010"</f>
        <v>0</v>
      </c>
      <c r="G2700" t="s">
        <v>18359</v>
      </c>
    </row>
    <row r="2701" spans="1:7">
      <c r="A2701">
        <v>2700</v>
      </c>
      <c r="B2701" t="str">
        <f>"013663"</f>
        <v>0</v>
      </c>
      <c r="C2701" t="s">
        <v>389</v>
      </c>
      <c r="D2701" t="s">
        <v>21756</v>
      </c>
      <c r="E2701" t="str">
        <f>"3350100586050"</f>
        <v>0</v>
      </c>
      <c r="F2701" t="str">
        <f>"007010"</f>
        <v>0</v>
      </c>
      <c r="G2701" t="s">
        <v>18359</v>
      </c>
    </row>
    <row r="2702" spans="1:7">
      <c r="A2702">
        <v>2701</v>
      </c>
      <c r="B2702" t="str">
        <f>"015479"</f>
        <v>0</v>
      </c>
      <c r="C2702" t="s">
        <v>4088</v>
      </c>
      <c r="D2702" t="s">
        <v>17937</v>
      </c>
      <c r="E2702" t="str">
        <f>"3190700054735"</f>
        <v>0</v>
      </c>
      <c r="F2702" t="str">
        <f>"007010"</f>
        <v>0</v>
      </c>
      <c r="G2702" t="s">
        <v>18359</v>
      </c>
    </row>
    <row r="2703" spans="1:7">
      <c r="A2703">
        <v>2702</v>
      </c>
      <c r="B2703" t="str">
        <f>"019967"</f>
        <v>0</v>
      </c>
      <c r="C2703" t="s">
        <v>21757</v>
      </c>
      <c r="D2703" t="s">
        <v>378</v>
      </c>
      <c r="E2703" t="str">
        <f>"3340700839391"</f>
        <v>0</v>
      </c>
      <c r="F2703" t="str">
        <f>"007010"</f>
        <v>0</v>
      </c>
      <c r="G2703" t="s">
        <v>18359</v>
      </c>
    </row>
    <row r="2704" spans="1:7">
      <c r="A2704">
        <v>2703</v>
      </c>
      <c r="B2704" t="str">
        <f>"020190"</f>
        <v>0</v>
      </c>
      <c r="C2704" t="s">
        <v>15663</v>
      </c>
      <c r="D2704" t="s">
        <v>21758</v>
      </c>
      <c r="E2704" t="str">
        <f>"3340100721593"</f>
        <v>0</v>
      </c>
      <c r="F2704" t="str">
        <f>"007010"</f>
        <v>0</v>
      </c>
      <c r="G2704" t="s">
        <v>18359</v>
      </c>
    </row>
    <row r="2705" spans="1:7">
      <c r="A2705">
        <v>2704</v>
      </c>
      <c r="B2705" t="str">
        <f>"013622"</f>
        <v>0</v>
      </c>
      <c r="C2705" t="s">
        <v>7286</v>
      </c>
      <c r="D2705" t="s">
        <v>21759</v>
      </c>
      <c r="E2705" t="str">
        <f>"3450500535133"</f>
        <v>0</v>
      </c>
      <c r="F2705" t="str">
        <f>"007010"</f>
        <v>0</v>
      </c>
      <c r="G2705" t="s">
        <v>18359</v>
      </c>
    </row>
    <row r="2706" spans="1:7">
      <c r="A2706">
        <v>2705</v>
      </c>
      <c r="B2706" t="str">
        <f>"013818"</f>
        <v>0</v>
      </c>
      <c r="C2706" t="s">
        <v>9166</v>
      </c>
      <c r="D2706" t="s">
        <v>21760</v>
      </c>
      <c r="E2706" t="str">
        <f>"3460800282231"</f>
        <v>0</v>
      </c>
      <c r="F2706" t="str">
        <f>"007010"</f>
        <v>0</v>
      </c>
      <c r="G2706" t="s">
        <v>18359</v>
      </c>
    </row>
    <row r="2707" spans="1:7">
      <c r="A2707">
        <v>2706</v>
      </c>
      <c r="B2707" t="str">
        <f>"015064"</f>
        <v>0</v>
      </c>
      <c r="C2707" t="s">
        <v>21761</v>
      </c>
      <c r="D2707" t="s">
        <v>17963</v>
      </c>
      <c r="E2707" t="str">
        <f>"3450100546774"</f>
        <v>0</v>
      </c>
      <c r="F2707" t="str">
        <f>"007010"</f>
        <v>0</v>
      </c>
      <c r="G2707" t="s">
        <v>18359</v>
      </c>
    </row>
    <row r="2708" spans="1:7">
      <c r="A2708">
        <v>2707</v>
      </c>
      <c r="B2708" t="str">
        <f>"015106"</f>
        <v>0</v>
      </c>
      <c r="C2708" t="s">
        <v>160</v>
      </c>
      <c r="D2708" t="s">
        <v>4221</v>
      </c>
      <c r="E2708" t="str">
        <f>"3451000081185"</f>
        <v>0</v>
      </c>
      <c r="F2708" t="str">
        <f>"007010"</f>
        <v>0</v>
      </c>
      <c r="G2708" t="s">
        <v>18359</v>
      </c>
    </row>
    <row r="2709" spans="1:7">
      <c r="A2709">
        <v>2708</v>
      </c>
      <c r="B2709" t="str">
        <f>"015107"</f>
        <v>0</v>
      </c>
      <c r="C2709" t="s">
        <v>21762</v>
      </c>
      <c r="D2709" t="s">
        <v>12373</v>
      </c>
      <c r="E2709" t="str">
        <f>"3450100787844"</f>
        <v>0</v>
      </c>
      <c r="F2709" t="str">
        <f>"007010"</f>
        <v>0</v>
      </c>
      <c r="G2709" t="s">
        <v>18359</v>
      </c>
    </row>
    <row r="2710" spans="1:7">
      <c r="A2710">
        <v>2709</v>
      </c>
      <c r="B2710" t="str">
        <f>"015109"</f>
        <v>0</v>
      </c>
      <c r="C2710" t="s">
        <v>1271</v>
      </c>
      <c r="D2710" t="s">
        <v>21763</v>
      </c>
      <c r="E2710" t="str">
        <f>"3459900150806"</f>
        <v>0</v>
      </c>
      <c r="F2710" t="str">
        <f>"007010"</f>
        <v>0</v>
      </c>
      <c r="G2710" t="s">
        <v>18359</v>
      </c>
    </row>
    <row r="2711" spans="1:7">
      <c r="A2711">
        <v>2710</v>
      </c>
      <c r="B2711" t="str">
        <f>"015893"</f>
        <v>0</v>
      </c>
      <c r="C2711" t="s">
        <v>21764</v>
      </c>
      <c r="D2711" t="s">
        <v>21765</v>
      </c>
      <c r="E2711" t="str">
        <f>"3450500336181"</f>
        <v>0</v>
      </c>
      <c r="F2711" t="str">
        <f>"007010"</f>
        <v>0</v>
      </c>
      <c r="G2711" t="s">
        <v>18359</v>
      </c>
    </row>
    <row r="2712" spans="1:7">
      <c r="A2712">
        <v>2711</v>
      </c>
      <c r="B2712" t="str">
        <f>"016338"</f>
        <v>0</v>
      </c>
      <c r="C2712" t="s">
        <v>21766</v>
      </c>
      <c r="D2712" t="s">
        <v>21767</v>
      </c>
      <c r="E2712" t="str">
        <f>"3450500346403"</f>
        <v>0</v>
      </c>
      <c r="F2712" t="str">
        <f>"007010"</f>
        <v>0</v>
      </c>
      <c r="G2712" t="s">
        <v>18359</v>
      </c>
    </row>
    <row r="2713" spans="1:7">
      <c r="A2713">
        <v>2712</v>
      </c>
      <c r="B2713" t="str">
        <f>"016821"</f>
        <v>0</v>
      </c>
      <c r="C2713" t="s">
        <v>7795</v>
      </c>
      <c r="D2713" t="s">
        <v>21768</v>
      </c>
      <c r="E2713" t="str">
        <f>"3300101673479"</f>
        <v>0</v>
      </c>
      <c r="F2713" t="str">
        <f>"007010"</f>
        <v>0</v>
      </c>
      <c r="G2713" t="s">
        <v>18359</v>
      </c>
    </row>
    <row r="2714" spans="1:7">
      <c r="A2714">
        <v>2713</v>
      </c>
      <c r="B2714" t="str">
        <f>"017498"</f>
        <v>0</v>
      </c>
      <c r="C2714" t="s">
        <v>778</v>
      </c>
      <c r="D2714" t="s">
        <v>21769</v>
      </c>
      <c r="E2714" t="str">
        <f>"3409900056729"</f>
        <v>0</v>
      </c>
      <c r="F2714" t="str">
        <f>"007010"</f>
        <v>0</v>
      </c>
      <c r="G2714" t="s">
        <v>18359</v>
      </c>
    </row>
    <row r="2715" spans="1:7">
      <c r="A2715">
        <v>2714</v>
      </c>
      <c r="B2715" t="str">
        <f>"018544"</f>
        <v>0</v>
      </c>
      <c r="C2715" t="s">
        <v>21770</v>
      </c>
      <c r="D2715" t="s">
        <v>21771</v>
      </c>
      <c r="E2715" t="str">
        <f>"3459900029896"</f>
        <v>0</v>
      </c>
      <c r="F2715" t="str">
        <f>"007010"</f>
        <v>0</v>
      </c>
      <c r="G2715" t="s">
        <v>18359</v>
      </c>
    </row>
    <row r="2716" spans="1:7">
      <c r="A2716">
        <v>2715</v>
      </c>
      <c r="B2716" t="str">
        <f>"019102"</f>
        <v>0</v>
      </c>
      <c r="C2716" t="s">
        <v>1162</v>
      </c>
      <c r="D2716" t="s">
        <v>21772</v>
      </c>
      <c r="E2716" t="str">
        <f>"3450500347728"</f>
        <v>0</v>
      </c>
      <c r="F2716" t="str">
        <f>"007010"</f>
        <v>0</v>
      </c>
      <c r="G2716" t="s">
        <v>18359</v>
      </c>
    </row>
    <row r="2717" spans="1:7">
      <c r="A2717">
        <v>2716</v>
      </c>
      <c r="B2717" t="str">
        <f>"024150"</f>
        <v>0</v>
      </c>
      <c r="C2717" t="s">
        <v>3919</v>
      </c>
      <c r="D2717" t="s">
        <v>21773</v>
      </c>
      <c r="E2717" t="str">
        <f>"3450800425228"</f>
        <v>0</v>
      </c>
      <c r="F2717" t="str">
        <f>"007010"</f>
        <v>0</v>
      </c>
      <c r="G2717" t="s">
        <v>18359</v>
      </c>
    </row>
    <row r="2718" spans="1:7">
      <c r="A2718">
        <v>2717</v>
      </c>
      <c r="B2718" t="str">
        <f>"012995"</f>
        <v>0</v>
      </c>
      <c r="C2718" t="s">
        <v>352</v>
      </c>
      <c r="D2718" t="s">
        <v>21774</v>
      </c>
      <c r="E2718" t="str">
        <f>"3440700385411"</f>
        <v>0</v>
      </c>
      <c r="F2718" t="str">
        <f>"007010"</f>
        <v>0</v>
      </c>
      <c r="G2718" t="s">
        <v>18359</v>
      </c>
    </row>
    <row r="2719" spans="1:7">
      <c r="A2719">
        <v>2718</v>
      </c>
      <c r="B2719" t="str">
        <f>"017403"</f>
        <v>0</v>
      </c>
      <c r="C2719" t="s">
        <v>21775</v>
      </c>
      <c r="D2719" t="s">
        <v>21776</v>
      </c>
      <c r="E2719" t="str">
        <f>"3302000076124"</f>
        <v>0</v>
      </c>
      <c r="F2719" t="str">
        <f>"007010"</f>
        <v>0</v>
      </c>
      <c r="G2719" t="s">
        <v>18359</v>
      </c>
    </row>
    <row r="2720" spans="1:7">
      <c r="A2720">
        <v>2719</v>
      </c>
      <c r="B2720" t="str">
        <f>"019034"</f>
        <v>0</v>
      </c>
      <c r="C2720" t="s">
        <v>21777</v>
      </c>
      <c r="D2720" t="s">
        <v>21778</v>
      </c>
      <c r="E2720" t="str">
        <f>"3419900632002"</f>
        <v>0</v>
      </c>
      <c r="F2720" t="str">
        <f>"007010"</f>
        <v>0</v>
      </c>
      <c r="G2720" t="s">
        <v>18359</v>
      </c>
    </row>
    <row r="2721" spans="1:7">
      <c r="A2721">
        <v>2720</v>
      </c>
      <c r="B2721" t="str">
        <f>"021217"</f>
        <v>0</v>
      </c>
      <c r="C2721" t="s">
        <v>21779</v>
      </c>
      <c r="D2721" t="s">
        <v>17419</v>
      </c>
      <c r="E2721" t="str">
        <f>"3410400795575"</f>
        <v>0</v>
      </c>
      <c r="F2721" t="str">
        <f>"007010"</f>
        <v>0</v>
      </c>
      <c r="G2721" t="s">
        <v>18359</v>
      </c>
    </row>
    <row r="2722" spans="1:7">
      <c r="A2722">
        <v>2721</v>
      </c>
      <c r="B2722" t="str">
        <f>"021483"</f>
        <v>0</v>
      </c>
      <c r="C2722" t="s">
        <v>21780</v>
      </c>
      <c r="D2722" t="s">
        <v>17419</v>
      </c>
      <c r="E2722" t="str">
        <f>"3410400795591"</f>
        <v>0</v>
      </c>
      <c r="F2722" t="str">
        <f>"007010"</f>
        <v>0</v>
      </c>
      <c r="G2722" t="s">
        <v>18359</v>
      </c>
    </row>
    <row r="2723" spans="1:7">
      <c r="A2723">
        <v>2722</v>
      </c>
      <c r="B2723" t="str">
        <f>"022913"</f>
        <v>0</v>
      </c>
      <c r="C2723" t="s">
        <v>8272</v>
      </c>
      <c r="D2723" t="s">
        <v>21781</v>
      </c>
      <c r="E2723" t="str">
        <f>"3410101028483"</f>
        <v>0</v>
      </c>
      <c r="F2723" t="str">
        <f>"007010"</f>
        <v>0</v>
      </c>
      <c r="G2723" t="s">
        <v>18359</v>
      </c>
    </row>
    <row r="2724" spans="1:7">
      <c r="A2724">
        <v>2723</v>
      </c>
      <c r="B2724" t="str">
        <f>"023493"</f>
        <v>0</v>
      </c>
      <c r="C2724" t="s">
        <v>19987</v>
      </c>
      <c r="D2724" t="s">
        <v>17994</v>
      </c>
      <c r="E2724" t="str">
        <f>"3360400065870"</f>
        <v>0</v>
      </c>
      <c r="F2724" t="str">
        <f>"007010"</f>
        <v>0</v>
      </c>
      <c r="G2724" t="s">
        <v>18359</v>
      </c>
    </row>
    <row r="2725" spans="1:7">
      <c r="A2725">
        <v>2724</v>
      </c>
      <c r="B2725" t="str">
        <f>"024447"</f>
        <v>0</v>
      </c>
      <c r="C2725" t="s">
        <v>21782</v>
      </c>
      <c r="D2725" t="s">
        <v>21783</v>
      </c>
      <c r="E2725" t="str">
        <f>"3451000423001"</f>
        <v>0</v>
      </c>
      <c r="F2725" t="str">
        <f>"007010"</f>
        <v>0</v>
      </c>
      <c r="G2725" t="s">
        <v>18359</v>
      </c>
    </row>
    <row r="2726" spans="1:7">
      <c r="A2726">
        <v>2725</v>
      </c>
      <c r="B2726" t="str">
        <f>"026623"</f>
        <v>0</v>
      </c>
      <c r="C2726" t="s">
        <v>21784</v>
      </c>
      <c r="D2726" t="s">
        <v>21785</v>
      </c>
      <c r="E2726" t="str">
        <f>"3400700268783"</f>
        <v>0</v>
      </c>
      <c r="F2726" t="str">
        <f>"007010"</f>
        <v>0</v>
      </c>
      <c r="G2726" t="s">
        <v>18359</v>
      </c>
    </row>
    <row r="2727" spans="1:7">
      <c r="A2727">
        <v>2726</v>
      </c>
      <c r="B2727" t="str">
        <f>"013251"</f>
        <v>0</v>
      </c>
      <c r="C2727" t="s">
        <v>21786</v>
      </c>
      <c r="D2727" t="s">
        <v>11663</v>
      </c>
      <c r="E2727" t="str">
        <f>"3329900204745"</f>
        <v>0</v>
      </c>
      <c r="F2727" t="str">
        <f>"007010"</f>
        <v>0</v>
      </c>
      <c r="G2727" t="s">
        <v>18359</v>
      </c>
    </row>
    <row r="2728" spans="1:7">
      <c r="A2728">
        <v>2727</v>
      </c>
      <c r="B2728" t="str">
        <f>"014579"</f>
        <v>0</v>
      </c>
      <c r="C2728" t="s">
        <v>21787</v>
      </c>
      <c r="D2728" t="s">
        <v>21664</v>
      </c>
      <c r="E2728" t="str">
        <f>"3461300146584"</f>
        <v>0</v>
      </c>
      <c r="F2728" t="str">
        <f>"007010"</f>
        <v>0</v>
      </c>
      <c r="G2728" t="s">
        <v>18359</v>
      </c>
    </row>
    <row r="2729" spans="1:7">
      <c r="A2729">
        <v>2728</v>
      </c>
      <c r="B2729" t="str">
        <f>"014580"</f>
        <v>0</v>
      </c>
      <c r="C2729" t="s">
        <v>21788</v>
      </c>
      <c r="D2729" t="s">
        <v>21789</v>
      </c>
      <c r="E2729" t="str">
        <f>"3460800031033"</f>
        <v>0</v>
      </c>
      <c r="F2729" t="str">
        <f>"007010"</f>
        <v>0</v>
      </c>
      <c r="G2729" t="s">
        <v>18359</v>
      </c>
    </row>
    <row r="2730" spans="1:7">
      <c r="A2730">
        <v>2729</v>
      </c>
      <c r="B2730" t="str">
        <f>"014581"</f>
        <v>0</v>
      </c>
      <c r="C2730" t="s">
        <v>4967</v>
      </c>
      <c r="D2730" t="s">
        <v>21790</v>
      </c>
      <c r="E2730" t="str">
        <f>"3460800121547"</f>
        <v>0</v>
      </c>
      <c r="F2730" t="str">
        <f>"007010"</f>
        <v>0</v>
      </c>
      <c r="G2730" t="s">
        <v>18359</v>
      </c>
    </row>
    <row r="2731" spans="1:7">
      <c r="A2731">
        <v>2730</v>
      </c>
      <c r="B2731" t="str">
        <f>"014592"</f>
        <v>0</v>
      </c>
      <c r="C2731" t="s">
        <v>21791</v>
      </c>
      <c r="D2731" t="s">
        <v>21792</v>
      </c>
      <c r="E2731" t="str">
        <f>"5460890002387"</f>
        <v>0</v>
      </c>
      <c r="F2731" t="str">
        <f>"007010"</f>
        <v>0</v>
      </c>
      <c r="G2731" t="s">
        <v>18359</v>
      </c>
    </row>
    <row r="2732" spans="1:7">
      <c r="A2732">
        <v>2731</v>
      </c>
      <c r="B2732" t="str">
        <f>"014594"</f>
        <v>0</v>
      </c>
      <c r="C2732" t="s">
        <v>13317</v>
      </c>
      <c r="D2732" t="s">
        <v>21793</v>
      </c>
      <c r="E2732" t="str">
        <f>"3840100548617"</f>
        <v>0</v>
      </c>
      <c r="F2732" t="str">
        <f>"007010"</f>
        <v>0</v>
      </c>
      <c r="G2732" t="s">
        <v>18359</v>
      </c>
    </row>
    <row r="2733" spans="1:7">
      <c r="A2733">
        <v>2732</v>
      </c>
      <c r="B2733" t="str">
        <f>"014597"</f>
        <v>0</v>
      </c>
      <c r="C2733" t="s">
        <v>1257</v>
      </c>
      <c r="D2733" t="s">
        <v>21794</v>
      </c>
      <c r="E2733" t="str">
        <f>"3461300143372"</f>
        <v>0</v>
      </c>
      <c r="F2733" t="str">
        <f>"007010"</f>
        <v>0</v>
      </c>
      <c r="G2733" t="s">
        <v>18359</v>
      </c>
    </row>
    <row r="2734" spans="1:7">
      <c r="A2734">
        <v>2733</v>
      </c>
      <c r="B2734" t="str">
        <f>"014598"</f>
        <v>0</v>
      </c>
      <c r="C2734" t="s">
        <v>21795</v>
      </c>
      <c r="D2734" t="s">
        <v>21796</v>
      </c>
      <c r="E2734" t="str">
        <f>"3469900180624"</f>
        <v>0</v>
      </c>
      <c r="F2734" t="str">
        <f>"007010"</f>
        <v>0</v>
      </c>
      <c r="G2734" t="s">
        <v>18359</v>
      </c>
    </row>
    <row r="2735" spans="1:7">
      <c r="A2735">
        <v>2734</v>
      </c>
      <c r="B2735" t="str">
        <f>"015351"</f>
        <v>0</v>
      </c>
      <c r="C2735" t="s">
        <v>587</v>
      </c>
      <c r="D2735" t="s">
        <v>21794</v>
      </c>
      <c r="E2735" t="str">
        <f>"3469900044615"</f>
        <v>0</v>
      </c>
      <c r="F2735" t="str">
        <f>"007010"</f>
        <v>0</v>
      </c>
      <c r="G2735" t="s">
        <v>18359</v>
      </c>
    </row>
    <row r="2736" spans="1:7">
      <c r="A2736">
        <v>2735</v>
      </c>
      <c r="B2736" t="str">
        <f>"017176"</f>
        <v>0</v>
      </c>
      <c r="C2736" t="s">
        <v>21797</v>
      </c>
      <c r="D2736" t="s">
        <v>21798</v>
      </c>
      <c r="E2736" t="str">
        <f>"3460100693157"</f>
        <v>0</v>
      </c>
      <c r="F2736" t="str">
        <f>"007010"</f>
        <v>0</v>
      </c>
      <c r="G2736" t="s">
        <v>18359</v>
      </c>
    </row>
    <row r="2737" spans="1:7">
      <c r="A2737">
        <v>2736</v>
      </c>
      <c r="B2737" t="str">
        <f>"017956"</f>
        <v>0</v>
      </c>
      <c r="C2737" t="s">
        <v>21799</v>
      </c>
      <c r="D2737" t="s">
        <v>21800</v>
      </c>
      <c r="E2737" t="str">
        <f>"3100202882768"</f>
        <v>0</v>
      </c>
      <c r="F2737" t="str">
        <f>"007010"</f>
        <v>0</v>
      </c>
      <c r="G2737" t="s">
        <v>18359</v>
      </c>
    </row>
    <row r="2738" spans="1:7">
      <c r="A2738">
        <v>2737</v>
      </c>
      <c r="B2738" t="str">
        <f>"018354"</f>
        <v>0</v>
      </c>
      <c r="C2738" t="s">
        <v>21801</v>
      </c>
      <c r="D2738" t="s">
        <v>15873</v>
      </c>
      <c r="E2738" t="str">
        <f>"3460701067684"</f>
        <v>0</v>
      </c>
      <c r="F2738" t="str">
        <f>"007010"</f>
        <v>0</v>
      </c>
      <c r="G2738" t="s">
        <v>18359</v>
      </c>
    </row>
    <row r="2739" spans="1:7">
      <c r="A2739">
        <v>2738</v>
      </c>
      <c r="B2739" t="str">
        <f>"018909"</f>
        <v>0</v>
      </c>
      <c r="C2739" t="s">
        <v>21802</v>
      </c>
      <c r="D2739" t="s">
        <v>21803</v>
      </c>
      <c r="E2739" t="str">
        <f>"3340200456140"</f>
        <v>0</v>
      </c>
      <c r="F2739" t="str">
        <f>"007010"</f>
        <v>0</v>
      </c>
      <c r="G2739" t="s">
        <v>18359</v>
      </c>
    </row>
    <row r="2740" spans="1:7">
      <c r="A2740">
        <v>2739</v>
      </c>
      <c r="B2740" t="str">
        <f>"019205"</f>
        <v>0</v>
      </c>
      <c r="C2740" t="s">
        <v>7818</v>
      </c>
      <c r="D2740" t="s">
        <v>18106</v>
      </c>
      <c r="E2740" t="str">
        <f>"3460300053194"</f>
        <v>0</v>
      </c>
      <c r="F2740" t="str">
        <f>"007010"</f>
        <v>0</v>
      </c>
      <c r="G2740" t="s">
        <v>18359</v>
      </c>
    </row>
    <row r="2741" spans="1:7">
      <c r="A2741">
        <v>2740</v>
      </c>
      <c r="B2741" t="str">
        <f>"019456"</f>
        <v>0</v>
      </c>
      <c r="C2741" t="s">
        <v>2424</v>
      </c>
      <c r="D2741" t="s">
        <v>21804</v>
      </c>
      <c r="E2741" t="str">
        <f>"3460100299734"</f>
        <v>0</v>
      </c>
      <c r="F2741" t="str">
        <f>"007010"</f>
        <v>0</v>
      </c>
      <c r="G2741" t="s">
        <v>18359</v>
      </c>
    </row>
    <row r="2742" spans="1:7">
      <c r="A2742">
        <v>2741</v>
      </c>
      <c r="B2742" t="str">
        <f>"019766"</f>
        <v>0</v>
      </c>
      <c r="C2742" t="s">
        <v>12529</v>
      </c>
      <c r="D2742" t="s">
        <v>21805</v>
      </c>
      <c r="E2742" t="str">
        <f>"3469900333978"</f>
        <v>0</v>
      </c>
      <c r="F2742" t="str">
        <f>"007010"</f>
        <v>0</v>
      </c>
      <c r="G2742" t="s">
        <v>18359</v>
      </c>
    </row>
    <row r="2743" spans="1:7">
      <c r="A2743">
        <v>2742</v>
      </c>
      <c r="B2743" t="str">
        <f>"023484"</f>
        <v>0</v>
      </c>
      <c r="C2743" t="s">
        <v>14345</v>
      </c>
      <c r="D2743" t="s">
        <v>21806</v>
      </c>
      <c r="E2743" t="str">
        <f>"3469900215282"</f>
        <v>0</v>
      </c>
      <c r="F2743" t="str">
        <f>"007010"</f>
        <v>0</v>
      </c>
      <c r="G2743" t="s">
        <v>18359</v>
      </c>
    </row>
    <row r="2744" spans="1:7">
      <c r="A2744">
        <v>2743</v>
      </c>
      <c r="B2744" t="str">
        <f>"014637"</f>
        <v>0</v>
      </c>
      <c r="C2744" t="s">
        <v>7265</v>
      </c>
      <c r="D2744" t="s">
        <v>20442</v>
      </c>
      <c r="E2744" t="str">
        <f>"3409900090757"</f>
        <v>0</v>
      </c>
      <c r="F2744" t="str">
        <f>"007010"</f>
        <v>0</v>
      </c>
      <c r="G2744" t="s">
        <v>18359</v>
      </c>
    </row>
    <row r="2745" spans="1:7">
      <c r="A2745">
        <v>2744</v>
      </c>
      <c r="B2745" t="str">
        <f>"023373"</f>
        <v>0</v>
      </c>
      <c r="C2745" t="s">
        <v>21807</v>
      </c>
      <c r="D2745" t="s">
        <v>21808</v>
      </c>
      <c r="E2745" t="str">
        <f>"5501300034749"</f>
        <v>0</v>
      </c>
      <c r="F2745" t="str">
        <f>"007010"</f>
        <v>0</v>
      </c>
      <c r="G2745" t="s">
        <v>18359</v>
      </c>
    </row>
    <row r="2746" spans="1:7">
      <c r="A2746">
        <v>2745</v>
      </c>
      <c r="B2746" t="str">
        <f>"014732"</f>
        <v>0</v>
      </c>
      <c r="C2746" t="s">
        <v>2301</v>
      </c>
      <c r="D2746" t="s">
        <v>21809</v>
      </c>
      <c r="E2746" t="str">
        <f>"3540600404811"</f>
        <v>0</v>
      </c>
      <c r="F2746" t="str">
        <f>"007010"</f>
        <v>0</v>
      </c>
      <c r="G2746" t="s">
        <v>18359</v>
      </c>
    </row>
    <row r="2747" spans="1:7">
      <c r="A2747">
        <v>2746</v>
      </c>
      <c r="B2747" t="str">
        <f>"014740"</f>
        <v>0</v>
      </c>
      <c r="C2747" t="s">
        <v>4074</v>
      </c>
      <c r="D2747" t="s">
        <v>21810</v>
      </c>
      <c r="E2747" t="str">
        <f>"3451100010077"</f>
        <v>0</v>
      </c>
      <c r="F2747" t="str">
        <f>"007010"</f>
        <v>0</v>
      </c>
      <c r="G2747" t="s">
        <v>18359</v>
      </c>
    </row>
    <row r="2748" spans="1:7">
      <c r="A2748">
        <v>2747</v>
      </c>
      <c r="B2748" t="str">
        <f>"014744"</f>
        <v>0</v>
      </c>
      <c r="C2748" t="s">
        <v>21811</v>
      </c>
      <c r="D2748" t="s">
        <v>21812</v>
      </c>
      <c r="E2748" t="str">
        <f>"3540600160262"</f>
        <v>0</v>
      </c>
      <c r="F2748" t="str">
        <f>"007010"</f>
        <v>0</v>
      </c>
      <c r="G2748" t="s">
        <v>18359</v>
      </c>
    </row>
    <row r="2749" spans="1:7">
      <c r="A2749">
        <v>2748</v>
      </c>
      <c r="B2749" t="str">
        <f>"014745"</f>
        <v>0</v>
      </c>
      <c r="C2749" t="s">
        <v>848</v>
      </c>
      <c r="D2749" t="s">
        <v>21813</v>
      </c>
      <c r="E2749" t="str">
        <f>"3540400484439"</f>
        <v>0</v>
      </c>
      <c r="F2749" t="str">
        <f>"007010"</f>
        <v>0</v>
      </c>
      <c r="G2749" t="s">
        <v>18359</v>
      </c>
    </row>
    <row r="2750" spans="1:7">
      <c r="A2750">
        <v>2749</v>
      </c>
      <c r="B2750" t="str">
        <f>"014750"</f>
        <v>0</v>
      </c>
      <c r="C2750" t="s">
        <v>16166</v>
      </c>
      <c r="D2750" t="s">
        <v>21814</v>
      </c>
      <c r="E2750" t="str">
        <f>"3540200524011"</f>
        <v>0</v>
      </c>
      <c r="F2750" t="str">
        <f>"007010"</f>
        <v>0</v>
      </c>
      <c r="G2750" t="s">
        <v>18359</v>
      </c>
    </row>
    <row r="2751" spans="1:7">
      <c r="A2751">
        <v>2750</v>
      </c>
      <c r="B2751" t="str">
        <f>"014919"</f>
        <v>0</v>
      </c>
      <c r="C2751" t="s">
        <v>13272</v>
      </c>
      <c r="D2751" t="s">
        <v>21815</v>
      </c>
      <c r="E2751" t="str">
        <f>"3540600569454"</f>
        <v>0</v>
      </c>
      <c r="F2751" t="str">
        <f>"007010"</f>
        <v>0</v>
      </c>
      <c r="G2751" t="s">
        <v>18359</v>
      </c>
    </row>
    <row r="2752" spans="1:7">
      <c r="A2752">
        <v>2751</v>
      </c>
      <c r="B2752" t="str">
        <f>"017141"</f>
        <v>0</v>
      </c>
      <c r="C2752" t="s">
        <v>2682</v>
      </c>
      <c r="D2752" t="s">
        <v>21816</v>
      </c>
      <c r="E2752" t="str">
        <f>"3540600165361"</f>
        <v>0</v>
      </c>
      <c r="F2752" t="str">
        <f>"007010"</f>
        <v>0</v>
      </c>
      <c r="G2752" t="s">
        <v>18359</v>
      </c>
    </row>
    <row r="2753" spans="1:7">
      <c r="A2753">
        <v>2752</v>
      </c>
      <c r="B2753" t="str">
        <f>"018649"</f>
        <v>0</v>
      </c>
      <c r="C2753" t="s">
        <v>17022</v>
      </c>
      <c r="D2753" t="s">
        <v>21817</v>
      </c>
      <c r="E2753" t="str">
        <f>"3540200633414"</f>
        <v>0</v>
      </c>
      <c r="F2753" t="str">
        <f>"007010"</f>
        <v>0</v>
      </c>
      <c r="G2753" t="s">
        <v>18359</v>
      </c>
    </row>
    <row r="2754" spans="1:7">
      <c r="A2754">
        <v>2753</v>
      </c>
      <c r="B2754" t="str">
        <f>"019458"</f>
        <v>0</v>
      </c>
      <c r="C2754" t="s">
        <v>21818</v>
      </c>
      <c r="D2754" t="s">
        <v>8050</v>
      </c>
      <c r="E2754" t="str">
        <f>"3559900040732"</f>
        <v>0</v>
      </c>
      <c r="F2754" t="str">
        <f>"007010"</f>
        <v>0</v>
      </c>
      <c r="G2754" t="s">
        <v>18359</v>
      </c>
    </row>
    <row r="2755" spans="1:7">
      <c r="A2755">
        <v>2754</v>
      </c>
      <c r="B2755" t="str">
        <f>"021181"</f>
        <v>0</v>
      </c>
      <c r="C2755" t="s">
        <v>4903</v>
      </c>
      <c r="D2755" t="s">
        <v>21819</v>
      </c>
      <c r="E2755" t="str">
        <f>"3540100772455"</f>
        <v>0</v>
      </c>
      <c r="F2755" t="str">
        <f>"007010"</f>
        <v>0</v>
      </c>
      <c r="G2755" t="s">
        <v>18359</v>
      </c>
    </row>
    <row r="2756" spans="1:7">
      <c r="A2756">
        <v>2755</v>
      </c>
      <c r="B2756" t="str">
        <f>"021895"</f>
        <v>0</v>
      </c>
      <c r="C2756" t="s">
        <v>13461</v>
      </c>
      <c r="D2756" t="s">
        <v>21813</v>
      </c>
      <c r="E2756" t="str">
        <f>"3540600392392"</f>
        <v>0</v>
      </c>
      <c r="F2756" t="str">
        <f>"007010"</f>
        <v>0</v>
      </c>
      <c r="G2756" t="s">
        <v>18359</v>
      </c>
    </row>
    <row r="2757" spans="1:7">
      <c r="A2757">
        <v>2756</v>
      </c>
      <c r="B2757" t="str">
        <f>"022851"</f>
        <v>0</v>
      </c>
      <c r="C2757" t="s">
        <v>21820</v>
      </c>
      <c r="D2757" t="s">
        <v>21821</v>
      </c>
      <c r="E2757" t="str">
        <f>"3540500060363"</f>
        <v>0</v>
      </c>
      <c r="F2757" t="str">
        <f>"007010"</f>
        <v>0</v>
      </c>
      <c r="G2757" t="s">
        <v>18359</v>
      </c>
    </row>
    <row r="2758" spans="1:7">
      <c r="A2758">
        <v>2757</v>
      </c>
      <c r="B2758" t="str">
        <f>"023975"</f>
        <v>0</v>
      </c>
      <c r="C2758" t="s">
        <v>3990</v>
      </c>
      <c r="D2758" t="s">
        <v>21822</v>
      </c>
      <c r="E2758" t="str">
        <f>"1549900168864"</f>
        <v>0</v>
      </c>
      <c r="F2758" t="str">
        <f>"007010"</f>
        <v>0</v>
      </c>
      <c r="G2758" t="s">
        <v>18359</v>
      </c>
    </row>
    <row r="2759" spans="1:7">
      <c r="A2759">
        <v>2758</v>
      </c>
      <c r="B2759" t="str">
        <f>"026608"</f>
        <v>0</v>
      </c>
      <c r="C2759" t="s">
        <v>12862</v>
      </c>
      <c r="D2759" t="s">
        <v>21823</v>
      </c>
      <c r="E2759" t="str">
        <f>"1169800109088"</f>
        <v>0</v>
      </c>
      <c r="F2759" t="str">
        <f>"007010"</f>
        <v>0</v>
      </c>
      <c r="G2759" t="s">
        <v>18359</v>
      </c>
    </row>
    <row r="2760" spans="1:7">
      <c r="A2760">
        <v>2759</v>
      </c>
      <c r="B2760" t="str">
        <f>"014150"</f>
        <v>0</v>
      </c>
      <c r="C2760" t="s">
        <v>2283</v>
      </c>
      <c r="D2760" t="s">
        <v>21824</v>
      </c>
      <c r="E2760" t="str">
        <f>"3660101064097"</f>
        <v>0</v>
      </c>
      <c r="F2760" t="str">
        <f>"007010"</f>
        <v>0</v>
      </c>
      <c r="G2760" t="s">
        <v>18359</v>
      </c>
    </row>
    <row r="2761" spans="1:7">
      <c r="A2761">
        <v>2760</v>
      </c>
      <c r="B2761" t="str">
        <f>"014352"</f>
        <v>0</v>
      </c>
      <c r="C2761" t="s">
        <v>1718</v>
      </c>
      <c r="D2761" t="s">
        <v>21825</v>
      </c>
      <c r="E2761" t="str">
        <f>"3601000042871"</f>
        <v>0</v>
      </c>
      <c r="F2761" t="str">
        <f>"007010"</f>
        <v>0</v>
      </c>
      <c r="G2761" t="s">
        <v>18359</v>
      </c>
    </row>
    <row r="2762" spans="1:7">
      <c r="A2762">
        <v>2761</v>
      </c>
      <c r="B2762" t="str">
        <f>"015360"</f>
        <v>0</v>
      </c>
      <c r="C2762" t="s">
        <v>11389</v>
      </c>
      <c r="D2762" t="s">
        <v>17468</v>
      </c>
      <c r="E2762" t="str">
        <f>"3180100271875"</f>
        <v>0</v>
      </c>
      <c r="F2762" t="str">
        <f>"007010"</f>
        <v>0</v>
      </c>
      <c r="G2762" t="s">
        <v>18359</v>
      </c>
    </row>
    <row r="2763" spans="1:7">
      <c r="A2763">
        <v>2762</v>
      </c>
      <c r="B2763" t="str">
        <f>"023788"</f>
        <v>0</v>
      </c>
      <c r="C2763" t="s">
        <v>21826</v>
      </c>
      <c r="D2763" t="s">
        <v>21827</v>
      </c>
      <c r="E2763" t="str">
        <f>"3610100012514"</f>
        <v>0</v>
      </c>
      <c r="F2763" t="str">
        <f>"007010"</f>
        <v>0</v>
      </c>
      <c r="G2763" t="s">
        <v>18359</v>
      </c>
    </row>
    <row r="2764" spans="1:7">
      <c r="A2764">
        <v>2763</v>
      </c>
      <c r="B2764" t="str">
        <f>"022234"</f>
        <v>0</v>
      </c>
      <c r="C2764" t="s">
        <v>21828</v>
      </c>
      <c r="D2764" t="s">
        <v>21829</v>
      </c>
      <c r="E2764" t="str">
        <f>"3640100589510"</f>
        <v>0</v>
      </c>
      <c r="F2764" t="str">
        <f>"007010"</f>
        <v>0</v>
      </c>
      <c r="G2764" t="s">
        <v>18359</v>
      </c>
    </row>
    <row r="2765" spans="1:7">
      <c r="A2765">
        <v>2764</v>
      </c>
      <c r="B2765" t="str">
        <f>"023935"</f>
        <v>0</v>
      </c>
      <c r="C2765" t="s">
        <v>21830</v>
      </c>
      <c r="D2765" t="s">
        <v>21831</v>
      </c>
      <c r="E2765" t="str">
        <f>"3760500139154"</f>
        <v>0</v>
      </c>
      <c r="F2765" t="str">
        <f>"007010"</f>
        <v>0</v>
      </c>
      <c r="G2765" t="s">
        <v>18359</v>
      </c>
    </row>
    <row r="2766" spans="1:7">
      <c r="A2766">
        <v>2765</v>
      </c>
      <c r="B2766" t="str">
        <f>"021738"</f>
        <v>0</v>
      </c>
      <c r="C2766" t="s">
        <v>12144</v>
      </c>
      <c r="D2766" t="s">
        <v>21832</v>
      </c>
      <c r="E2766" t="str">
        <f>"3331200213680"</f>
        <v>0</v>
      </c>
      <c r="F2766" t="str">
        <f>"007010"</f>
        <v>0</v>
      </c>
      <c r="G2766" t="s">
        <v>18359</v>
      </c>
    </row>
    <row r="2767" spans="1:7">
      <c r="A2767">
        <v>2766</v>
      </c>
      <c r="B2767" t="str">
        <f>"014604"</f>
        <v>0</v>
      </c>
      <c r="C2767" t="s">
        <v>21833</v>
      </c>
      <c r="D2767" t="s">
        <v>21834</v>
      </c>
      <c r="E2767" t="str">
        <f>"3320100382110"</f>
        <v>0</v>
      </c>
      <c r="F2767" t="str">
        <f>"007010"</f>
        <v>0</v>
      </c>
      <c r="G2767" t="s">
        <v>18359</v>
      </c>
    </row>
    <row r="2768" spans="1:7">
      <c r="A2768">
        <v>2767</v>
      </c>
      <c r="B2768" t="str">
        <f>"014609"</f>
        <v>0</v>
      </c>
      <c r="C2768" t="s">
        <v>154</v>
      </c>
      <c r="D2768" t="s">
        <v>17319</v>
      </c>
      <c r="E2768" t="str">
        <f>"5320100066010"</f>
        <v>0</v>
      </c>
      <c r="F2768" t="str">
        <f>"007010"</f>
        <v>0</v>
      </c>
      <c r="G2768" t="s">
        <v>18359</v>
      </c>
    </row>
    <row r="2769" spans="1:7">
      <c r="A2769">
        <v>2768</v>
      </c>
      <c r="B2769" t="str">
        <f>"014612"</f>
        <v>0</v>
      </c>
      <c r="C2769" t="s">
        <v>21835</v>
      </c>
      <c r="D2769" t="s">
        <v>21836</v>
      </c>
      <c r="E2769" t="str">
        <f>"3320500731448"</f>
        <v>0</v>
      </c>
      <c r="F2769" t="str">
        <f>"007010"</f>
        <v>0</v>
      </c>
      <c r="G2769" t="s">
        <v>18359</v>
      </c>
    </row>
    <row r="2770" spans="1:7">
      <c r="A2770">
        <v>2769</v>
      </c>
      <c r="B2770" t="str">
        <f>"014753"</f>
        <v>0</v>
      </c>
      <c r="C2770" t="s">
        <v>7931</v>
      </c>
      <c r="D2770" t="s">
        <v>21837</v>
      </c>
      <c r="E2770" t="str">
        <f>"3320101479397"</f>
        <v>0</v>
      </c>
      <c r="F2770" t="str">
        <f>"007010"</f>
        <v>0</v>
      </c>
      <c r="G2770" t="s">
        <v>18359</v>
      </c>
    </row>
    <row r="2771" spans="1:7">
      <c r="A2771">
        <v>2770</v>
      </c>
      <c r="B2771" t="str">
        <f>"017182"</f>
        <v>0</v>
      </c>
      <c r="C2771" t="s">
        <v>26</v>
      </c>
      <c r="D2771" t="s">
        <v>21838</v>
      </c>
      <c r="E2771" t="str">
        <f>"3320100027590"</f>
        <v>0</v>
      </c>
      <c r="F2771" t="str">
        <f>"007010"</f>
        <v>0</v>
      </c>
      <c r="G2771" t="s">
        <v>18359</v>
      </c>
    </row>
    <row r="2772" spans="1:7">
      <c r="A2772">
        <v>2771</v>
      </c>
      <c r="B2772" t="str">
        <f>"018410"</f>
        <v>0</v>
      </c>
      <c r="C2772" t="s">
        <v>21839</v>
      </c>
      <c r="D2772" t="s">
        <v>21840</v>
      </c>
      <c r="E2772" t="str">
        <f>"3320500184901"</f>
        <v>0</v>
      </c>
      <c r="F2772" t="str">
        <f>"007010"</f>
        <v>0</v>
      </c>
      <c r="G2772" t="s">
        <v>18359</v>
      </c>
    </row>
    <row r="2773" spans="1:7">
      <c r="A2773">
        <v>2772</v>
      </c>
      <c r="B2773" t="str">
        <f>"022225"</f>
        <v>0</v>
      </c>
      <c r="C2773" t="s">
        <v>8806</v>
      </c>
      <c r="D2773" t="s">
        <v>1519</v>
      </c>
      <c r="E2773" t="str">
        <f>"1140400003004"</f>
        <v>0</v>
      </c>
      <c r="F2773" t="str">
        <f>"007010"</f>
        <v>0</v>
      </c>
      <c r="G2773" t="s">
        <v>18359</v>
      </c>
    </row>
    <row r="2774" spans="1:7">
      <c r="A2774">
        <v>2773</v>
      </c>
      <c r="B2774" t="str">
        <f>"015650"</f>
        <v>0</v>
      </c>
      <c r="C2774" t="s">
        <v>13054</v>
      </c>
      <c r="D2774" t="s">
        <v>21841</v>
      </c>
      <c r="E2774" t="str">
        <f>"3400100779817"</f>
        <v>0</v>
      </c>
      <c r="F2774" t="str">
        <f>"007010"</f>
        <v>0</v>
      </c>
      <c r="G2774" t="s">
        <v>18359</v>
      </c>
    </row>
    <row r="2775" spans="1:7">
      <c r="A2775">
        <v>2774</v>
      </c>
      <c r="B2775" t="str">
        <f>"015652"</f>
        <v>0</v>
      </c>
      <c r="C2775" t="s">
        <v>2758</v>
      </c>
      <c r="D2775" t="s">
        <v>21842</v>
      </c>
      <c r="E2775" t="str">
        <f>"3100201583431"</f>
        <v>0</v>
      </c>
      <c r="F2775" t="str">
        <f>"007010"</f>
        <v>0</v>
      </c>
      <c r="G2775" t="s">
        <v>18359</v>
      </c>
    </row>
    <row r="2776" spans="1:7">
      <c r="A2776">
        <v>2775</v>
      </c>
      <c r="B2776" t="str">
        <f>"017660"</f>
        <v>0</v>
      </c>
      <c r="C2776" t="s">
        <v>3783</v>
      </c>
      <c r="D2776" t="s">
        <v>21843</v>
      </c>
      <c r="E2776" t="str">
        <f>"3400100982221"</f>
        <v>0</v>
      </c>
      <c r="F2776" t="str">
        <f>"007010"</f>
        <v>0</v>
      </c>
      <c r="G2776" t="s">
        <v>18359</v>
      </c>
    </row>
    <row r="2777" spans="1:7">
      <c r="A2777">
        <v>2776</v>
      </c>
      <c r="B2777" t="str">
        <f>"018106"</f>
        <v>0</v>
      </c>
      <c r="C2777" t="s">
        <v>21844</v>
      </c>
      <c r="D2777" t="s">
        <v>18098</v>
      </c>
      <c r="E2777" t="str">
        <f>"3400100780131"</f>
        <v>0</v>
      </c>
      <c r="F2777" t="str">
        <f>"007010"</f>
        <v>0</v>
      </c>
      <c r="G2777" t="s">
        <v>18359</v>
      </c>
    </row>
    <row r="2778" spans="1:7">
      <c r="A2778">
        <v>2777</v>
      </c>
      <c r="B2778" t="str">
        <f>"020224"</f>
        <v>0</v>
      </c>
      <c r="C2778" t="s">
        <v>21845</v>
      </c>
      <c r="D2778" t="s">
        <v>21846</v>
      </c>
      <c r="E2778" t="str">
        <f>"3100500866108"</f>
        <v>0</v>
      </c>
      <c r="F2778" t="str">
        <f>"007010"</f>
        <v>0</v>
      </c>
      <c r="G2778" t="s">
        <v>18359</v>
      </c>
    </row>
    <row r="2779" spans="1:7">
      <c r="A2779">
        <v>2778</v>
      </c>
      <c r="B2779" t="str">
        <f>"020278"</f>
        <v>0</v>
      </c>
      <c r="C2779" t="s">
        <v>5193</v>
      </c>
      <c r="D2779" t="s">
        <v>2658</v>
      </c>
      <c r="E2779" t="str">
        <f>"3430500186520"</f>
        <v>0</v>
      </c>
      <c r="F2779" t="str">
        <f>"007010"</f>
        <v>0</v>
      </c>
      <c r="G2779" t="s">
        <v>18359</v>
      </c>
    </row>
    <row r="2780" spans="1:7">
      <c r="A2780">
        <v>2779</v>
      </c>
      <c r="B2780" t="str">
        <f>"017298"</f>
        <v>0</v>
      </c>
      <c r="C2780" t="s">
        <v>21847</v>
      </c>
      <c r="D2780" t="s">
        <v>21848</v>
      </c>
      <c r="E2780" t="str">
        <f>"5120199043116"</f>
        <v>0</v>
      </c>
      <c r="F2780" t="str">
        <f>"007010"</f>
        <v>0</v>
      </c>
      <c r="G2780" t="s">
        <v>18359</v>
      </c>
    </row>
    <row r="2781" spans="1:7">
      <c r="A2781">
        <v>2780</v>
      </c>
      <c r="B2781" t="str">
        <f>"018061"</f>
        <v>0</v>
      </c>
      <c r="C2781" t="s">
        <v>21849</v>
      </c>
      <c r="D2781" t="s">
        <v>21850</v>
      </c>
      <c r="E2781" t="str">
        <f>"3200600745310"</f>
        <v>0</v>
      </c>
      <c r="F2781" t="str">
        <f>"007010"</f>
        <v>0</v>
      </c>
      <c r="G2781" t="s">
        <v>18359</v>
      </c>
    </row>
    <row r="2782" spans="1:7">
      <c r="A2782">
        <v>2781</v>
      </c>
      <c r="B2782" t="str">
        <f>"026957"</f>
        <v>0</v>
      </c>
      <c r="C2782" t="s">
        <v>21851</v>
      </c>
      <c r="D2782" t="s">
        <v>21852</v>
      </c>
      <c r="E2782" t="str">
        <f>"3141300147672"</f>
        <v>0</v>
      </c>
      <c r="F2782" t="str">
        <f>"007010"</f>
        <v>0</v>
      </c>
      <c r="G2782" t="s">
        <v>18359</v>
      </c>
    </row>
    <row r="2783" spans="1:7">
      <c r="A2783">
        <v>2782</v>
      </c>
      <c r="B2783" t="str">
        <f>"015296"</f>
        <v>0</v>
      </c>
      <c r="C2783" t="s">
        <v>21853</v>
      </c>
      <c r="D2783" t="s">
        <v>21854</v>
      </c>
      <c r="E2783" t="str">
        <f>"3700100503207"</f>
        <v>0</v>
      </c>
      <c r="F2783" t="str">
        <f>"007010"</f>
        <v>0</v>
      </c>
      <c r="G2783" t="s">
        <v>18359</v>
      </c>
    </row>
    <row r="2784" spans="1:7">
      <c r="A2784">
        <v>2783</v>
      </c>
      <c r="B2784" t="str">
        <f>"024269"</f>
        <v>0</v>
      </c>
      <c r="C2784" t="s">
        <v>17245</v>
      </c>
      <c r="D2784" t="s">
        <v>6390</v>
      </c>
      <c r="E2784" t="str">
        <f>"3720100316016"</f>
        <v>0</v>
      </c>
      <c r="F2784" t="str">
        <f>"007010"</f>
        <v>0</v>
      </c>
      <c r="G2784" t="s">
        <v>18359</v>
      </c>
    </row>
    <row r="2785" spans="1:7">
      <c r="A2785">
        <v>2784</v>
      </c>
      <c r="B2785" t="str">
        <f>"020196"</f>
        <v>0</v>
      </c>
      <c r="C2785" t="s">
        <v>21855</v>
      </c>
      <c r="D2785" t="s">
        <v>19468</v>
      </c>
      <c r="E2785" t="str">
        <f>"3521300137258"</f>
        <v>0</v>
      </c>
      <c r="F2785" t="str">
        <f>"007010"</f>
        <v>0</v>
      </c>
      <c r="G2785" t="s">
        <v>18359</v>
      </c>
    </row>
    <row r="2786" spans="1:7">
      <c r="A2786">
        <v>2785</v>
      </c>
      <c r="B2786" t="str">
        <f>"016981"</f>
        <v>0</v>
      </c>
      <c r="C2786" t="s">
        <v>2298</v>
      </c>
      <c r="D2786" t="s">
        <v>21856</v>
      </c>
      <c r="E2786" t="str">
        <f>"3560100232922"</f>
        <v>0</v>
      </c>
      <c r="F2786" t="str">
        <f>"007010"</f>
        <v>0</v>
      </c>
      <c r="G2786" t="s">
        <v>18359</v>
      </c>
    </row>
    <row r="2787" spans="1:7">
      <c r="A2787">
        <v>2786</v>
      </c>
      <c r="B2787" t="str">
        <f>"022379"</f>
        <v>0</v>
      </c>
      <c r="C2787" t="s">
        <v>21857</v>
      </c>
      <c r="D2787" t="s">
        <v>21858</v>
      </c>
      <c r="E2787" t="str">
        <f>"3500100296840"</f>
        <v>0</v>
      </c>
      <c r="F2787" t="str">
        <f>"007010"</f>
        <v>0</v>
      </c>
      <c r="G2787" t="s">
        <v>18359</v>
      </c>
    </row>
    <row r="2788" spans="1:7">
      <c r="A2788">
        <v>2787</v>
      </c>
      <c r="B2788" t="str">
        <f>"023503"</f>
        <v>0</v>
      </c>
      <c r="C2788" t="s">
        <v>21859</v>
      </c>
      <c r="D2788" t="s">
        <v>21860</v>
      </c>
      <c r="E2788" t="str">
        <f>"3670600256994"</f>
        <v>0</v>
      </c>
      <c r="F2788" t="str">
        <f>"007010"</f>
        <v>0</v>
      </c>
      <c r="G2788" t="s">
        <v>18359</v>
      </c>
    </row>
    <row r="2789" spans="1:7">
      <c r="A2789">
        <v>2788</v>
      </c>
      <c r="B2789" t="str">
        <f>"011308"</f>
        <v>0</v>
      </c>
      <c r="C2789" t="s">
        <v>727</v>
      </c>
      <c r="D2789" t="s">
        <v>17120</v>
      </c>
      <c r="E2789" t="str">
        <f>"3140500217070"</f>
        <v>0</v>
      </c>
      <c r="F2789" t="str">
        <f>"007010"</f>
        <v>0</v>
      </c>
      <c r="G2789" t="s">
        <v>18359</v>
      </c>
    </row>
    <row r="2790" spans="1:7">
      <c r="A2790">
        <v>2789</v>
      </c>
      <c r="B2790" t="str">
        <f>"024296"</f>
        <v>0</v>
      </c>
      <c r="C2790" t="s">
        <v>878</v>
      </c>
      <c r="D2790" t="s">
        <v>21861</v>
      </c>
      <c r="E2790" t="str">
        <f>"3430500401617"</f>
        <v>0</v>
      </c>
      <c r="F2790" t="str">
        <f>"007010"</f>
        <v>0</v>
      </c>
      <c r="G2790" t="s">
        <v>18359</v>
      </c>
    </row>
    <row r="2791" spans="1:7">
      <c r="A2791">
        <v>2790</v>
      </c>
      <c r="B2791" t="str">
        <f>"022599"</f>
        <v>0</v>
      </c>
      <c r="C2791" t="s">
        <v>1220</v>
      </c>
      <c r="D2791" t="s">
        <v>21862</v>
      </c>
      <c r="E2791" t="str">
        <f>"3320800350067"</f>
        <v>0</v>
      </c>
      <c r="F2791" t="str">
        <f>"007010"</f>
        <v>0</v>
      </c>
      <c r="G2791" t="s">
        <v>18359</v>
      </c>
    </row>
    <row r="2792" spans="1:7">
      <c r="A2792">
        <v>2791</v>
      </c>
      <c r="B2792" t="str">
        <f>"025392"</f>
        <v>0</v>
      </c>
      <c r="C2792" t="s">
        <v>21863</v>
      </c>
      <c r="D2792" t="s">
        <v>21864</v>
      </c>
      <c r="E2792" t="str">
        <f>"3329900230363"</f>
        <v>0</v>
      </c>
      <c r="F2792" t="str">
        <f>"007010"</f>
        <v>0</v>
      </c>
      <c r="G2792" t="s">
        <v>18359</v>
      </c>
    </row>
    <row r="2793" spans="1:7">
      <c r="A2793">
        <v>2792</v>
      </c>
      <c r="B2793" t="str">
        <f>"026651"</f>
        <v>0</v>
      </c>
      <c r="C2793" t="s">
        <v>6255</v>
      </c>
      <c r="D2793" t="s">
        <v>21865</v>
      </c>
      <c r="E2793" t="str">
        <f>"2321200024056"</f>
        <v>0</v>
      </c>
      <c r="F2793" t="str">
        <f>"007010"</f>
        <v>0</v>
      </c>
      <c r="G2793" t="s">
        <v>18359</v>
      </c>
    </row>
    <row r="2794" spans="1:7">
      <c r="A2794">
        <v>2793</v>
      </c>
      <c r="B2794" t="str">
        <f>"021831"</f>
        <v>0</v>
      </c>
      <c r="C2794" t="s">
        <v>6245</v>
      </c>
      <c r="D2794" t="s">
        <v>21866</v>
      </c>
      <c r="E2794" t="str">
        <f>"4190300004593"</f>
        <v>0</v>
      </c>
      <c r="F2794" t="str">
        <f>"007010"</f>
        <v>0</v>
      </c>
      <c r="G2794" t="s">
        <v>18359</v>
      </c>
    </row>
    <row r="2795" spans="1:7">
      <c r="A2795">
        <v>2794</v>
      </c>
      <c r="B2795" t="str">
        <f>"022877"</f>
        <v>0</v>
      </c>
      <c r="C2795" t="s">
        <v>13111</v>
      </c>
      <c r="D2795" t="s">
        <v>21867</v>
      </c>
      <c r="E2795" t="str">
        <f>"1141200062377"</f>
        <v>0</v>
      </c>
      <c r="F2795" t="str">
        <f>"007010"</f>
        <v>0</v>
      </c>
      <c r="G2795" t="s">
        <v>18359</v>
      </c>
    </row>
    <row r="2796" spans="1:7">
      <c r="A2796">
        <v>2795</v>
      </c>
      <c r="B2796" t="str">
        <f>"021800"</f>
        <v>0</v>
      </c>
      <c r="C2796" t="s">
        <v>4903</v>
      </c>
      <c r="D2796" t="s">
        <v>21868</v>
      </c>
      <c r="E2796" t="str">
        <f>"3240100722752"</f>
        <v>0</v>
      </c>
      <c r="F2796" t="str">
        <f>"007010"</f>
        <v>0</v>
      </c>
      <c r="G2796" t="s">
        <v>18359</v>
      </c>
    </row>
    <row r="2797" spans="1:7">
      <c r="A2797">
        <v>2796</v>
      </c>
      <c r="B2797" t="str">
        <f>"023945"</f>
        <v>0</v>
      </c>
      <c r="C2797" t="s">
        <v>21869</v>
      </c>
      <c r="D2797" t="s">
        <v>17805</v>
      </c>
      <c r="E2797" t="str">
        <f>"1349900220264"</f>
        <v>0</v>
      </c>
      <c r="F2797" t="str">
        <f>"007010"</f>
        <v>0</v>
      </c>
      <c r="G2797" t="s">
        <v>18359</v>
      </c>
    </row>
    <row r="2798" spans="1:7">
      <c r="A2798">
        <v>2797</v>
      </c>
      <c r="B2798" t="str">
        <f>"027467"</f>
        <v>0</v>
      </c>
      <c r="C2798" t="s">
        <v>1335</v>
      </c>
      <c r="D2798" t="s">
        <v>21870</v>
      </c>
      <c r="E2798" t="str">
        <f>"1539900443661"</f>
        <v>0</v>
      </c>
      <c r="F2798" t="str">
        <f>"007010"</f>
        <v>0</v>
      </c>
      <c r="G2798" t="s">
        <v>18359</v>
      </c>
    </row>
    <row r="2799" spans="1:7">
      <c r="A2799">
        <v>2798</v>
      </c>
      <c r="B2799" t="str">
        <f>"023458"</f>
        <v>0</v>
      </c>
      <c r="C2799" t="s">
        <v>18296</v>
      </c>
      <c r="D2799" t="s">
        <v>21871</v>
      </c>
      <c r="E2799" t="str">
        <f>"1560700013117"</f>
        <v>0</v>
      </c>
      <c r="F2799" t="str">
        <f>"007010"</f>
        <v>0</v>
      </c>
      <c r="G2799" t="s">
        <v>18359</v>
      </c>
    </row>
    <row r="2800" spans="1:7">
      <c r="A2800">
        <v>2799</v>
      </c>
      <c r="B2800" t="str">
        <f>"016520"</f>
        <v>0</v>
      </c>
      <c r="C2800" t="s">
        <v>21872</v>
      </c>
      <c r="D2800" t="s">
        <v>21873</v>
      </c>
      <c r="E2800" t="str">
        <f>"3809900212018"</f>
        <v>0</v>
      </c>
      <c r="F2800" t="str">
        <f>"007010"</f>
        <v>0</v>
      </c>
      <c r="G2800" t="s">
        <v>18359</v>
      </c>
    </row>
    <row r="2801" spans="1:7">
      <c r="A2801">
        <v>2800</v>
      </c>
      <c r="B2801" t="str">
        <f>"017240"</f>
        <v>0</v>
      </c>
      <c r="C2801" t="s">
        <v>21874</v>
      </c>
      <c r="D2801" t="s">
        <v>21875</v>
      </c>
      <c r="E2801" t="str">
        <f>"3800101248285"</f>
        <v>0</v>
      </c>
      <c r="F2801" t="str">
        <f>"007010"</f>
        <v>0</v>
      </c>
      <c r="G2801" t="s">
        <v>18359</v>
      </c>
    </row>
    <row r="2802" spans="1:7">
      <c r="A2802">
        <v>2801</v>
      </c>
      <c r="B2802" t="str">
        <f>"017988"</f>
        <v>0</v>
      </c>
      <c r="C2802" t="s">
        <v>21876</v>
      </c>
      <c r="D2802" t="s">
        <v>21877</v>
      </c>
      <c r="E2802" t="str">
        <f>"3900400208764"</f>
        <v>0</v>
      </c>
      <c r="F2802" t="str">
        <f>"007010"</f>
        <v>0</v>
      </c>
      <c r="G2802" t="s">
        <v>18359</v>
      </c>
    </row>
    <row r="2803" spans="1:7">
      <c r="A2803">
        <v>2802</v>
      </c>
      <c r="B2803" t="str">
        <f>"023363"</f>
        <v>0</v>
      </c>
      <c r="C2803" t="s">
        <v>21878</v>
      </c>
      <c r="D2803" t="s">
        <v>21879</v>
      </c>
      <c r="E2803" t="str">
        <f>"3800101683488"</f>
        <v>0</v>
      </c>
      <c r="F2803" t="str">
        <f>"007010"</f>
        <v>0</v>
      </c>
      <c r="G2803" t="s">
        <v>18359</v>
      </c>
    </row>
    <row r="2804" spans="1:7">
      <c r="A2804">
        <v>2803</v>
      </c>
      <c r="B2804" t="str">
        <f>"019066"</f>
        <v>0</v>
      </c>
      <c r="C2804" t="s">
        <v>21880</v>
      </c>
      <c r="D2804" t="s">
        <v>21881</v>
      </c>
      <c r="E2804" t="str">
        <f>"3950100408407"</f>
        <v>0</v>
      </c>
      <c r="F2804" t="str">
        <f>"007010"</f>
        <v>0</v>
      </c>
      <c r="G2804" t="s">
        <v>18359</v>
      </c>
    </row>
    <row r="2805" spans="1:7">
      <c r="A2805">
        <v>2804</v>
      </c>
      <c r="B2805" t="str">
        <f>"023649"</f>
        <v>0</v>
      </c>
      <c r="C2805" t="s">
        <v>21882</v>
      </c>
      <c r="D2805" t="s">
        <v>21883</v>
      </c>
      <c r="E2805" t="str">
        <f>"3800700146846"</f>
        <v>0</v>
      </c>
      <c r="F2805" t="str">
        <f>"007010"</f>
        <v>0</v>
      </c>
      <c r="G2805" t="s">
        <v>18359</v>
      </c>
    </row>
    <row r="2806" spans="1:7">
      <c r="A2806">
        <v>2805</v>
      </c>
      <c r="B2806" t="str">
        <f>"013822"</f>
        <v>0</v>
      </c>
      <c r="C2806" t="s">
        <v>3674</v>
      </c>
      <c r="D2806" t="s">
        <v>21884</v>
      </c>
      <c r="E2806" t="str">
        <f>"3800101556354"</f>
        <v>0</v>
      </c>
      <c r="F2806" t="str">
        <f>"007010"</f>
        <v>0</v>
      </c>
      <c r="G2806" t="s">
        <v>18359</v>
      </c>
    </row>
    <row r="2807" spans="1:7">
      <c r="A2807">
        <v>2806</v>
      </c>
      <c r="B2807" t="str">
        <f>"020206"</f>
        <v>0</v>
      </c>
      <c r="C2807" t="s">
        <v>21885</v>
      </c>
      <c r="D2807" t="s">
        <v>21886</v>
      </c>
      <c r="E2807" t="str">
        <f>"3900900254081"</f>
        <v>0</v>
      </c>
      <c r="F2807" t="str">
        <f>"007010"</f>
        <v>0</v>
      </c>
      <c r="G2807" t="s">
        <v>18359</v>
      </c>
    </row>
    <row r="2808" spans="1:7">
      <c r="A2808">
        <v>2807</v>
      </c>
      <c r="B2808" t="str">
        <f>"016357"</f>
        <v>0</v>
      </c>
      <c r="C2808" t="s">
        <v>21887</v>
      </c>
      <c r="D2808" t="s">
        <v>21888</v>
      </c>
      <c r="E2808" t="str">
        <f>"3909900377032"</f>
        <v>0</v>
      </c>
      <c r="F2808" t="str">
        <f>"007010"</f>
        <v>0</v>
      </c>
      <c r="G2808" t="s">
        <v>18359</v>
      </c>
    </row>
    <row r="2809" spans="1:7">
      <c r="A2809">
        <v>2808</v>
      </c>
      <c r="B2809" t="str">
        <f>"026013"</f>
        <v>0</v>
      </c>
      <c r="C2809" t="s">
        <v>21889</v>
      </c>
      <c r="D2809" t="s">
        <v>21890</v>
      </c>
      <c r="E2809" t="str">
        <f>"1969800004009"</f>
        <v>0</v>
      </c>
      <c r="F2809" t="str">
        <f>"007010"</f>
        <v>0</v>
      </c>
      <c r="G2809" t="s">
        <v>18359</v>
      </c>
    </row>
    <row r="2810" spans="1:7">
      <c r="A2810">
        <v>2809</v>
      </c>
      <c r="B2810" t="str">
        <f>"018553"</f>
        <v>0</v>
      </c>
      <c r="C2810" t="s">
        <v>5212</v>
      </c>
      <c r="D2810" t="s">
        <v>479</v>
      </c>
      <c r="E2810" t="str">
        <f>"3930300071431"</f>
        <v>0</v>
      </c>
      <c r="F2810" t="str">
        <f>"007010"</f>
        <v>0</v>
      </c>
      <c r="G2810" t="s">
        <v>18359</v>
      </c>
    </row>
    <row r="2811" spans="1:7">
      <c r="A2811">
        <v>2810</v>
      </c>
      <c r="B2811" t="str">
        <f>"020941"</f>
        <v>0</v>
      </c>
      <c r="C2811" t="s">
        <v>993</v>
      </c>
      <c r="D2811" t="s">
        <v>9305</v>
      </c>
      <c r="E2811" t="str">
        <f>"1949900006178"</f>
        <v>0</v>
      </c>
      <c r="F2811" t="str">
        <f>"007010"</f>
        <v>0</v>
      </c>
      <c r="G2811" t="s">
        <v>18359</v>
      </c>
    </row>
    <row r="2812" spans="1:7">
      <c r="A2812">
        <v>2811</v>
      </c>
      <c r="B2812" t="str">
        <f>"024970"</f>
        <v>0</v>
      </c>
      <c r="C2812" t="s">
        <v>21891</v>
      </c>
      <c r="D2812" t="s">
        <v>21892</v>
      </c>
      <c r="E2812" t="str">
        <f>"1940200059360"</f>
        <v>0</v>
      </c>
      <c r="F2812" t="str">
        <f>"007010"</f>
        <v>0</v>
      </c>
      <c r="G2812" t="s">
        <v>18359</v>
      </c>
    </row>
    <row r="2813" spans="1:7">
      <c r="A2813">
        <v>2812</v>
      </c>
      <c r="B2813" t="str">
        <f>"019932"</f>
        <v>0</v>
      </c>
      <c r="C2813" t="s">
        <v>7565</v>
      </c>
      <c r="D2813" t="s">
        <v>21893</v>
      </c>
      <c r="E2813" t="str">
        <f>"3450600656447"</f>
        <v>0</v>
      </c>
      <c r="F2813" t="str">
        <f>"007010"</f>
        <v>0</v>
      </c>
      <c r="G2813" t="s">
        <v>18359</v>
      </c>
    </row>
    <row r="2814" spans="1:7">
      <c r="A2814">
        <v>2813</v>
      </c>
      <c r="B2814" t="str">
        <f>"020283"</f>
        <v>0</v>
      </c>
      <c r="C2814" t="s">
        <v>21894</v>
      </c>
      <c r="D2814" t="s">
        <v>21895</v>
      </c>
      <c r="E2814" t="str">
        <f>"3100203158061"</f>
        <v>0</v>
      </c>
      <c r="F2814" t="str">
        <f>"007010"</f>
        <v>0</v>
      </c>
      <c r="G2814" t="s">
        <v>18359</v>
      </c>
    </row>
    <row r="2815" spans="1:7">
      <c r="A2815">
        <v>2814</v>
      </c>
      <c r="B2815" t="str">
        <f>"020607"</f>
        <v>0</v>
      </c>
      <c r="C2815" t="s">
        <v>7546</v>
      </c>
      <c r="D2815" t="s">
        <v>21896</v>
      </c>
      <c r="E2815" t="str">
        <f>"3219900010704"</f>
        <v>0</v>
      </c>
      <c r="F2815" t="str">
        <f>"007010"</f>
        <v>0</v>
      </c>
      <c r="G2815" t="s">
        <v>18359</v>
      </c>
    </row>
    <row r="2816" spans="1:7">
      <c r="A2816">
        <v>2815</v>
      </c>
      <c r="B2816" t="str">
        <f>"022915"</f>
        <v>0</v>
      </c>
      <c r="C2816" t="s">
        <v>352</v>
      </c>
      <c r="D2816" t="s">
        <v>21897</v>
      </c>
      <c r="E2816" t="str">
        <f>"3300200346549"</f>
        <v>0</v>
      </c>
      <c r="F2816" t="str">
        <f>"007010"</f>
        <v>0</v>
      </c>
      <c r="G2816" t="s">
        <v>18359</v>
      </c>
    </row>
    <row r="2817" spans="1:7">
      <c r="A2817">
        <v>2816</v>
      </c>
      <c r="B2817" t="str">
        <f>"027058"</f>
        <v>0</v>
      </c>
      <c r="C2817" t="s">
        <v>21898</v>
      </c>
      <c r="D2817" t="s">
        <v>1932</v>
      </c>
      <c r="E2817" t="str">
        <f>"1809800086677"</f>
        <v>0</v>
      </c>
      <c r="F2817" t="str">
        <f>"007010"</f>
        <v>0</v>
      </c>
      <c r="G2817" t="s">
        <v>18359</v>
      </c>
    </row>
    <row r="2818" spans="1:7">
      <c r="A2818">
        <v>2817</v>
      </c>
      <c r="B2818" t="str">
        <f>"024627"</f>
        <v>0</v>
      </c>
      <c r="C2818" t="s">
        <v>21899</v>
      </c>
      <c r="D2818" t="s">
        <v>21900</v>
      </c>
      <c r="E2818" t="str">
        <f>"1100500378573"</f>
        <v>0</v>
      </c>
      <c r="F2818" t="str">
        <f>"007010"</f>
        <v>0</v>
      </c>
      <c r="G2818" t="s">
        <v>18359</v>
      </c>
    </row>
    <row r="2819" spans="1:7">
      <c r="A2819">
        <v>2818</v>
      </c>
      <c r="B2819" t="str">
        <f>"027018"</f>
        <v>0</v>
      </c>
      <c r="C2819" t="s">
        <v>21901</v>
      </c>
      <c r="D2819" t="s">
        <v>2999</v>
      </c>
      <c r="E2819" t="str">
        <f>"1139900071473"</f>
        <v>0</v>
      </c>
      <c r="F2819" t="str">
        <f>"007010"</f>
        <v>0</v>
      </c>
      <c r="G2819" t="s">
        <v>18359</v>
      </c>
    </row>
    <row r="2820" spans="1:7">
      <c r="A2820">
        <v>2819</v>
      </c>
      <c r="B2820" t="str">
        <f>"023092"</f>
        <v>0</v>
      </c>
      <c r="C2820" t="s">
        <v>21629</v>
      </c>
      <c r="D2820" t="s">
        <v>21902</v>
      </c>
      <c r="E2820" t="str">
        <f>"3300100428217"</f>
        <v>0</v>
      </c>
      <c r="F2820" t="str">
        <f>"007010"</f>
        <v>0</v>
      </c>
      <c r="G2820" t="s">
        <v>18359</v>
      </c>
    </row>
    <row r="2821" spans="1:7">
      <c r="A2821">
        <v>2820</v>
      </c>
      <c r="B2821" t="str">
        <f>"024383"</f>
        <v>0</v>
      </c>
      <c r="C2821" t="s">
        <v>21903</v>
      </c>
      <c r="D2821" t="s">
        <v>33</v>
      </c>
      <c r="E2821" t="str">
        <f>"1249900207854"</f>
        <v>0</v>
      </c>
      <c r="F2821" t="str">
        <f>"007010"</f>
        <v>0</v>
      </c>
      <c r="G2821" t="s">
        <v>18359</v>
      </c>
    </row>
    <row r="2822" spans="1:7">
      <c r="A2822">
        <v>2821</v>
      </c>
      <c r="B2822" t="str">
        <f>"020528"</f>
        <v>0</v>
      </c>
      <c r="C2822" t="s">
        <v>5383</v>
      </c>
      <c r="D2822" t="s">
        <v>21904</v>
      </c>
      <c r="E2822" t="str">
        <f>"3450400076102"</f>
        <v>0</v>
      </c>
      <c r="F2822" t="str">
        <f>"007010"</f>
        <v>0</v>
      </c>
      <c r="G2822" t="s">
        <v>18359</v>
      </c>
    </row>
    <row r="2823" spans="1:7">
      <c r="A2823">
        <v>2822</v>
      </c>
      <c r="B2823" t="str">
        <f>"022383"</f>
        <v>0</v>
      </c>
      <c r="C2823" t="s">
        <v>21905</v>
      </c>
      <c r="D2823" t="s">
        <v>21906</v>
      </c>
      <c r="E2823" t="str">
        <f>"3551000133281"</f>
        <v>0</v>
      </c>
      <c r="F2823" t="str">
        <f>"007010"</f>
        <v>0</v>
      </c>
      <c r="G2823" t="s">
        <v>18359</v>
      </c>
    </row>
    <row r="2824" spans="1:7">
      <c r="A2824">
        <v>2823</v>
      </c>
      <c r="B2824" t="str">
        <f>"019885"</f>
        <v>0</v>
      </c>
      <c r="C2824" t="s">
        <v>8138</v>
      </c>
      <c r="D2824" t="s">
        <v>9690</v>
      </c>
      <c r="E2824" t="str">
        <f>"3679800097278"</f>
        <v>0</v>
      </c>
      <c r="F2824" t="str">
        <f>"007010"</f>
        <v>0</v>
      </c>
      <c r="G2824" t="s">
        <v>18359</v>
      </c>
    </row>
    <row r="2825" spans="1:7">
      <c r="A2825">
        <v>2824</v>
      </c>
      <c r="B2825" t="str">
        <f>"024316"</f>
        <v>0</v>
      </c>
      <c r="C2825" t="s">
        <v>3005</v>
      </c>
      <c r="D2825" t="s">
        <v>21907</v>
      </c>
      <c r="E2825" t="str">
        <f>"1670600016911"</f>
        <v>0</v>
      </c>
      <c r="F2825" t="str">
        <f>"007010"</f>
        <v>0</v>
      </c>
      <c r="G2825" t="s">
        <v>18359</v>
      </c>
    </row>
    <row r="2826" spans="1:7">
      <c r="A2826">
        <v>2825</v>
      </c>
      <c r="B2826" t="str">
        <f>"025784"</f>
        <v>0</v>
      </c>
      <c r="C2826" t="s">
        <v>19465</v>
      </c>
      <c r="D2826" t="s">
        <v>21908</v>
      </c>
      <c r="E2826" t="str">
        <f>"1100200750698"</f>
        <v>0</v>
      </c>
      <c r="F2826" t="str">
        <f>"007010"</f>
        <v>0</v>
      </c>
      <c r="G2826" t="s">
        <v>18359</v>
      </c>
    </row>
    <row r="2827" spans="1:7">
      <c r="A2827">
        <v>2826</v>
      </c>
      <c r="B2827" t="str">
        <f>"025023"</f>
        <v>0</v>
      </c>
      <c r="C2827" t="s">
        <v>1896</v>
      </c>
      <c r="D2827" t="s">
        <v>21909</v>
      </c>
      <c r="E2827" t="str">
        <f>"3760100335266"</f>
        <v>0</v>
      </c>
      <c r="F2827" t="str">
        <f>"007010"</f>
        <v>0</v>
      </c>
      <c r="G2827" t="s">
        <v>18359</v>
      </c>
    </row>
    <row r="2828" spans="1:7">
      <c r="A2828">
        <v>2827</v>
      </c>
      <c r="B2828" t="str">
        <f>"026602"</f>
        <v>0</v>
      </c>
      <c r="C2828" t="s">
        <v>1108</v>
      </c>
      <c r="D2828" t="s">
        <v>21910</v>
      </c>
      <c r="E2828" t="str">
        <f>"1709900465328"</f>
        <v>0</v>
      </c>
      <c r="F2828" t="str">
        <f>"007010"</f>
        <v>0</v>
      </c>
      <c r="G2828" t="s">
        <v>18359</v>
      </c>
    </row>
    <row r="2829" spans="1:7">
      <c r="A2829">
        <v>2828</v>
      </c>
      <c r="B2829" t="str">
        <f>"027016"</f>
        <v>0</v>
      </c>
      <c r="C2829" t="s">
        <v>21911</v>
      </c>
      <c r="D2829" t="s">
        <v>21912</v>
      </c>
      <c r="E2829" t="str">
        <f>"1710500199363"</f>
        <v>0</v>
      </c>
      <c r="F2829" t="str">
        <f>"007010"</f>
        <v>0</v>
      </c>
      <c r="G2829" t="s">
        <v>18359</v>
      </c>
    </row>
    <row r="2830" spans="1:7">
      <c r="A2830">
        <v>2829</v>
      </c>
      <c r="B2830" t="str">
        <f>"019786"</f>
        <v>0</v>
      </c>
      <c r="C2830" t="s">
        <v>16153</v>
      </c>
      <c r="D2830" t="s">
        <v>21913</v>
      </c>
      <c r="E2830" t="str">
        <f>"3841100165492"</f>
        <v>0</v>
      </c>
      <c r="F2830" t="str">
        <f>"007010"</f>
        <v>0</v>
      </c>
      <c r="G2830" t="s">
        <v>18359</v>
      </c>
    </row>
    <row r="2831" spans="1:7">
      <c r="A2831">
        <v>2830</v>
      </c>
      <c r="B2831" t="str">
        <f>"013013"</f>
        <v>0</v>
      </c>
      <c r="C2831" t="s">
        <v>21914</v>
      </c>
      <c r="D2831" t="s">
        <v>18428</v>
      </c>
      <c r="E2831" t="str">
        <f>"3100503832905"</f>
        <v>0</v>
      </c>
      <c r="F2831" t="str">
        <f>"007010"</f>
        <v>0</v>
      </c>
      <c r="G2831" t="s">
        <v>18359</v>
      </c>
    </row>
    <row r="2832" spans="1:7">
      <c r="A2832">
        <v>2831</v>
      </c>
      <c r="B2832" t="str">
        <f>"019798"</f>
        <v>0</v>
      </c>
      <c r="C2832" t="s">
        <v>21915</v>
      </c>
      <c r="D2832" t="s">
        <v>1675</v>
      </c>
      <c r="E2832" t="str">
        <f>"3130200184371"</f>
        <v>0</v>
      </c>
      <c r="F2832" t="str">
        <f>"007010"</f>
        <v>0</v>
      </c>
      <c r="G2832" t="s">
        <v>18359</v>
      </c>
    </row>
    <row r="2833" spans="1:7">
      <c r="A2833">
        <v>2832</v>
      </c>
      <c r="B2833" t="str">
        <f>"027585"</f>
        <v>0</v>
      </c>
      <c r="C2833" t="s">
        <v>21916</v>
      </c>
      <c r="D2833" t="s">
        <v>21917</v>
      </c>
      <c r="E2833" t="str">
        <f>"1529900670381"</f>
        <v>0</v>
      </c>
      <c r="F2833" t="str">
        <f>"007010"</f>
        <v>0</v>
      </c>
      <c r="G2833" t="s">
        <v>18359</v>
      </c>
    </row>
    <row r="2834" spans="1:7">
      <c r="A2834">
        <v>2833</v>
      </c>
      <c r="B2834" t="str">
        <f>"000000"</f>
        <v>0</v>
      </c>
      <c r="C2834" t="s">
        <v>21918</v>
      </c>
      <c r="D2834" t="s">
        <v>21919</v>
      </c>
      <c r="E2834" t="str">
        <f>""</f>
        <v>0</v>
      </c>
      <c r="F2834" t="str">
        <f>""</f>
        <v>0</v>
      </c>
      <c r="G2834" t="s">
        <v>18359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Member Vote</vt:lpstr>
      <vt:lpstr>Member Novote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MunkGorn</dc:creator>
  <cp:lastModifiedBy>MunkGorn</cp:lastModifiedBy>
  <dcterms:created xsi:type="dcterms:W3CDTF">2020-11-11T17:34:27+07:00</dcterms:created>
  <dcterms:modified xsi:type="dcterms:W3CDTF">2020-11-11T17:34:27+07:00</dcterms:modified>
  <dc:title>Report</dc:title>
  <dc:description/>
  <dc:subject>Report</dc:subject>
  <cp:keywords/>
  <cp:category/>
</cp:coreProperties>
</file>